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5180" windowHeight="8685" activeTab="0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<sst xmlns="http://schemas.openxmlformats.org/spreadsheetml/2006/main" count="637" uniqueCount="256">
  <si>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</si>
  <si>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</si>
  <si>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</si>
  <si>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</si>
  <si>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</si>
  <si>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</si>
  <si>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</si>
  <si>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</si>
  <si>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</si>
  <si>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</si>
  <si>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</si>
  <si>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</si>
  <si>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</si>
  <si>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</si>
  <si>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</si>
  <si>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</si>
  <si>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</si>
  <si>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</si>
  <si>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</si>
  <si>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</si>
  <si>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</si>
  <si>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</si>
  <si>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</si>
  <si>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</si>
  <si>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</si>
  <si>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</si>
  <si>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</si>
  <si>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</si>
  <si>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</si>
  <si>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</si>
  <si>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</si>
  <si>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</si>
  <si>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</si>
  <si>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</si>
  <si>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</si>
  <si>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</si>
  <si>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</si>
  <si>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</si>
  <si>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</si>
  <si>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</si>
  <si>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</si>
  <si>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</si>
  <si>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</si>
  <si>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</si>
  <si>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</si>
  <si>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</si>
  <si>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</si>
  <si>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</si>
  <si>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</si>
  <si>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</si>
  <si>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</si>
  <si>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</si>
  <si>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</si>
  <si>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</si>
  <si>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</si>
  <si>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</si>
  <si>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</si>
  <si>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</si>
  <si>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</si>
  <si>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</si>
  <si>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</si>
  <si>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</si>
  <si>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</si>
  <si>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</si>
  <si>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</si>
  <si>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</si>
  <si>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</si>
  <si>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</si>
  <si>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</si>
  <si>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</si>
  <si>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</si>
  <si>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</si>
  <si>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</si>
  <si>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</si>
  <si>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</si>
  <si>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</si>
  <si>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</si>
  <si>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</si>
  <si>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</si>
  <si>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</si>
  <si>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</si>
  <si>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9 месяцев 2015 года</t>
  </si>
  <si>
    <t xml:space="preserve">% исп-ия к плану на 9 месяцев 2015 года </t>
  </si>
  <si>
    <t>Уточн. план на 2015 год</t>
  </si>
  <si>
    <t>Первонач.  план на 2015 год</t>
  </si>
  <si>
    <t xml:space="preserve">% исп-ия к уточн. плану на 2015 год </t>
  </si>
  <si>
    <t xml:space="preserve">% исп-ия к первонач.плану на 2015 год </t>
  </si>
  <si>
    <t>Отчет об исполнении консолидированного бюджета Октябрьского района по состоянию на 01.12.2015</t>
  </si>
  <si>
    <t>Исполнение на 01.12.2015</t>
  </si>
  <si>
    <t>Отчет  об  исполнении  консолидированного  бюджета  района  по  расходам на 1 декабря 2015 года</t>
  </si>
  <si>
    <t>ККР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</si>
  <si>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</si>
  <si>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</si>
  <si>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</si>
  <si>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</si>
  <si>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</si>
  <si>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01.12.2015</t>
  </si>
  <si>
    <t>% исполнения</t>
  </si>
  <si>
    <t>исполнения на 01.12.2015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</si>
  <si>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</si>
  <si>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</si>
  <si>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</si>
  <si>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</si>
  <si>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</si>
  <si>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</si>
  <si>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</si>
  <si>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</si>
  <si>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</si>
  <si>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</si>
  <si>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</si>
  <si>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</si>
  <si>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</si>
  <si>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</si>
  <si>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</si>
  <si>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</si>
  <si>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</si>
  <si>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</si>
  <si>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</si>
  <si>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</si>
  <si>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</si>
  <si>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</si>
  <si>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</si>
  <si>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</si>
  <si>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</si>
  <si>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</si>
  <si>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</si>
  <si>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</si>
  <si>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</si>
  <si>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</si>
  <si>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</si>
  <si>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</si>
  <si>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</si>
  <si>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</si>
  <si>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</si>
  <si>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</si>
  <si>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</si>
  <si>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</si>
  <si>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(11.2.7807)</t>
  </si>
  <si>
    <t>Автомобильный транспорт (11.4.7807)</t>
  </si>
  <si>
    <t>Водный транспорт (11.3.7807)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</si>
  <si>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</si>
  <si>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0409</t>
  </si>
  <si>
    <t xml:space="preserve">Муниципальная  программа" Развитие транспортной  системы муниципального  образования Октябрьский  район на 2014-2016  годы" (дорога Андра-Октябрьское) (11.1.4210) 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</si>
  <si>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</si>
  <si>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</si>
  <si>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</si>
  <si>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Содержание автомобильных дорог общего пользования (40.3.0602)</t>
  </si>
  <si>
    <t>0410</t>
  </si>
  <si>
    <t>Связь и информатика</t>
  </si>
  <si>
    <t>0412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</si>
  <si>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</si>
  <si>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</si>
  <si>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</si>
  <si>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</si>
  <si>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годы"(0952119, 0955437)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</si>
  <si>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</si>
  <si>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</si>
  <si>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Осуществление полномочий по государственному управлению охраной труда (07.3.5513) тс. 01.30.39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</si>
  <si>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</si>
  <si>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05</t>
  </si>
  <si>
    <t>Жилищно-коммунальное хозяйство</t>
  </si>
  <si>
    <t>0501</t>
  </si>
  <si>
    <t>Капитальный ремонт жилого фонда (40.6.2120)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</si>
  <si>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</si>
  <si>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(0935445)</t>
  </si>
  <si>
    <t>Субсидии на развитие  общественной инфраструктуры (кап.ремонт жилого фонда) (40.6.5431)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</si>
  <si>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</si>
  <si>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</si>
  <si>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</si>
  <si>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</si>
  <si>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</si>
  <si>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</si>
  <si>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</si>
  <si>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(реконструкция очистных Перегребное, очистка воды к котельной Каменное)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</si>
  <si>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</si>
  <si>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</si>
  <si>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</si>
  <si>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</si>
  <si>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Сергино, Талинка)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</si>
  <si>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</si>
  <si>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</si>
  <si>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Мероприятия в области коммунального хозяйства (40.6.2125)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</si>
  <si>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</si>
  <si>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0503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</si>
  <si>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</si>
  <si>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</si>
  <si>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</si>
  <si>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</si>
  <si>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</si>
  <si>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Внешнее благоустройство (40.6.2130)</t>
  </si>
  <si>
    <t>0505</t>
  </si>
  <si>
    <t>Другие вопросы в области жилищно-коммунального хозяйства (администрирование)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</si>
  <si>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</si>
  <si>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</si>
  <si>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</si>
  <si>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</si>
  <si>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</si>
  <si>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0702</t>
  </si>
  <si>
    <t>Общее образование</t>
  </si>
  <si>
    <t>Бесплатное питание (01.1.5504)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</si>
  <si>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</si>
  <si>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</si>
  <si>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</si>
  <si>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</si>
  <si>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</si>
  <si>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</si>
  <si>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</si>
  <si>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Культура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</si>
  <si>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(03.1.5429; 03.1.5408) строительство объектов</t>
  </si>
  <si>
    <t>Подпрограмма "Библиотечное дело" 03.1.5418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</si>
  <si>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</si>
  <si>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</si>
  <si>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</si>
  <si>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</si>
  <si>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</si>
  <si>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</si>
  <si>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</si>
  <si>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(18.0.5447)</t>
  </si>
  <si>
    <t>Социальная политика</t>
  </si>
  <si>
    <t>Пенсионное обеспечение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</si>
  <si>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</si>
  <si>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</si>
  <si>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1003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</si>
  <si>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</si>
  <si>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</si>
  <si>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</si>
  <si>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</si>
  <si>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</si>
  <si>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</si>
  <si>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</si>
  <si>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</si>
  <si>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</si>
  <si>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</si>
  <si>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</si>
  <si>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</si>
  <si>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</si>
  <si>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</si>
  <si>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</si>
  <si>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</si>
  <si>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</si>
  <si>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</si>
  <si>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</si>
  <si>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</si>
  <si>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</si>
  <si>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</si>
  <si>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</si>
  <si>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</si>
  <si>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</si>
  <si>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</si>
  <si>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</si>
  <si>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</t>
  </si>
  <si>
    <t>Заведующий бюджетным отделом</t>
  </si>
  <si>
    <t>Агеева Н.В.</t>
  </si>
  <si>
    <t>Заведующий отделом доходов</t>
  </si>
  <si>
    <t>___________</t>
  </si>
  <si>
    <t>Мартюшова О.Г.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</si>
</sst>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_-* #,##0.0_р_._-;\-* #,##0.0_р_._-;_-* &quot;-&quot;?_р_._-;_-@_-"/>
  </numFmts>
  <fonts count="61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7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8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68" fontId="5" fillId="0" borderId="16" xfId="0" applyNumberFormat="1" applyFont="1" applyFill="1" applyBorder="1" applyAlignment="1">
      <alignment horizontal="right" vertical="top"/>
    </xf>
    <xf numFmtId="168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68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68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68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68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68" fontId="4" fillId="0" borderId="16" xfId="0" applyNumberFormat="1" applyFont="1" applyFill="1" applyBorder="1" applyAlignment="1">
      <alignment horizontal="righ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69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68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68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68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68" fontId="2" fillId="0" borderId="16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8" fontId="2" fillId="0" borderId="14" xfId="0" applyNumberFormat="1" applyFont="1" applyFill="1" applyBorder="1" applyAlignment="1">
      <alignment vertical="top" wrapText="1"/>
    </xf>
    <xf numFmtId="168" fontId="5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168" fontId="2" fillId="0" borderId="16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168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8" fontId="4" fillId="0" borderId="11" xfId="0" applyNumberFormat="1" applyFont="1" applyFill="1" applyBorder="1" applyAlignment="1">
      <alignment vertical="top"/>
    </xf>
    <xf numFmtId="168" fontId="2" fillId="0" borderId="14" xfId="0" applyNumberFormat="1" applyFont="1" applyFill="1" applyBorder="1" applyAlignment="1">
      <alignment horizontal="right" vertical="top" wrapText="1"/>
    </xf>
    <xf numFmtId="168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68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68" fontId="2" fillId="0" borderId="15" xfId="0" applyNumberFormat="1" applyFont="1" applyFill="1" applyBorder="1" applyAlignment="1">
      <alignment horizontal="right" vertical="top" wrapText="1"/>
    </xf>
    <xf numFmtId="168" fontId="1" fillId="0" borderId="17" xfId="0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/>
    </xf>
    <xf numFmtId="0" fontId="2" fillId="0" borderId="17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vertical="top"/>
    </xf>
    <xf numFmtId="168" fontId="2" fillId="0" borderId="16" xfId="0" applyNumberFormat="1" applyFont="1" applyFill="1" applyBorder="1" applyAlignment="1">
      <alignment horizontal="justify" vertical="top" wrapText="1"/>
    </xf>
    <xf numFmtId="168" fontId="2" fillId="0" borderId="15" xfId="0" applyNumberFormat="1" applyFont="1" applyFill="1" applyBorder="1" applyAlignment="1">
      <alignment vertical="top" wrapText="1"/>
    </xf>
    <xf numFmtId="168" fontId="4" fillId="0" borderId="14" xfId="0" applyNumberFormat="1" applyFont="1" applyFill="1" applyBorder="1" applyAlignment="1">
      <alignment vertical="top"/>
    </xf>
    <xf numFmtId="168" fontId="2" fillId="0" borderId="15" xfId="0" applyNumberFormat="1" applyFont="1" applyFill="1" applyBorder="1" applyAlignment="1">
      <alignment vertical="top" wrapText="1" shrinkToFit="1"/>
    </xf>
    <xf numFmtId="168" fontId="2" fillId="0" borderId="15" xfId="0" applyNumberFormat="1" applyFont="1" applyFill="1" applyBorder="1" applyAlignment="1">
      <alignment horizontal="right" vertical="top" wrapText="1" shrinkToFit="1"/>
    </xf>
    <xf numFmtId="49" fontId="2" fillId="0" borderId="17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vertical="top" wrapText="1"/>
    </xf>
    <xf numFmtId="168" fontId="4" fillId="0" borderId="13" xfId="0" applyNumberFormat="1" applyFont="1" applyFill="1" applyBorder="1" applyAlignment="1">
      <alignment horizontal="right" vertical="top"/>
    </xf>
    <xf numFmtId="168" fontId="4" fillId="0" borderId="11" xfId="0" applyNumberFormat="1" applyFont="1" applyFill="1" applyBorder="1" applyAlignment="1">
      <alignment horizontal="right" vertical="top"/>
    </xf>
    <xf numFmtId="0" fontId="5" fillId="0" borderId="19" xfId="0" applyFont="1" applyFill="1" applyBorder="1" applyAlignment="1">
      <alignment vertical="top"/>
    </xf>
    <xf numFmtId="168" fontId="5" fillId="0" borderId="19" xfId="0" applyNumberFormat="1" applyFont="1" applyFill="1" applyBorder="1" applyAlignment="1">
      <alignment horizontal="right" vertical="top"/>
    </xf>
    <xf numFmtId="168" fontId="4" fillId="0" borderId="19" xfId="0" applyNumberFormat="1" applyFont="1" applyFill="1" applyBorder="1" applyAlignment="1">
      <alignment horizontal="right" vertical="top"/>
    </xf>
    <xf numFmtId="168" fontId="4" fillId="0" borderId="19" xfId="0" applyNumberFormat="1" applyFont="1" applyFill="1" applyBorder="1" applyAlignment="1">
      <alignment vertical="top"/>
    </xf>
    <xf numFmtId="168" fontId="5" fillId="0" borderId="20" xfId="0" applyNumberFormat="1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168" fontId="5" fillId="0" borderId="11" xfId="0" applyNumberFormat="1" applyFont="1" applyFill="1" applyBorder="1" applyAlignment="1">
      <alignment vertical="top"/>
    </xf>
    <xf numFmtId="49" fontId="9" fillId="0" borderId="0" xfId="53" applyNumberFormat="1" applyFont="1" applyAlignment="1">
      <alignment horizontal="center" vertical="center" wrapText="1"/>
      <protection/>
    </xf>
    <xf numFmtId="0" fontId="9" fillId="0" borderId="0" xfId="53" applyNumberFormat="1" applyFont="1" applyAlignment="1">
      <alignment horizontal="left" vertical="center" wrapText="1"/>
      <protection/>
    </xf>
    <xf numFmtId="171" fontId="58" fillId="0" borderId="0" xfId="53" applyNumberFormat="1" applyFont="1" applyFill="1" applyAlignment="1">
      <alignment horizontal="center" vertical="center" wrapText="1"/>
      <protection/>
    </xf>
    <xf numFmtId="171" fontId="10" fillId="0" borderId="0" xfId="53" applyNumberFormat="1" applyFont="1" applyFill="1" applyBorder="1" applyAlignment="1">
      <alignment horizontal="center" vertical="center" wrapText="1"/>
      <protection/>
    </xf>
    <xf numFmtId="171" fontId="10" fillId="0" borderId="0" xfId="53" applyNumberFormat="1" applyFont="1" applyFill="1" applyAlignment="1">
      <alignment horizontal="center" vertical="center" wrapText="1"/>
      <protection/>
    </xf>
    <xf numFmtId="171" fontId="10" fillId="0" borderId="0" xfId="0" applyNumberFormat="1" applyFont="1" applyFill="1" applyAlignment="1">
      <alignment horizontal="center" vertical="center" wrapText="1"/>
    </xf>
    <xf numFmtId="171" fontId="10" fillId="0" borderId="0" xfId="0" applyNumberFormat="1" applyFont="1" applyAlignment="1">
      <alignment horizontal="center" vertical="center" wrapText="1"/>
    </xf>
    <xf numFmtId="171" fontId="11" fillId="0" borderId="0" xfId="0" applyNumberFormat="1" applyFont="1" applyFill="1" applyAlignment="1">
      <alignment horizontal="center" vertical="center" wrapText="1"/>
    </xf>
    <xf numFmtId="171" fontId="11" fillId="0" borderId="0" xfId="0" applyNumberFormat="1" applyFont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49" fontId="16" fillId="34" borderId="21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1" fontId="14" fillId="34" borderId="16" xfId="53" applyNumberFormat="1" applyFont="1" applyFill="1" applyBorder="1" applyAlignment="1">
      <alignment horizontal="center" vertical="center" wrapText="1"/>
      <protection/>
    </xf>
    <xf numFmtId="171" fontId="13" fillId="34" borderId="16" xfId="0" applyNumberFormat="1" applyFont="1" applyFill="1" applyBorder="1" applyAlignment="1">
      <alignment horizontal="center" vertical="center" wrapText="1"/>
    </xf>
    <xf numFmtId="171" fontId="14" fillId="34" borderId="22" xfId="0" applyNumberFormat="1" applyFont="1" applyFill="1" applyBorder="1" applyAlignment="1">
      <alignment horizontal="center" vertical="center" wrapText="1"/>
    </xf>
    <xf numFmtId="49" fontId="12" fillId="0" borderId="21" xfId="53" applyNumberFormat="1" applyFont="1" applyFill="1" applyBorder="1" applyAlignment="1" quotePrefix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1" fontId="13" fillId="0" borderId="16" xfId="0" applyNumberFormat="1" applyFont="1" applyFill="1" applyBorder="1" applyAlignment="1">
      <alignment horizontal="center" vertical="center" wrapText="1"/>
    </xf>
    <xf numFmtId="171" fontId="14" fillId="0" borderId="16" xfId="0" applyNumberFormat="1" applyFont="1" applyFill="1" applyBorder="1" applyAlignment="1">
      <alignment horizontal="center" vertical="center" wrapText="1"/>
    </xf>
    <xf numFmtId="171" fontId="14" fillId="0" borderId="22" xfId="0" applyNumberFormat="1" applyFont="1" applyFill="1" applyBorder="1" applyAlignment="1">
      <alignment horizontal="center" vertical="center" wrapText="1"/>
    </xf>
    <xf numFmtId="49" fontId="12" fillId="0" borderId="21" xfId="53" applyNumberFormat="1" applyFont="1" applyFill="1" applyBorder="1" applyAlignment="1">
      <alignment horizontal="center" vertical="center" wrapText="1"/>
      <protection/>
    </xf>
    <xf numFmtId="171" fontId="13" fillId="34" borderId="16" xfId="53" applyNumberFormat="1" applyFont="1" applyFill="1" applyBorder="1" applyAlignment="1">
      <alignment horizontal="center" vertical="center" wrapText="1"/>
      <protection/>
    </xf>
    <xf numFmtId="171" fontId="14" fillId="34" borderId="22" xfId="53" applyNumberFormat="1" applyFont="1" applyFill="1" applyBorder="1" applyAlignment="1">
      <alignment horizontal="center" vertical="center" wrapText="1"/>
      <protection/>
    </xf>
    <xf numFmtId="0" fontId="12" fillId="33" borderId="16" xfId="53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 applyProtection="1">
      <alignment horizontal="left" vertical="center" wrapText="1"/>
      <protection hidden="1"/>
    </xf>
    <xf numFmtId="171" fontId="13" fillId="35" borderId="16" xfId="53" applyNumberFormat="1" applyFont="1" applyFill="1" applyBorder="1" applyAlignment="1">
      <alignment horizontal="center" vertical="center" wrapText="1"/>
      <protection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171" fontId="14" fillId="34" borderId="16" xfId="0" applyNumberFormat="1" applyFont="1" applyFill="1" applyBorder="1" applyAlignment="1">
      <alignment horizontal="center" vertical="center" wrapText="1"/>
    </xf>
    <xf numFmtId="49" fontId="12" fillId="35" borderId="21" xfId="53" applyNumberFormat="1" applyFont="1" applyFill="1" applyBorder="1" applyAlignment="1">
      <alignment horizontal="center" vertical="center" wrapText="1"/>
      <protection/>
    </xf>
    <xf numFmtId="0" fontId="12" fillId="35" borderId="16" xfId="53" applyNumberFormat="1" applyFont="1" applyFill="1" applyBorder="1" applyAlignment="1">
      <alignment horizontal="left" vertical="center" wrapText="1"/>
      <protection/>
    </xf>
    <xf numFmtId="171" fontId="59" fillId="0" borderId="16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left" vertical="center" wrapText="1"/>
      <protection/>
    </xf>
    <xf numFmtId="49" fontId="13" fillId="0" borderId="21" xfId="53" applyNumberFormat="1" applyFont="1" applyFill="1" applyBorder="1" applyAlignment="1">
      <alignment horizontal="center" vertical="center" wrapText="1"/>
      <protection/>
    </xf>
    <xf numFmtId="0" fontId="13" fillId="0" borderId="16" xfId="53" applyNumberFormat="1" applyFont="1" applyFill="1" applyBorder="1" applyAlignment="1">
      <alignment horizontal="left" vertical="center" wrapText="1"/>
      <protection/>
    </xf>
    <xf numFmtId="49" fontId="16" fillId="34" borderId="21" xfId="53" applyNumberFormat="1" applyFont="1" applyFill="1" applyBorder="1" applyAlignment="1">
      <alignment horizontal="center" vertical="center" wrapText="1"/>
      <protection/>
    </xf>
    <xf numFmtId="171" fontId="13" fillId="36" borderId="16" xfId="53" applyNumberFormat="1" applyFont="1" applyFill="1" applyBorder="1" applyAlignment="1">
      <alignment horizontal="center" vertical="center" wrapText="1"/>
      <protection/>
    </xf>
    <xf numFmtId="171" fontId="13" fillId="36" borderId="16" xfId="0" applyNumberFormat="1" applyFont="1" applyFill="1" applyBorder="1" applyAlignment="1">
      <alignment horizontal="center" vertical="center" wrapText="1"/>
    </xf>
    <xf numFmtId="171" fontId="14" fillId="37" borderId="23" xfId="53" applyNumberFormat="1" applyFont="1" applyFill="1" applyBorder="1" applyAlignment="1">
      <alignment horizontal="center" vertical="center" wrapText="1"/>
      <protection/>
    </xf>
    <xf numFmtId="171" fontId="14" fillId="37" borderId="23" xfId="0" applyNumberFormat="1" applyFont="1" applyFill="1" applyBorder="1" applyAlignment="1">
      <alignment horizontal="center" vertical="center" wrapText="1"/>
    </xf>
    <xf numFmtId="171" fontId="14" fillId="37" borderId="24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71" fontId="58" fillId="0" borderId="0" xfId="53" applyNumberFormat="1" applyFont="1" applyFill="1" applyBorder="1" applyAlignment="1">
      <alignment horizontal="center" vertical="center" wrapText="1"/>
      <protection/>
    </xf>
    <xf numFmtId="171" fontId="11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1" fontId="58" fillId="0" borderId="0" xfId="0" applyNumberFormat="1" applyFont="1" applyFill="1" applyBorder="1" applyAlignment="1">
      <alignment horizontal="center" vertical="center" wrapText="1"/>
    </xf>
    <xf numFmtId="171" fontId="1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Alignment="1">
      <alignment horizontal="center" vertical="center" wrapText="1"/>
    </xf>
    <xf numFmtId="171" fontId="20" fillId="0" borderId="0" xfId="0" applyNumberFormat="1" applyFont="1" applyAlignment="1">
      <alignment horizontal="center" vertical="center" wrapText="1"/>
    </xf>
    <xf numFmtId="171" fontId="20" fillId="0" borderId="15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71" fontId="6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53" applyNumberFormat="1" applyFont="1" applyFill="1" applyBorder="1" applyAlignment="1">
      <alignment horizontal="center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  <xf numFmtId="171" fontId="20" fillId="0" borderId="0" xfId="0" applyNumberFormat="1" applyFont="1" applyFill="1" applyAlignment="1">
      <alignment horizontal="left" vertical="center" wrapText="1"/>
    </xf>
    <xf numFmtId="171" fontId="20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71" fontId="60" fillId="0" borderId="0" xfId="0" applyNumberFormat="1" applyFont="1" applyFill="1" applyBorder="1" applyAlignment="1">
      <alignment horizontal="center" vertical="center" wrapText="1"/>
    </xf>
    <xf numFmtId="171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1" fontId="6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168" fontId="5" fillId="0" borderId="16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1" fontId="14" fillId="0" borderId="22" xfId="53" applyNumberFormat="1" applyFont="1" applyBorder="1" applyAlignment="1">
      <alignment horizontal="center" vertical="center" wrapText="1"/>
      <protection/>
    </xf>
    <xf numFmtId="171" fontId="14" fillId="0" borderId="22" xfId="0" applyNumberFormat="1" applyFont="1" applyBorder="1" applyAlignment="1">
      <alignment horizontal="center" vertical="center" wrapText="1"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22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49" fontId="12" fillId="0" borderId="26" xfId="53" applyNumberFormat="1" applyFont="1" applyBorder="1" applyAlignment="1">
      <alignment horizontal="center" vertical="center" wrapText="1"/>
      <protection/>
    </xf>
    <xf numFmtId="49" fontId="12" fillId="0" borderId="21" xfId="53" applyNumberFormat="1" applyFont="1" applyBorder="1" applyAlignment="1">
      <alignment horizontal="center" vertical="center" wrapText="1"/>
      <protection/>
    </xf>
    <xf numFmtId="0" fontId="12" fillId="0" borderId="27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171" fontId="13" fillId="0" borderId="27" xfId="53" applyNumberFormat="1" applyFont="1" applyFill="1" applyBorder="1" applyAlignment="1">
      <alignment horizontal="center" vertical="center" wrapText="1"/>
      <protection/>
    </xf>
    <xf numFmtId="171" fontId="13" fillId="0" borderId="27" xfId="0" applyNumberFormat="1" applyFont="1" applyBorder="1" applyAlignment="1">
      <alignment horizontal="center" vertical="center" wrapText="1"/>
    </xf>
    <xf numFmtId="171" fontId="14" fillId="0" borderId="27" xfId="0" applyNumberFormat="1" applyFont="1" applyFill="1" applyBorder="1" applyAlignment="1">
      <alignment horizontal="center" vertical="center" wrapText="1"/>
    </xf>
    <xf numFmtId="171" fontId="14" fillId="0" borderId="28" xfId="0" applyNumberFormat="1" applyFont="1" applyFill="1" applyBorder="1" applyAlignment="1">
      <alignment horizontal="center" vertical="center" wrapText="1"/>
    </xf>
    <xf numFmtId="171" fontId="13" fillId="0" borderId="16" xfId="53" applyNumberFormat="1" applyFont="1" applyFill="1" applyBorder="1" applyAlignment="1">
      <alignment horizontal="center" vertical="center" wrapText="1"/>
      <protection/>
    </xf>
    <xf numFmtId="171" fontId="13" fillId="0" borderId="16" xfId="0" applyNumberFormat="1" applyFont="1" applyBorder="1" applyAlignment="1">
      <alignment horizontal="center" vertical="center" wrapText="1"/>
    </xf>
    <xf numFmtId="171" fontId="14" fillId="36" borderId="16" xfId="53" applyNumberFormat="1" applyFont="1" applyFill="1" applyBorder="1" applyAlignment="1">
      <alignment horizontal="center" vertical="center" wrapText="1"/>
      <protection/>
    </xf>
    <xf numFmtId="171" fontId="13" fillId="0" borderId="16" xfId="53" applyNumberFormat="1" applyFont="1" applyBorder="1" applyAlignment="1">
      <alignment horizontal="center" vertical="center" wrapText="1"/>
      <protection/>
    </xf>
    <xf numFmtId="171" fontId="14" fillId="0" borderId="16" xfId="53" applyNumberFormat="1" applyFont="1" applyFill="1" applyBorder="1" applyAlignment="1">
      <alignment horizontal="center" vertical="center" wrapText="1"/>
      <protection/>
    </xf>
    <xf numFmtId="171" fontId="14" fillId="0" borderId="16" xfId="0" applyNumberFormat="1" applyFont="1" applyBorder="1" applyAlignment="1">
      <alignment horizontal="center" vertical="center" wrapText="1"/>
    </xf>
    <xf numFmtId="171" fontId="14" fillId="0" borderId="16" xfId="53" applyNumberFormat="1" applyFont="1" applyBorder="1" applyAlignment="1">
      <alignment horizontal="center" vertical="center" wrapText="1"/>
      <protection/>
    </xf>
    <xf numFmtId="171" fontId="15" fillId="0" borderId="16" xfId="0" applyNumberFormat="1" applyFont="1" applyBorder="1" applyAlignment="1">
      <alignment horizontal="center" vertical="center"/>
    </xf>
    <xf numFmtId="0" fontId="19" fillId="37" borderId="29" xfId="53" applyNumberFormat="1" applyFont="1" applyFill="1" applyBorder="1" applyAlignment="1">
      <alignment horizontal="center" vertical="center" wrapText="1"/>
      <protection/>
    </xf>
    <xf numFmtId="0" fontId="19" fillId="37" borderId="23" xfId="53" applyNumberFormat="1" applyFont="1" applyFill="1" applyBorder="1" applyAlignment="1">
      <alignment horizontal="center" vertical="center" wrapText="1"/>
      <protection/>
    </xf>
    <xf numFmtId="49" fontId="16" fillId="34" borderId="21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71" fontId="20" fillId="0" borderId="0" xfId="53" applyNumberFormat="1" applyFont="1" applyFill="1" applyBorder="1" applyAlignment="1">
      <alignment horizontal="left" vertical="center" wrapText="1"/>
      <protection/>
    </xf>
    <xf numFmtId="171" fontId="20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8" sqref="A8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58.875" style="1" customWidth="1"/>
    <col min="4" max="4" width="10.125" style="1" customWidth="1"/>
    <col min="5" max="5" width="10.875" style="1" customWidth="1"/>
    <col min="6" max="6" width="11.00390625" style="1" hidden="1" customWidth="1"/>
    <col min="7" max="7" width="10.75390625" style="1" hidden="1" customWidth="1"/>
    <col min="8" max="8" width="10.875" style="1" hidden="1" customWidth="1"/>
    <col min="9" max="9" width="11.75390625" style="1" hidden="1" customWidth="1"/>
    <col min="10" max="10" width="12.00390625" style="1" hidden="1" customWidth="1" outlineLevel="1"/>
    <col min="11" max="11" width="11.00390625" style="1" customWidth="1" collapsed="1"/>
    <col min="12" max="12" width="10.25390625" style="1" hidden="1" customWidth="1"/>
    <col min="13" max="13" width="7.00390625" style="1" hidden="1" customWidth="1"/>
    <col min="14" max="14" width="11.875" style="1" hidden="1" customWidth="1"/>
    <col min="15" max="15" width="13.875" style="1" hidden="1" customWidth="1"/>
    <col min="16" max="16" width="13.125" style="1" hidden="1" customWidth="1"/>
    <col min="17" max="17" width="8.25390625" style="1" hidden="1" customWidth="1"/>
    <col min="18" max="18" width="8.00390625" style="1" customWidth="1"/>
    <col min="19" max="19" width="7.875" style="1" customWidth="1"/>
    <col min="20" max="16384" width="9.125" style="1" customWidth="1"/>
  </cols>
  <sheetData>
    <row r="1" spans="1:19" ht="12.75">
      <c r="A1" s="187" t="s">
        <v>87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3" ht="9.7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57" t="s">
        <v>69</v>
      </c>
      <c r="L3" s="13"/>
      <c r="M3" s="13"/>
    </row>
    <row r="4" spans="1:19" ht="12.75" customHeight="1">
      <c r="A4" s="14" t="s">
        <v>41</v>
      </c>
      <c r="B4" s="14"/>
      <c r="C4" s="15"/>
      <c r="D4" s="176" t="s">
        <v>84</v>
      </c>
      <c r="E4" s="176" t="s">
        <v>83</v>
      </c>
      <c r="F4" s="176" t="s">
        <v>81</v>
      </c>
      <c r="G4" s="179" t="s">
        <v>72</v>
      </c>
      <c r="H4" s="179" t="s">
        <v>73</v>
      </c>
      <c r="I4" s="179" t="s">
        <v>74</v>
      </c>
      <c r="J4" s="179" t="s">
        <v>75</v>
      </c>
      <c r="K4" s="176" t="s">
        <v>88</v>
      </c>
      <c r="L4" s="176" t="s">
        <v>76</v>
      </c>
      <c r="M4" s="176" t="s">
        <v>77</v>
      </c>
      <c r="N4" s="176" t="s">
        <v>78</v>
      </c>
      <c r="O4" s="176" t="s">
        <v>79</v>
      </c>
      <c r="P4" s="176" t="s">
        <v>80</v>
      </c>
      <c r="Q4" s="176" t="s">
        <v>82</v>
      </c>
      <c r="R4" s="176" t="s">
        <v>85</v>
      </c>
      <c r="S4" s="176" t="s">
        <v>86</v>
      </c>
    </row>
    <row r="5" spans="1:19" ht="27.75" customHeight="1">
      <c r="A5" s="16" t="s">
        <v>46</v>
      </c>
      <c r="B5" s="16"/>
      <c r="C5" s="17" t="s">
        <v>16</v>
      </c>
      <c r="D5" s="177"/>
      <c r="E5" s="177"/>
      <c r="F5" s="177"/>
      <c r="G5" s="180"/>
      <c r="H5" s="180"/>
      <c r="I5" s="180"/>
      <c r="J5" s="180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39.75" customHeight="1">
      <c r="A6" s="16"/>
      <c r="B6" s="16"/>
      <c r="C6" s="17"/>
      <c r="D6" s="178"/>
      <c r="E6" s="178"/>
      <c r="F6" s="178"/>
      <c r="G6" s="181"/>
      <c r="H6" s="181"/>
      <c r="I6" s="181"/>
      <c r="J6" s="181"/>
      <c r="K6" s="178"/>
      <c r="L6" s="178"/>
      <c r="M6" s="178"/>
      <c r="N6" s="178"/>
      <c r="O6" s="178"/>
      <c r="P6" s="178"/>
      <c r="Q6" s="178"/>
      <c r="R6" s="178"/>
      <c r="S6" s="178"/>
    </row>
    <row r="7" spans="1:18" ht="12.75">
      <c r="A7" s="185" t="s">
        <v>24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9" ht="12.75">
      <c r="A8" s="59" t="s">
        <v>3</v>
      </c>
      <c r="B8" s="59"/>
      <c r="C8" s="80" t="s">
        <v>68</v>
      </c>
      <c r="D8" s="43">
        <f aca="true" t="shared" si="0" ref="D8:K8">D9+D11+D12+D13+D15+D16+D18+D20+D14+D21+D17+D19+D10</f>
        <v>649949.9</v>
      </c>
      <c r="E8" s="43">
        <f t="shared" si="0"/>
        <v>704176.5</v>
      </c>
      <c r="F8" s="43">
        <f t="shared" si="0"/>
        <v>498521.30000000005</v>
      </c>
      <c r="G8" s="43">
        <f t="shared" si="0"/>
        <v>141020.8</v>
      </c>
      <c r="H8" s="43">
        <f t="shared" si="0"/>
        <v>187354.1</v>
      </c>
      <c r="I8" s="43">
        <f t="shared" si="0"/>
        <v>170146.40000000005</v>
      </c>
      <c r="J8" s="43">
        <f t="shared" si="0"/>
        <v>194233.10000000003</v>
      </c>
      <c r="K8" s="43">
        <f t="shared" si="0"/>
        <v>666389.7999999999</v>
      </c>
      <c r="L8" s="43" t="e">
        <f>L9+L11+L12+L13+L15+L16+L18+L20+L14+L21+L17+L19</f>
        <v>#REF!</v>
      </c>
      <c r="M8" s="43">
        <f aca="true" t="shared" si="1" ref="M8:M20">K8/I8*100</f>
        <v>391.65671445296505</v>
      </c>
      <c r="N8" s="60"/>
      <c r="O8" s="60"/>
      <c r="P8" s="43">
        <f>K8*100/J8</f>
        <v>343.0876611658877</v>
      </c>
      <c r="Q8" s="43">
        <f>K8*100/F8</f>
        <v>133.67328537416552</v>
      </c>
      <c r="R8" s="31">
        <f>K8*100/E8</f>
        <v>94.63391635477753</v>
      </c>
      <c r="S8" s="31">
        <f>K8*100/D8</f>
        <v>102.52941034378186</v>
      </c>
    </row>
    <row r="9" spans="1:19" ht="12.75">
      <c r="A9" s="19" t="s">
        <v>23</v>
      </c>
      <c r="B9" s="19"/>
      <c r="C9" s="81" t="s">
        <v>22</v>
      </c>
      <c r="D9" s="58">
        <v>475656.4</v>
      </c>
      <c r="E9" s="62">
        <v>482612.5</v>
      </c>
      <c r="F9" s="62">
        <f>G9+H9+I9</f>
        <v>350652.30000000005</v>
      </c>
      <c r="G9" s="62">
        <v>110296.7</v>
      </c>
      <c r="H9" s="62">
        <v>128225.5</v>
      </c>
      <c r="I9" s="27">
        <v>112130.1</v>
      </c>
      <c r="J9" s="63">
        <v>130940.2</v>
      </c>
      <c r="K9" s="63">
        <v>428349.6</v>
      </c>
      <c r="L9" s="27" t="e">
        <f>K9/#REF!*100</f>
        <v>#REF!</v>
      </c>
      <c r="M9" s="27">
        <f t="shared" si="1"/>
        <v>382.01125299986353</v>
      </c>
      <c r="N9" s="55"/>
      <c r="O9" s="55"/>
      <c r="P9" s="27">
        <f aca="true" t="shared" si="2" ref="P9:P77">K9*100/J9</f>
        <v>327.13376029668507</v>
      </c>
      <c r="Q9" s="27">
        <f aca="true" t="shared" si="3" ref="Q9:Q74">K9*100/F9</f>
        <v>122.15793251605649</v>
      </c>
      <c r="R9" s="63">
        <f aca="true" t="shared" si="4" ref="R9:R74">K9*100/E9</f>
        <v>88.75642466782357</v>
      </c>
      <c r="S9" s="25">
        <f aca="true" t="shared" si="5" ref="S9:S72">K9*100/D9</f>
        <v>90.05441743241549</v>
      </c>
    </row>
    <row r="10" spans="1:19" ht="12.75">
      <c r="A10" s="19" t="s">
        <v>70</v>
      </c>
      <c r="B10" s="19"/>
      <c r="C10" s="82" t="s">
        <v>71</v>
      </c>
      <c r="D10" s="58">
        <v>33926</v>
      </c>
      <c r="E10" s="58">
        <f aca="true" t="shared" si="6" ref="E10:E21">G10+H10+I10+J10</f>
        <v>33926</v>
      </c>
      <c r="F10" s="62">
        <f aca="true" t="shared" si="7" ref="F10:F21">G10+H10+I10</f>
        <v>25444.5</v>
      </c>
      <c r="G10" s="58">
        <v>8482</v>
      </c>
      <c r="H10" s="58">
        <v>8481.3</v>
      </c>
      <c r="I10" s="24">
        <v>8481.2</v>
      </c>
      <c r="J10" s="25">
        <v>8481.5</v>
      </c>
      <c r="K10" s="25">
        <v>32387.5</v>
      </c>
      <c r="L10" s="27"/>
      <c r="M10" s="27"/>
      <c r="N10" s="55"/>
      <c r="O10" s="55"/>
      <c r="P10" s="24"/>
      <c r="Q10" s="27">
        <f t="shared" si="3"/>
        <v>127.28683998506554</v>
      </c>
      <c r="R10" s="25">
        <f t="shared" si="4"/>
        <v>95.46512998879915</v>
      </c>
      <c r="S10" s="25">
        <f t="shared" si="5"/>
        <v>95.46512998879915</v>
      </c>
    </row>
    <row r="11" spans="1:19" ht="12.75">
      <c r="A11" s="19" t="s">
        <v>8</v>
      </c>
      <c r="B11" s="19"/>
      <c r="C11" s="82" t="s">
        <v>5</v>
      </c>
      <c r="D11" s="58">
        <v>31247.1</v>
      </c>
      <c r="E11" s="58">
        <f t="shared" si="6"/>
        <v>35675</v>
      </c>
      <c r="F11" s="62">
        <f t="shared" si="7"/>
        <v>25143.5</v>
      </c>
      <c r="G11" s="58">
        <v>8100.2</v>
      </c>
      <c r="H11" s="58">
        <v>9852.6</v>
      </c>
      <c r="I11" s="24">
        <v>7190.7</v>
      </c>
      <c r="J11" s="25">
        <v>10531.5</v>
      </c>
      <c r="K11" s="25">
        <v>37292.5</v>
      </c>
      <c r="L11" s="27" t="e">
        <f>K11/#REF!*100</f>
        <v>#REF!</v>
      </c>
      <c r="M11" s="27">
        <f t="shared" si="1"/>
        <v>518.6212747020458</v>
      </c>
      <c r="N11" s="55"/>
      <c r="O11" s="55"/>
      <c r="P11" s="24">
        <f t="shared" si="2"/>
        <v>354.1043536058491</v>
      </c>
      <c r="Q11" s="27">
        <f t="shared" si="3"/>
        <v>148.31865094358383</v>
      </c>
      <c r="R11" s="25">
        <f t="shared" si="4"/>
        <v>104.53398738612474</v>
      </c>
      <c r="S11" s="25">
        <f t="shared" si="5"/>
        <v>119.34707540859792</v>
      </c>
    </row>
    <row r="12" spans="1:19" ht="12.75">
      <c r="A12" s="19" t="s">
        <v>9</v>
      </c>
      <c r="B12" s="19"/>
      <c r="C12" s="82" t="s">
        <v>6</v>
      </c>
      <c r="D12" s="58">
        <v>3100</v>
      </c>
      <c r="E12" s="58">
        <v>3500</v>
      </c>
      <c r="F12" s="62">
        <f t="shared" si="7"/>
        <v>2584.1</v>
      </c>
      <c r="G12" s="58">
        <v>934</v>
      </c>
      <c r="H12" s="58">
        <v>875</v>
      </c>
      <c r="I12" s="24">
        <v>775.1</v>
      </c>
      <c r="J12" s="25">
        <v>775</v>
      </c>
      <c r="K12" s="25">
        <v>3685.6</v>
      </c>
      <c r="L12" s="27" t="e">
        <f>K12/#REF!*100</f>
        <v>#REF!</v>
      </c>
      <c r="M12" s="27">
        <f t="shared" si="1"/>
        <v>475.4999354921945</v>
      </c>
      <c r="N12" s="55"/>
      <c r="O12" s="55"/>
      <c r="P12" s="24">
        <f t="shared" si="2"/>
        <v>475.56129032258065</v>
      </c>
      <c r="Q12" s="27">
        <f t="shared" si="3"/>
        <v>142.62605936302776</v>
      </c>
      <c r="R12" s="25">
        <f t="shared" si="4"/>
        <v>105.30285714285715</v>
      </c>
      <c r="S12" s="25">
        <f t="shared" si="5"/>
        <v>118.89032258064516</v>
      </c>
    </row>
    <row r="13" spans="1:19" ht="12.75">
      <c r="A13" s="19" t="s">
        <v>10</v>
      </c>
      <c r="B13" s="19"/>
      <c r="C13" s="82" t="s">
        <v>21</v>
      </c>
      <c r="D13" s="58">
        <v>1819</v>
      </c>
      <c r="E13" s="58">
        <v>2819</v>
      </c>
      <c r="F13" s="62">
        <f t="shared" si="7"/>
        <v>1964</v>
      </c>
      <c r="G13" s="58">
        <v>453</v>
      </c>
      <c r="H13" s="58">
        <f>456+300</f>
        <v>756</v>
      </c>
      <c r="I13" s="24">
        <v>755</v>
      </c>
      <c r="J13" s="25">
        <v>555</v>
      </c>
      <c r="K13" s="25">
        <v>3107</v>
      </c>
      <c r="L13" s="27" t="e">
        <f>K13/#REF!*100</f>
        <v>#REF!</v>
      </c>
      <c r="M13" s="27">
        <f t="shared" si="1"/>
        <v>411.523178807947</v>
      </c>
      <c r="N13" s="55"/>
      <c r="O13" s="55"/>
      <c r="P13" s="24">
        <f t="shared" si="2"/>
        <v>559.8198198198198</v>
      </c>
      <c r="Q13" s="27">
        <f t="shared" si="3"/>
        <v>158.19755600814665</v>
      </c>
      <c r="R13" s="25">
        <f t="shared" si="4"/>
        <v>110.21638879035119</v>
      </c>
      <c r="S13" s="25">
        <f t="shared" si="5"/>
        <v>170.8081363386476</v>
      </c>
    </row>
    <row r="14" spans="1:19" ht="21.75" customHeight="1" hidden="1">
      <c r="A14" s="19" t="s">
        <v>37</v>
      </c>
      <c r="B14" s="19"/>
      <c r="C14" s="82" t="s">
        <v>38</v>
      </c>
      <c r="D14" s="58"/>
      <c r="E14" s="58">
        <f t="shared" si="6"/>
        <v>0</v>
      </c>
      <c r="F14" s="62">
        <f t="shared" si="7"/>
        <v>0</v>
      </c>
      <c r="G14" s="58"/>
      <c r="H14" s="58"/>
      <c r="I14" s="24"/>
      <c r="J14" s="25"/>
      <c r="K14" s="25"/>
      <c r="L14" s="27" t="e">
        <f>K14/#REF!*100</f>
        <v>#REF!</v>
      </c>
      <c r="M14" s="27"/>
      <c r="N14" s="55"/>
      <c r="O14" s="55"/>
      <c r="P14" s="24" t="e">
        <f t="shared" si="2"/>
        <v>#DIV/0!</v>
      </c>
      <c r="Q14" s="27"/>
      <c r="R14" s="25"/>
      <c r="S14" s="25" t="e">
        <f t="shared" si="5"/>
        <v>#DIV/0!</v>
      </c>
    </row>
    <row r="15" spans="1:19" ht="24">
      <c r="A15" s="20" t="s">
        <v>11</v>
      </c>
      <c r="B15" s="20"/>
      <c r="C15" s="82" t="s">
        <v>17</v>
      </c>
      <c r="D15" s="58">
        <v>71746</v>
      </c>
      <c r="E15" s="58">
        <v>89178.1</v>
      </c>
      <c r="F15" s="62">
        <f t="shared" si="7"/>
        <v>52646.899999999994</v>
      </c>
      <c r="G15" s="58">
        <v>5930.3</v>
      </c>
      <c r="H15" s="58">
        <v>22107.1</v>
      </c>
      <c r="I15" s="24">
        <v>24609.5</v>
      </c>
      <c r="J15" s="25">
        <v>29552.7</v>
      </c>
      <c r="K15" s="25">
        <v>100246.9</v>
      </c>
      <c r="L15" s="27" t="e">
        <f>K15/#REF!*100</f>
        <v>#REF!</v>
      </c>
      <c r="M15" s="27">
        <f t="shared" si="1"/>
        <v>407.35041345821736</v>
      </c>
      <c r="N15" s="55"/>
      <c r="O15" s="55"/>
      <c r="P15" s="24">
        <f t="shared" si="2"/>
        <v>339.2140142863427</v>
      </c>
      <c r="Q15" s="27">
        <f t="shared" si="3"/>
        <v>190.41368057758388</v>
      </c>
      <c r="R15" s="25">
        <f t="shared" si="4"/>
        <v>112.41201595458973</v>
      </c>
      <c r="S15" s="25">
        <f t="shared" si="5"/>
        <v>139.72472332952358</v>
      </c>
    </row>
    <row r="16" spans="1:19" ht="12.75">
      <c r="A16" s="36" t="s">
        <v>14</v>
      </c>
      <c r="B16" s="36"/>
      <c r="C16" s="82" t="s">
        <v>13</v>
      </c>
      <c r="D16" s="58">
        <v>9202.4</v>
      </c>
      <c r="E16" s="58">
        <v>20451.9</v>
      </c>
      <c r="F16" s="62">
        <f t="shared" si="7"/>
        <v>17300.5</v>
      </c>
      <c r="G16" s="58">
        <f>2300.6</f>
        <v>2300.6</v>
      </c>
      <c r="H16" s="58">
        <f>2300.6+8396.9</f>
        <v>10697.5</v>
      </c>
      <c r="I16" s="24">
        <v>4302.4</v>
      </c>
      <c r="J16" s="25">
        <v>3732.7</v>
      </c>
      <c r="K16" s="25">
        <v>23122.7</v>
      </c>
      <c r="L16" s="27" t="e">
        <f>K16/#REF!*100</f>
        <v>#REF!</v>
      </c>
      <c r="M16" s="27">
        <f t="shared" si="1"/>
        <v>537.4372443287468</v>
      </c>
      <c r="N16" s="55"/>
      <c r="O16" s="55"/>
      <c r="P16" s="24">
        <f t="shared" si="2"/>
        <v>619.4631232084015</v>
      </c>
      <c r="Q16" s="27">
        <f t="shared" si="3"/>
        <v>133.65336261957748</v>
      </c>
      <c r="R16" s="25">
        <f t="shared" si="4"/>
        <v>113.05893339983082</v>
      </c>
      <c r="S16" s="25">
        <f t="shared" si="5"/>
        <v>251.26814743979833</v>
      </c>
    </row>
    <row r="17" spans="1:19" ht="14.25" customHeight="1">
      <c r="A17" s="37" t="s">
        <v>42</v>
      </c>
      <c r="B17" s="37"/>
      <c r="C17" s="82" t="s">
        <v>43</v>
      </c>
      <c r="D17" s="58">
        <v>6751</v>
      </c>
      <c r="E17" s="58">
        <f t="shared" si="6"/>
        <v>8251</v>
      </c>
      <c r="F17" s="62">
        <f t="shared" si="7"/>
        <v>5908.5</v>
      </c>
      <c r="G17" s="58">
        <v>1619.5</v>
      </c>
      <c r="H17" s="58">
        <v>1669.5</v>
      </c>
      <c r="I17" s="24">
        <v>2619.5</v>
      </c>
      <c r="J17" s="25">
        <v>2342.5</v>
      </c>
      <c r="K17" s="25">
        <v>8769.8</v>
      </c>
      <c r="L17" s="27" t="e">
        <f>K17/#REF!*100</f>
        <v>#REF!</v>
      </c>
      <c r="M17" s="27">
        <f t="shared" si="1"/>
        <v>334.78908188585604</v>
      </c>
      <c r="N17" s="55"/>
      <c r="O17" s="55"/>
      <c r="P17" s="24">
        <f t="shared" si="2"/>
        <v>374.37780149413015</v>
      </c>
      <c r="Q17" s="27">
        <f t="shared" si="3"/>
        <v>148.4268426842684</v>
      </c>
      <c r="R17" s="25">
        <f t="shared" si="4"/>
        <v>106.28772270027874</v>
      </c>
      <c r="S17" s="25">
        <f t="shared" si="5"/>
        <v>129.90371796770847</v>
      </c>
    </row>
    <row r="18" spans="1:19" ht="12.75">
      <c r="A18" s="37" t="s">
        <v>18</v>
      </c>
      <c r="B18" s="37"/>
      <c r="C18" s="82" t="s">
        <v>15</v>
      </c>
      <c r="D18" s="58">
        <v>15360</v>
      </c>
      <c r="E18" s="58">
        <v>22480</v>
      </c>
      <c r="F18" s="62">
        <f t="shared" si="7"/>
        <v>13463</v>
      </c>
      <c r="G18" s="58">
        <v>2264.1</v>
      </c>
      <c r="H18" s="58">
        <v>4023.7</v>
      </c>
      <c r="I18" s="24">
        <v>7175.2</v>
      </c>
      <c r="J18" s="25">
        <v>5773</v>
      </c>
      <c r="K18" s="25">
        <v>22991.4</v>
      </c>
      <c r="L18" s="27" t="e">
        <f>K18/#REF!*100</f>
        <v>#REF!</v>
      </c>
      <c r="M18" s="27">
        <f t="shared" si="1"/>
        <v>320.4286988516</v>
      </c>
      <c r="N18" s="55"/>
      <c r="O18" s="55"/>
      <c r="P18" s="24">
        <f t="shared" si="2"/>
        <v>398.25740516196083</v>
      </c>
      <c r="Q18" s="27">
        <f t="shared" si="3"/>
        <v>170.77471588798932</v>
      </c>
      <c r="R18" s="25">
        <f t="shared" si="4"/>
        <v>102.27491103202847</v>
      </c>
      <c r="S18" s="25">
        <f t="shared" si="5"/>
        <v>149.68359375</v>
      </c>
    </row>
    <row r="19" spans="1:19" ht="12.75">
      <c r="A19" s="37" t="s">
        <v>60</v>
      </c>
      <c r="B19" s="37"/>
      <c r="C19" s="82" t="s">
        <v>61</v>
      </c>
      <c r="D19" s="58">
        <v>7</v>
      </c>
      <c r="E19" s="58">
        <f t="shared" si="6"/>
        <v>3</v>
      </c>
      <c r="F19" s="62">
        <f t="shared" si="7"/>
        <v>2</v>
      </c>
      <c r="G19" s="58">
        <v>2</v>
      </c>
      <c r="H19" s="58"/>
      <c r="I19" s="24"/>
      <c r="J19" s="25">
        <v>1</v>
      </c>
      <c r="K19" s="25">
        <v>3.2</v>
      </c>
      <c r="L19" s="27" t="e">
        <f>K19/#REF!*100</f>
        <v>#REF!</v>
      </c>
      <c r="M19" s="27" t="e">
        <f t="shared" si="1"/>
        <v>#DIV/0!</v>
      </c>
      <c r="N19" s="55"/>
      <c r="O19" s="55"/>
      <c r="P19" s="24">
        <f t="shared" si="2"/>
        <v>320</v>
      </c>
      <c r="Q19" s="27">
        <f t="shared" si="3"/>
        <v>160</v>
      </c>
      <c r="R19" s="25">
        <f t="shared" si="4"/>
        <v>106.66666666666667</v>
      </c>
      <c r="S19" s="25">
        <f t="shared" si="5"/>
        <v>45.714285714285715</v>
      </c>
    </row>
    <row r="20" spans="1:19" ht="12.75">
      <c r="A20" s="28" t="s">
        <v>12</v>
      </c>
      <c r="B20" s="28"/>
      <c r="C20" s="82" t="s">
        <v>7</v>
      </c>
      <c r="D20" s="58">
        <v>1135</v>
      </c>
      <c r="E20" s="58">
        <v>5280</v>
      </c>
      <c r="F20" s="62">
        <f t="shared" si="7"/>
        <v>3412</v>
      </c>
      <c r="G20" s="58">
        <v>638.4</v>
      </c>
      <c r="H20" s="58">
        <v>665.9</v>
      </c>
      <c r="I20" s="24">
        <v>2107.7</v>
      </c>
      <c r="J20" s="25">
        <v>1548</v>
      </c>
      <c r="K20" s="25">
        <v>4943.4</v>
      </c>
      <c r="L20" s="27" t="e">
        <f>K20/#REF!*100</f>
        <v>#REF!</v>
      </c>
      <c r="M20" s="27">
        <f t="shared" si="1"/>
        <v>234.54001992693458</v>
      </c>
      <c r="N20" s="55"/>
      <c r="O20" s="55"/>
      <c r="P20" s="24">
        <f t="shared" si="2"/>
        <v>319.3410852713178</v>
      </c>
      <c r="Q20" s="27">
        <f t="shared" si="3"/>
        <v>144.88276670574442</v>
      </c>
      <c r="R20" s="25">
        <f t="shared" si="4"/>
        <v>93.62499999999999</v>
      </c>
      <c r="S20" s="25">
        <f t="shared" si="5"/>
        <v>435.5418502202643</v>
      </c>
    </row>
    <row r="21" spans="1:19" ht="12.75">
      <c r="A21" s="38" t="s">
        <v>39</v>
      </c>
      <c r="B21" s="64"/>
      <c r="C21" s="23" t="s">
        <v>40</v>
      </c>
      <c r="D21" s="58"/>
      <c r="E21" s="58">
        <f t="shared" si="6"/>
        <v>0</v>
      </c>
      <c r="F21" s="62">
        <f t="shared" si="7"/>
        <v>0</v>
      </c>
      <c r="G21" s="58"/>
      <c r="H21" s="58"/>
      <c r="I21" s="24"/>
      <c r="J21" s="25"/>
      <c r="K21" s="25">
        <v>1490.2</v>
      </c>
      <c r="L21" s="27"/>
      <c r="M21" s="27"/>
      <c r="N21" s="55"/>
      <c r="O21" s="55"/>
      <c r="P21" s="24"/>
      <c r="Q21" s="27"/>
      <c r="R21" s="25"/>
      <c r="S21" s="25"/>
    </row>
    <row r="22" spans="1:19" ht="12.75">
      <c r="A22" s="32" t="s">
        <v>1</v>
      </c>
      <c r="B22" s="32"/>
      <c r="C22" s="83" t="s">
        <v>0</v>
      </c>
      <c r="D22" s="40">
        <f aca="true" t="shared" si="8" ref="D22:K22">D23+D24+D26+D25</f>
        <v>2684963.7</v>
      </c>
      <c r="E22" s="40">
        <f t="shared" si="8"/>
        <v>3449005.1999999997</v>
      </c>
      <c r="F22" s="40">
        <f>F23+F24+F26+F25</f>
        <v>2546545.5</v>
      </c>
      <c r="G22" s="40">
        <f t="shared" si="8"/>
        <v>669271</v>
      </c>
      <c r="H22" s="40">
        <f t="shared" si="8"/>
        <v>824711.2999999999</v>
      </c>
      <c r="I22" s="40">
        <f t="shared" si="8"/>
        <v>1052563.2</v>
      </c>
      <c r="J22" s="40">
        <f t="shared" si="8"/>
        <v>817918.9</v>
      </c>
      <c r="K22" s="40">
        <f t="shared" si="8"/>
        <v>3233310</v>
      </c>
      <c r="L22" s="34" t="e">
        <f>K22/#REF!*100</f>
        <v>#REF!</v>
      </c>
      <c r="M22" s="34">
        <f aca="true" t="shared" si="9" ref="M22:M27">K22/I22*100</f>
        <v>307.18440469892926</v>
      </c>
      <c r="N22" s="55"/>
      <c r="O22" s="55"/>
      <c r="P22" s="43">
        <f t="shared" si="2"/>
        <v>395.30936380122773</v>
      </c>
      <c r="Q22" s="34">
        <f t="shared" si="3"/>
        <v>126.96847552890769</v>
      </c>
      <c r="R22" s="31">
        <f t="shared" si="4"/>
        <v>93.74616193678108</v>
      </c>
      <c r="S22" s="31">
        <f t="shared" si="5"/>
        <v>120.42285711348723</v>
      </c>
    </row>
    <row r="23" spans="1:19" ht="24">
      <c r="A23" s="21" t="s">
        <v>67</v>
      </c>
      <c r="B23" s="19"/>
      <c r="C23" s="84" t="s">
        <v>20</v>
      </c>
      <c r="D23" s="86">
        <v>2664963.7</v>
      </c>
      <c r="E23" s="58">
        <v>3412643.8</v>
      </c>
      <c r="F23" s="62">
        <f>G23+H23+I23</f>
        <v>2520184.1</v>
      </c>
      <c r="G23" s="58">
        <v>668686.1</v>
      </c>
      <c r="H23" s="58">
        <v>803924.1</v>
      </c>
      <c r="I23" s="25">
        <f>1047354.1+219.8</f>
        <v>1047573.9</v>
      </c>
      <c r="J23" s="25">
        <v>807918.9</v>
      </c>
      <c r="K23" s="25">
        <v>3183293.2</v>
      </c>
      <c r="L23" s="27" t="e">
        <f>K23/#REF!*100</f>
        <v>#REF!</v>
      </c>
      <c r="M23" s="27">
        <f t="shared" si="9"/>
        <v>303.8729009953379</v>
      </c>
      <c r="N23" s="55"/>
      <c r="O23" s="55"/>
      <c r="P23" s="24">
        <f t="shared" si="2"/>
        <v>394.01147813227294</v>
      </c>
      <c r="Q23" s="27">
        <f t="shared" si="3"/>
        <v>126.31193094187047</v>
      </c>
      <c r="R23" s="25">
        <f t="shared" si="4"/>
        <v>93.2793864979404</v>
      </c>
      <c r="S23" s="25">
        <f t="shared" si="5"/>
        <v>119.44977712079154</v>
      </c>
    </row>
    <row r="24" spans="1:19" ht="13.5" customHeight="1">
      <c r="A24" s="21" t="s">
        <v>2</v>
      </c>
      <c r="B24" s="21"/>
      <c r="C24" s="85" t="s">
        <v>19</v>
      </c>
      <c r="D24" s="65">
        <v>20000</v>
      </c>
      <c r="E24" s="58">
        <v>52000</v>
      </c>
      <c r="F24" s="62">
        <f>G24+H24+I24</f>
        <v>42000</v>
      </c>
      <c r="G24" s="65">
        <v>8800</v>
      </c>
      <c r="H24" s="65">
        <v>22600</v>
      </c>
      <c r="I24" s="25">
        <v>10600</v>
      </c>
      <c r="J24" s="25">
        <v>10000</v>
      </c>
      <c r="K24" s="25">
        <v>67087.9</v>
      </c>
      <c r="L24" s="27" t="e">
        <f>K24/#REF!*100</f>
        <v>#REF!</v>
      </c>
      <c r="M24" s="27">
        <f t="shared" si="9"/>
        <v>632.904716981132</v>
      </c>
      <c r="N24" s="55"/>
      <c r="O24" s="55"/>
      <c r="P24" s="24">
        <f t="shared" si="2"/>
        <v>670.8789999999999</v>
      </c>
      <c r="Q24" s="27">
        <f t="shared" si="3"/>
        <v>159.73309523809522</v>
      </c>
      <c r="R24" s="25">
        <f t="shared" si="4"/>
        <v>129.0151923076923</v>
      </c>
      <c r="S24" s="25">
        <f t="shared" si="5"/>
        <v>335.43949999999995</v>
      </c>
    </row>
    <row r="25" spans="1:19" ht="16.5" customHeight="1">
      <c r="A25" s="21" t="s">
        <v>65</v>
      </c>
      <c r="B25" s="22" t="s">
        <v>64</v>
      </c>
      <c r="C25" s="23" t="s">
        <v>64</v>
      </c>
      <c r="D25" s="58"/>
      <c r="E25" s="58">
        <v>94</v>
      </c>
      <c r="F25" s="62">
        <f>G25+H25+I25</f>
        <v>94</v>
      </c>
      <c r="G25" s="58"/>
      <c r="H25" s="58"/>
      <c r="I25" s="25">
        <v>94</v>
      </c>
      <c r="J25" s="25"/>
      <c r="K25" s="25">
        <v>94</v>
      </c>
      <c r="L25" s="27" t="e">
        <f>K25/#REF!*100</f>
        <v>#REF!</v>
      </c>
      <c r="M25" s="27"/>
      <c r="N25" s="55"/>
      <c r="O25" s="55"/>
      <c r="P25" s="24" t="e">
        <f t="shared" si="2"/>
        <v>#DIV/0!</v>
      </c>
      <c r="Q25" s="27">
        <f>K25*100/F25</f>
        <v>100</v>
      </c>
      <c r="R25" s="25">
        <f>K25*100/E25</f>
        <v>100</v>
      </c>
      <c r="S25" s="25"/>
    </row>
    <row r="26" spans="1:19" ht="24">
      <c r="A26" s="21" t="s">
        <v>66</v>
      </c>
      <c r="B26" s="66"/>
      <c r="C26" s="26" t="s">
        <v>63</v>
      </c>
      <c r="D26" s="67"/>
      <c r="E26" s="58">
        <v>-15732.6</v>
      </c>
      <c r="F26" s="62">
        <f>G26+H26+I26</f>
        <v>-15732.599999999999</v>
      </c>
      <c r="G26" s="67">
        <v>-8215.1</v>
      </c>
      <c r="H26" s="67">
        <v>-1812.8</v>
      </c>
      <c r="I26" s="25">
        <f>-5610.7-94</f>
        <v>-5704.7</v>
      </c>
      <c r="J26" s="25"/>
      <c r="K26" s="25">
        <v>-17165.1</v>
      </c>
      <c r="L26" s="27" t="e">
        <f>K26/#REF!*100</f>
        <v>#REF!</v>
      </c>
      <c r="M26" s="27"/>
      <c r="N26" s="55"/>
      <c r="O26" s="55"/>
      <c r="P26" s="24" t="e">
        <f t="shared" si="2"/>
        <v>#DIV/0!</v>
      </c>
      <c r="Q26" s="27">
        <f>K26*100/F26</f>
        <v>109.10529728080546</v>
      </c>
      <c r="R26" s="25">
        <f>K26*100/E26</f>
        <v>109.10529728080544</v>
      </c>
      <c r="S26" s="25"/>
    </row>
    <row r="27" spans="1:19" ht="12.75">
      <c r="A27" s="20"/>
      <c r="B27" s="70"/>
      <c r="C27" s="71" t="s">
        <v>4</v>
      </c>
      <c r="D27" s="72">
        <f aca="true" t="shared" si="10" ref="D27:K27">D22+D8</f>
        <v>3334913.6</v>
      </c>
      <c r="E27" s="72">
        <f t="shared" si="10"/>
        <v>4153181.6999999997</v>
      </c>
      <c r="F27" s="72">
        <f t="shared" si="10"/>
        <v>3045066.8</v>
      </c>
      <c r="G27" s="72">
        <f t="shared" si="10"/>
        <v>810291.8</v>
      </c>
      <c r="H27" s="72">
        <f t="shared" si="10"/>
        <v>1012065.3999999999</v>
      </c>
      <c r="I27" s="72">
        <f t="shared" si="10"/>
        <v>1222709.6</v>
      </c>
      <c r="J27" s="72">
        <f t="shared" si="10"/>
        <v>1012152</v>
      </c>
      <c r="K27" s="72">
        <f t="shared" si="10"/>
        <v>3899699.8</v>
      </c>
      <c r="L27" s="93" t="e">
        <f>K27/#REF!*100</f>
        <v>#REF!</v>
      </c>
      <c r="M27" s="93">
        <f t="shared" si="9"/>
        <v>318.93916593114176</v>
      </c>
      <c r="N27" s="55"/>
      <c r="O27" s="56" t="e">
        <f>J27+#REF!+#REF!</f>
        <v>#REF!</v>
      </c>
      <c r="P27" s="94">
        <f t="shared" si="2"/>
        <v>385.2879607015547</v>
      </c>
      <c r="Q27" s="93">
        <f t="shared" si="3"/>
        <v>128.0661494847995</v>
      </c>
      <c r="R27" s="72">
        <f t="shared" si="4"/>
        <v>93.89668166938134</v>
      </c>
      <c r="S27" s="72">
        <f t="shared" si="5"/>
        <v>116.93555719104687</v>
      </c>
    </row>
    <row r="28" spans="1:19" ht="12.7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5"/>
      <c r="O28" s="95"/>
      <c r="P28" s="96"/>
      <c r="Q28" s="97"/>
      <c r="R28" s="98"/>
      <c r="S28" s="99"/>
    </row>
    <row r="29" spans="1:19" ht="12.75">
      <c r="A29" s="173" t="s">
        <v>25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5"/>
    </row>
    <row r="30" spans="1:19" ht="12.75">
      <c r="A30" s="32" t="s">
        <v>3</v>
      </c>
      <c r="B30" s="32"/>
      <c r="C30" s="33" t="s">
        <v>68</v>
      </c>
      <c r="D30" s="34">
        <f aca="true" t="shared" si="11" ref="D30:J30">D31+D32+D34+D36+D33+D35+D38</f>
        <v>16146.5</v>
      </c>
      <c r="E30" s="34">
        <f t="shared" si="11"/>
        <v>16146.5</v>
      </c>
      <c r="F30" s="34">
        <f>F31+F32+F34+F36+F33+F35+F38</f>
        <v>12109.8</v>
      </c>
      <c r="G30" s="34">
        <f t="shared" si="11"/>
        <v>4036.6</v>
      </c>
      <c r="H30" s="34">
        <f t="shared" si="11"/>
        <v>4036.6</v>
      </c>
      <c r="I30" s="34">
        <f t="shared" si="11"/>
        <v>4036.6</v>
      </c>
      <c r="J30" s="34">
        <f t="shared" si="11"/>
        <v>4036.7</v>
      </c>
      <c r="K30" s="34">
        <f>K31+K32+K34+K36+K33+K35+K38+K37</f>
        <v>13344.500000000002</v>
      </c>
      <c r="L30" s="34" t="e">
        <f>K30/#REF!*100</f>
        <v>#REF!</v>
      </c>
      <c r="M30" s="34">
        <f aca="true" t="shared" si="12" ref="M30:M37">K30/I30*100</f>
        <v>330.5876232472874</v>
      </c>
      <c r="N30" s="55"/>
      <c r="O30" s="55"/>
      <c r="P30" s="34">
        <f t="shared" si="2"/>
        <v>330.57943369584075</v>
      </c>
      <c r="Q30" s="34">
        <f t="shared" si="3"/>
        <v>110.19587441576246</v>
      </c>
      <c r="R30" s="88">
        <f t="shared" si="4"/>
        <v>82.64639395534637</v>
      </c>
      <c r="S30" s="31">
        <f t="shared" si="5"/>
        <v>82.64639395534637</v>
      </c>
    </row>
    <row r="31" spans="1:19" ht="12.75">
      <c r="A31" s="19" t="s">
        <v>23</v>
      </c>
      <c r="B31" s="19"/>
      <c r="C31" s="61" t="s">
        <v>22</v>
      </c>
      <c r="D31" s="73">
        <v>14100</v>
      </c>
      <c r="E31" s="58">
        <v>13855</v>
      </c>
      <c r="F31" s="62">
        <f>G31+H31+I31</f>
        <v>10575</v>
      </c>
      <c r="G31" s="62">
        <v>3525</v>
      </c>
      <c r="H31" s="62">
        <v>3525</v>
      </c>
      <c r="I31" s="24">
        <v>3525</v>
      </c>
      <c r="J31" s="25">
        <v>3525</v>
      </c>
      <c r="K31" s="63">
        <v>10506.7</v>
      </c>
      <c r="L31" s="27" t="e">
        <f>K31/#REF!*100</f>
        <v>#REF!</v>
      </c>
      <c r="M31" s="27">
        <f t="shared" si="12"/>
        <v>298.06241134751775</v>
      </c>
      <c r="N31" s="55"/>
      <c r="O31" s="55"/>
      <c r="P31" s="24">
        <f t="shared" si="2"/>
        <v>298.06241134751775</v>
      </c>
      <c r="Q31" s="27">
        <f>K31*100/F31</f>
        <v>99.35413711583924</v>
      </c>
      <c r="R31" s="25">
        <f t="shared" si="4"/>
        <v>75.83327318657524</v>
      </c>
      <c r="S31" s="25">
        <f t="shared" si="5"/>
        <v>74.51560283687944</v>
      </c>
    </row>
    <row r="32" spans="1:19" ht="12.75">
      <c r="A32" s="19" t="s">
        <v>9</v>
      </c>
      <c r="B32" s="19"/>
      <c r="C32" s="35" t="s">
        <v>6</v>
      </c>
      <c r="D32" s="44">
        <v>290</v>
      </c>
      <c r="E32" s="58">
        <v>440</v>
      </c>
      <c r="F32" s="62">
        <f aca="true" t="shared" si="13" ref="F32:F38">G32+H32+I32</f>
        <v>217.5</v>
      </c>
      <c r="G32" s="58">
        <v>72.5</v>
      </c>
      <c r="H32" s="58">
        <v>72.5</v>
      </c>
      <c r="I32" s="24">
        <v>72.5</v>
      </c>
      <c r="J32" s="25">
        <v>72.5</v>
      </c>
      <c r="K32" s="25">
        <v>516</v>
      </c>
      <c r="L32" s="27" t="e">
        <f>K32/#REF!*100</f>
        <v>#REF!</v>
      </c>
      <c r="M32" s="27">
        <f t="shared" si="12"/>
        <v>711.7241379310345</v>
      </c>
      <c r="N32" s="55"/>
      <c r="O32" s="55"/>
      <c r="P32" s="24">
        <f t="shared" si="2"/>
        <v>711.7241379310345</v>
      </c>
      <c r="Q32" s="27">
        <f t="shared" si="3"/>
        <v>237.24137931034483</v>
      </c>
      <c r="R32" s="25">
        <f t="shared" si="4"/>
        <v>117.27272727272727</v>
      </c>
      <c r="S32" s="25">
        <f t="shared" si="5"/>
        <v>177.93103448275863</v>
      </c>
    </row>
    <row r="33" spans="1:19" ht="12.75">
      <c r="A33" s="19" t="s">
        <v>10</v>
      </c>
      <c r="B33" s="19"/>
      <c r="C33" s="35" t="s">
        <v>21</v>
      </c>
      <c r="D33" s="44">
        <v>24</v>
      </c>
      <c r="E33" s="58">
        <f>G33+H33+I33+J33</f>
        <v>24</v>
      </c>
      <c r="F33" s="62">
        <f t="shared" si="13"/>
        <v>18</v>
      </c>
      <c r="G33" s="58">
        <v>6</v>
      </c>
      <c r="H33" s="58">
        <v>6</v>
      </c>
      <c r="I33" s="24">
        <v>6</v>
      </c>
      <c r="J33" s="25">
        <v>6</v>
      </c>
      <c r="K33" s="25">
        <v>25.8</v>
      </c>
      <c r="L33" s="27" t="e">
        <f>K33/#REF!*100</f>
        <v>#REF!</v>
      </c>
      <c r="M33" s="27">
        <f t="shared" si="12"/>
        <v>430</v>
      </c>
      <c r="N33" s="55"/>
      <c r="O33" s="55"/>
      <c r="P33" s="24">
        <f t="shared" si="2"/>
        <v>430</v>
      </c>
      <c r="Q33" s="27">
        <f t="shared" si="3"/>
        <v>143.33333333333334</v>
      </c>
      <c r="R33" s="25">
        <f t="shared" si="4"/>
        <v>107.5</v>
      </c>
      <c r="S33" s="25">
        <f t="shared" si="5"/>
        <v>107.5</v>
      </c>
    </row>
    <row r="34" spans="1:19" ht="24">
      <c r="A34" s="20" t="s">
        <v>11</v>
      </c>
      <c r="B34" s="20"/>
      <c r="C34" s="35" t="s">
        <v>17</v>
      </c>
      <c r="D34" s="44">
        <v>1670</v>
      </c>
      <c r="E34" s="58">
        <v>1690</v>
      </c>
      <c r="F34" s="62">
        <f t="shared" si="13"/>
        <v>1252.5</v>
      </c>
      <c r="G34" s="58">
        <v>417.5</v>
      </c>
      <c r="H34" s="58">
        <v>417.5</v>
      </c>
      <c r="I34" s="24">
        <v>417.5</v>
      </c>
      <c r="J34" s="25">
        <v>417.5</v>
      </c>
      <c r="K34" s="25">
        <v>2029.7</v>
      </c>
      <c r="L34" s="27" t="e">
        <f>K34/#REF!*100</f>
        <v>#REF!</v>
      </c>
      <c r="M34" s="27">
        <f t="shared" si="12"/>
        <v>486.1556886227545</v>
      </c>
      <c r="N34" s="55"/>
      <c r="O34" s="55"/>
      <c r="P34" s="24">
        <f t="shared" si="2"/>
        <v>486.1556886227545</v>
      </c>
      <c r="Q34" s="27">
        <f t="shared" si="3"/>
        <v>162.05189620758483</v>
      </c>
      <c r="R34" s="25">
        <f t="shared" si="4"/>
        <v>120.10059171597634</v>
      </c>
      <c r="S34" s="25">
        <f t="shared" si="5"/>
        <v>121.53892215568862</v>
      </c>
    </row>
    <row r="35" spans="1:19" ht="15" customHeight="1">
      <c r="A35" s="37" t="s">
        <v>42</v>
      </c>
      <c r="B35" s="37"/>
      <c r="C35" s="35" t="s">
        <v>43</v>
      </c>
      <c r="D35" s="44"/>
      <c r="E35" s="58">
        <f>G35+H35+I35+J35</f>
        <v>0</v>
      </c>
      <c r="F35" s="62">
        <f t="shared" si="13"/>
        <v>0</v>
      </c>
      <c r="G35" s="58"/>
      <c r="H35" s="58"/>
      <c r="I35" s="24"/>
      <c r="J35" s="25"/>
      <c r="K35" s="25">
        <v>98.5</v>
      </c>
      <c r="L35" s="27"/>
      <c r="M35" s="27"/>
      <c r="N35" s="55"/>
      <c r="O35" s="55"/>
      <c r="P35" s="24"/>
      <c r="Q35" s="27" t="e">
        <f t="shared" si="3"/>
        <v>#DIV/0!</v>
      </c>
      <c r="R35" s="25"/>
      <c r="S35" s="25"/>
    </row>
    <row r="36" spans="1:19" ht="12.75">
      <c r="A36" s="36" t="s">
        <v>18</v>
      </c>
      <c r="B36" s="36"/>
      <c r="C36" s="35" t="s">
        <v>15</v>
      </c>
      <c r="D36" s="44">
        <v>62.5</v>
      </c>
      <c r="E36" s="58">
        <v>137.5</v>
      </c>
      <c r="F36" s="62">
        <f t="shared" si="13"/>
        <v>46.8</v>
      </c>
      <c r="G36" s="58">
        <v>15.6</v>
      </c>
      <c r="H36" s="58">
        <v>15.6</v>
      </c>
      <c r="I36" s="24">
        <v>15.6</v>
      </c>
      <c r="J36" s="25">
        <v>15.7</v>
      </c>
      <c r="K36" s="25">
        <v>135.2</v>
      </c>
      <c r="L36" s="27" t="e">
        <f>K36/#REF!*100</f>
        <v>#REF!</v>
      </c>
      <c r="M36" s="27">
        <f t="shared" si="12"/>
        <v>866.6666666666666</v>
      </c>
      <c r="N36" s="55"/>
      <c r="O36" s="55"/>
      <c r="P36" s="24">
        <f t="shared" si="2"/>
        <v>861.1464968152866</v>
      </c>
      <c r="Q36" s="27">
        <f t="shared" si="3"/>
        <v>288.88888888888886</v>
      </c>
      <c r="R36" s="25">
        <f t="shared" si="4"/>
        <v>98.32727272727271</v>
      </c>
      <c r="S36" s="25">
        <f t="shared" si="5"/>
        <v>216.31999999999996</v>
      </c>
    </row>
    <row r="37" spans="1:19" ht="12.75">
      <c r="A37" s="28" t="s">
        <v>12</v>
      </c>
      <c r="B37" s="28"/>
      <c r="C37" s="35" t="s">
        <v>7</v>
      </c>
      <c r="D37" s="44"/>
      <c r="E37" s="58">
        <v>0</v>
      </c>
      <c r="F37" s="62">
        <f>G37+H37</f>
        <v>0</v>
      </c>
      <c r="G37" s="58">
        <v>0</v>
      </c>
      <c r="H37" s="58">
        <v>0</v>
      </c>
      <c r="I37" s="24">
        <v>0</v>
      </c>
      <c r="J37" s="25">
        <v>0</v>
      </c>
      <c r="K37" s="25">
        <v>26.6</v>
      </c>
      <c r="L37" s="27" t="e">
        <f>K37/#REF!*100</f>
        <v>#REF!</v>
      </c>
      <c r="M37" s="27" t="e">
        <f t="shared" si="12"/>
        <v>#DIV/0!</v>
      </c>
      <c r="N37" s="55"/>
      <c r="O37" s="55"/>
      <c r="P37" s="24" t="e">
        <f>K37*100/J37</f>
        <v>#DIV/0!</v>
      </c>
      <c r="Q37" s="27"/>
      <c r="R37" s="25"/>
      <c r="S37" s="25"/>
    </row>
    <row r="38" spans="1:19" ht="15.75" customHeight="1">
      <c r="A38" s="38" t="s">
        <v>39</v>
      </c>
      <c r="B38" s="64"/>
      <c r="C38" s="23" t="s">
        <v>40</v>
      </c>
      <c r="D38" s="78"/>
      <c r="E38" s="35"/>
      <c r="F38" s="62">
        <f t="shared" si="13"/>
        <v>0</v>
      </c>
      <c r="G38" s="58"/>
      <c r="H38" s="58"/>
      <c r="I38" s="24"/>
      <c r="J38" s="25"/>
      <c r="K38" s="25">
        <v>6</v>
      </c>
      <c r="L38" s="27"/>
      <c r="M38" s="27"/>
      <c r="N38" s="55"/>
      <c r="O38" s="55"/>
      <c r="P38" s="24" t="e">
        <f t="shared" si="2"/>
        <v>#DIV/0!</v>
      </c>
      <c r="Q38" s="34"/>
      <c r="R38" s="31"/>
      <c r="S38" s="25"/>
    </row>
    <row r="39" spans="1:19" ht="12.75">
      <c r="A39" s="32" t="s">
        <v>1</v>
      </c>
      <c r="B39" s="32"/>
      <c r="C39" s="39" t="s">
        <v>0</v>
      </c>
      <c r="D39" s="40">
        <f>D40+D41</f>
        <v>18810.1</v>
      </c>
      <c r="E39" s="40">
        <f>E40+E41</f>
        <v>17350.1</v>
      </c>
      <c r="F39" s="40">
        <f aca="true" t="shared" si="14" ref="F39:K39">F40+F41</f>
        <v>12647.5</v>
      </c>
      <c r="G39" s="40">
        <f t="shared" si="14"/>
        <v>4702.5</v>
      </c>
      <c r="H39" s="40">
        <f t="shared" si="14"/>
        <v>5205.7</v>
      </c>
      <c r="I39" s="40">
        <f t="shared" si="14"/>
        <v>2739.2999999999997</v>
      </c>
      <c r="J39" s="40">
        <f t="shared" si="14"/>
        <v>4702.6</v>
      </c>
      <c r="K39" s="40">
        <f t="shared" si="14"/>
        <v>16785.8</v>
      </c>
      <c r="L39" s="40" t="e">
        <f>L40</f>
        <v>#REF!</v>
      </c>
      <c r="M39" s="34">
        <f>K39/I39*100</f>
        <v>612.7769868214508</v>
      </c>
      <c r="N39" s="55"/>
      <c r="O39" s="55"/>
      <c r="P39" s="43">
        <f t="shared" si="2"/>
        <v>356.94722068642875</v>
      </c>
      <c r="Q39" s="34">
        <f t="shared" si="3"/>
        <v>132.7203004546353</v>
      </c>
      <c r="R39" s="31">
        <f t="shared" si="4"/>
        <v>96.74756917827564</v>
      </c>
      <c r="S39" s="31">
        <f t="shared" si="5"/>
        <v>89.23822839857311</v>
      </c>
    </row>
    <row r="40" spans="1:19" ht="24">
      <c r="A40" s="21" t="s">
        <v>67</v>
      </c>
      <c r="B40" s="19"/>
      <c r="C40" s="41" t="s">
        <v>20</v>
      </c>
      <c r="D40" s="44">
        <v>18810.1</v>
      </c>
      <c r="E40" s="58">
        <f>G40+H40+I40+J40</f>
        <v>17350.1</v>
      </c>
      <c r="F40" s="62">
        <f>G40+H40+I40</f>
        <v>12647.5</v>
      </c>
      <c r="G40" s="44">
        <v>4702.5</v>
      </c>
      <c r="H40" s="44">
        <f>4702.5+148.2+355</f>
        <v>5205.7</v>
      </c>
      <c r="I40" s="24">
        <f>4702.5+8.4+1707-3678.6</f>
        <v>2739.2999999999997</v>
      </c>
      <c r="J40" s="44">
        <v>4702.6</v>
      </c>
      <c r="K40" s="25">
        <v>16785.8</v>
      </c>
      <c r="L40" s="27" t="e">
        <f>K40/#REF!*100</f>
        <v>#REF!</v>
      </c>
      <c r="M40" s="27">
        <f>K40/I40*100</f>
        <v>612.7769868214508</v>
      </c>
      <c r="N40" s="55"/>
      <c r="O40" s="55"/>
      <c r="P40" s="24">
        <f t="shared" si="2"/>
        <v>356.94722068642875</v>
      </c>
      <c r="Q40" s="27">
        <f t="shared" si="3"/>
        <v>132.7203004546353</v>
      </c>
      <c r="R40" s="25">
        <f t="shared" si="4"/>
        <v>96.74756917827564</v>
      </c>
      <c r="S40" s="25">
        <f t="shared" si="5"/>
        <v>89.23822839857311</v>
      </c>
    </row>
    <row r="41" spans="1:19" ht="12.75" hidden="1">
      <c r="A41" s="21" t="s">
        <v>2</v>
      </c>
      <c r="B41" s="21"/>
      <c r="C41" s="42" t="s">
        <v>19</v>
      </c>
      <c r="D41" s="42"/>
      <c r="E41" s="58">
        <f>G41+H41+I41+J41</f>
        <v>0</v>
      </c>
      <c r="F41" s="62">
        <f>G41+H41</f>
        <v>0</v>
      </c>
      <c r="G41" s="44"/>
      <c r="H41" s="44"/>
      <c r="I41" s="24"/>
      <c r="J41" s="44"/>
      <c r="K41" s="25"/>
      <c r="L41" s="27"/>
      <c r="M41" s="27"/>
      <c r="N41" s="55"/>
      <c r="O41" s="55"/>
      <c r="P41" s="24"/>
      <c r="Q41" s="27"/>
      <c r="R41" s="25"/>
      <c r="S41" s="25" t="e">
        <f t="shared" si="5"/>
        <v>#DIV/0!</v>
      </c>
    </row>
    <row r="42" spans="1:19" ht="12.75">
      <c r="A42" s="20"/>
      <c r="B42" s="70"/>
      <c r="C42" s="71" t="s">
        <v>4</v>
      </c>
      <c r="D42" s="72">
        <f aca="true" t="shared" si="15" ref="D42:J42">D39+D30</f>
        <v>34956.6</v>
      </c>
      <c r="E42" s="72">
        <f t="shared" si="15"/>
        <v>33496.6</v>
      </c>
      <c r="F42" s="72">
        <f t="shared" si="15"/>
        <v>24757.3</v>
      </c>
      <c r="G42" s="72">
        <f t="shared" si="15"/>
        <v>8739.1</v>
      </c>
      <c r="H42" s="72">
        <f t="shared" si="15"/>
        <v>9242.3</v>
      </c>
      <c r="I42" s="72">
        <f t="shared" si="15"/>
        <v>6775.9</v>
      </c>
      <c r="J42" s="72">
        <f t="shared" si="15"/>
        <v>8739.3</v>
      </c>
      <c r="K42" s="72">
        <f>K39+K30</f>
        <v>30130.300000000003</v>
      </c>
      <c r="L42" s="93" t="e">
        <f>K42/#REF!*100</f>
        <v>#REF!</v>
      </c>
      <c r="M42" s="93">
        <f>K42/I42*100</f>
        <v>444.66860490857306</v>
      </c>
      <c r="N42" s="55"/>
      <c r="O42" s="56" t="e">
        <f>J42+#REF!+#REF!</f>
        <v>#REF!</v>
      </c>
      <c r="P42" s="94">
        <f t="shared" si="2"/>
        <v>344.76788758825086</v>
      </c>
      <c r="Q42" s="93">
        <f t="shared" si="3"/>
        <v>121.70268971172142</v>
      </c>
      <c r="R42" s="72">
        <f t="shared" si="4"/>
        <v>89.95032331639631</v>
      </c>
      <c r="S42" s="72">
        <f t="shared" si="5"/>
        <v>86.1934513081936</v>
      </c>
    </row>
    <row r="43" spans="1:19" ht="12.7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</row>
    <row r="44" spans="1:19" ht="12.75">
      <c r="A44" s="171" t="s">
        <v>26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</row>
    <row r="45" spans="1:19" ht="12.75">
      <c r="A45" s="32" t="s">
        <v>3</v>
      </c>
      <c r="B45" s="32"/>
      <c r="C45" s="33" t="s">
        <v>68</v>
      </c>
      <c r="D45" s="88">
        <f aca="true" t="shared" si="16" ref="D45:K45">D46+D48+D50+D51+D52+D53+D49+D47</f>
        <v>16961.3</v>
      </c>
      <c r="E45" s="34">
        <f t="shared" si="16"/>
        <v>17658.3</v>
      </c>
      <c r="F45" s="34">
        <f t="shared" si="16"/>
        <v>13378.800000000001</v>
      </c>
      <c r="G45" s="34">
        <f t="shared" si="16"/>
        <v>4108.400000000001</v>
      </c>
      <c r="H45" s="34">
        <f t="shared" si="16"/>
        <v>4983.7</v>
      </c>
      <c r="I45" s="34">
        <f t="shared" si="16"/>
        <v>4286.7</v>
      </c>
      <c r="J45" s="34">
        <f t="shared" si="16"/>
        <v>4279.5</v>
      </c>
      <c r="K45" s="34">
        <f t="shared" si="16"/>
        <v>14850.6</v>
      </c>
      <c r="L45" s="34" t="e">
        <f>K45/#REF!*100</f>
        <v>#REF!</v>
      </c>
      <c r="M45" s="34">
        <f>K45/I45*100</f>
        <v>346.43432010637554</v>
      </c>
      <c r="N45" s="55"/>
      <c r="O45" s="55"/>
      <c r="P45" s="34">
        <f t="shared" si="2"/>
        <v>347.0171749036102</v>
      </c>
      <c r="Q45" s="34">
        <f t="shared" si="3"/>
        <v>111.00098663557269</v>
      </c>
      <c r="R45" s="88">
        <f t="shared" si="4"/>
        <v>84.09982840930327</v>
      </c>
      <c r="S45" s="31">
        <f t="shared" si="5"/>
        <v>87.55578876619127</v>
      </c>
    </row>
    <row r="46" spans="1:19" ht="12.75">
      <c r="A46" s="28" t="s">
        <v>23</v>
      </c>
      <c r="B46" s="19"/>
      <c r="C46" s="61" t="s">
        <v>22</v>
      </c>
      <c r="D46" s="62">
        <v>14175</v>
      </c>
      <c r="E46" s="58">
        <v>13824</v>
      </c>
      <c r="F46" s="62">
        <f>G46+H46+I46</f>
        <v>10592.6</v>
      </c>
      <c r="G46" s="58">
        <v>3412.4</v>
      </c>
      <c r="H46" s="58">
        <v>3590.1</v>
      </c>
      <c r="I46" s="24">
        <v>3590.1</v>
      </c>
      <c r="J46" s="25">
        <v>3582.4</v>
      </c>
      <c r="K46" s="63">
        <v>10545.2</v>
      </c>
      <c r="L46" s="27" t="e">
        <f>K46/#REF!*100</f>
        <v>#REF!</v>
      </c>
      <c r="M46" s="27">
        <f>K46/I46*100</f>
        <v>293.7299796663046</v>
      </c>
      <c r="N46" s="55"/>
      <c r="O46" s="55"/>
      <c r="P46" s="24">
        <f t="shared" si="2"/>
        <v>294.36132201875836</v>
      </c>
      <c r="Q46" s="27">
        <f t="shared" si="3"/>
        <v>99.5525177954421</v>
      </c>
      <c r="R46" s="25">
        <f t="shared" si="4"/>
        <v>76.28182870370371</v>
      </c>
      <c r="S46" s="25">
        <f t="shared" si="5"/>
        <v>74.39294532627866</v>
      </c>
    </row>
    <row r="47" spans="1:19" ht="12.75">
      <c r="A47" s="19" t="s">
        <v>8</v>
      </c>
      <c r="B47" s="19"/>
      <c r="C47" s="35" t="s">
        <v>5</v>
      </c>
      <c r="D47" s="58">
        <v>9.5</v>
      </c>
      <c r="E47" s="58">
        <v>20.5</v>
      </c>
      <c r="F47" s="62">
        <f aca="true" t="shared" si="17" ref="F47:F53">G47+H47+I47</f>
        <v>17.099999999999998</v>
      </c>
      <c r="G47" s="58">
        <v>2.3</v>
      </c>
      <c r="H47" s="58">
        <v>12.4</v>
      </c>
      <c r="I47" s="24">
        <v>2.4</v>
      </c>
      <c r="J47" s="25">
        <v>2.4</v>
      </c>
      <c r="K47" s="63">
        <v>20.6</v>
      </c>
      <c r="L47" s="27" t="e">
        <f>K47/#REF!*100</f>
        <v>#REF!</v>
      </c>
      <c r="M47" s="27">
        <f>K47/I47*100</f>
        <v>858.3333333333334</v>
      </c>
      <c r="N47" s="55"/>
      <c r="O47" s="55"/>
      <c r="P47" s="24">
        <f t="shared" si="2"/>
        <v>858.3333333333334</v>
      </c>
      <c r="Q47" s="27">
        <f t="shared" si="3"/>
        <v>120.46783625730995</v>
      </c>
      <c r="R47" s="25">
        <f t="shared" si="4"/>
        <v>100.48780487804878</v>
      </c>
      <c r="S47" s="25">
        <f t="shared" si="5"/>
        <v>216.8421052631579</v>
      </c>
    </row>
    <row r="48" spans="1:19" ht="12.75">
      <c r="A48" s="19" t="s">
        <v>9</v>
      </c>
      <c r="B48" s="19"/>
      <c r="C48" s="35" t="s">
        <v>6</v>
      </c>
      <c r="D48" s="58">
        <v>2034</v>
      </c>
      <c r="E48" s="58">
        <v>2124</v>
      </c>
      <c r="F48" s="62">
        <f t="shared" si="17"/>
        <v>1515</v>
      </c>
      <c r="G48" s="58">
        <v>508</v>
      </c>
      <c r="H48" s="58">
        <f>508.5-10</f>
        <v>498.5</v>
      </c>
      <c r="I48" s="24">
        <v>508.5</v>
      </c>
      <c r="J48" s="25">
        <v>509</v>
      </c>
      <c r="K48" s="25">
        <v>3103.9</v>
      </c>
      <c r="L48" s="27" t="e">
        <f>K48/#REF!*100</f>
        <v>#REF!</v>
      </c>
      <c r="M48" s="27">
        <f>K48/I48*100</f>
        <v>610.4031465093411</v>
      </c>
      <c r="N48" s="55"/>
      <c r="O48" s="55"/>
      <c r="P48" s="24">
        <f t="shared" si="2"/>
        <v>609.803536345776</v>
      </c>
      <c r="Q48" s="27">
        <f t="shared" si="3"/>
        <v>204.87788778877888</v>
      </c>
      <c r="R48" s="25">
        <f t="shared" si="4"/>
        <v>146.1346516007533</v>
      </c>
      <c r="S48" s="25">
        <f t="shared" si="5"/>
        <v>152.6007866273353</v>
      </c>
    </row>
    <row r="49" spans="1:19" ht="18" customHeight="1" hidden="1">
      <c r="A49" s="19" t="s">
        <v>10</v>
      </c>
      <c r="B49" s="19"/>
      <c r="C49" s="35" t="s">
        <v>21</v>
      </c>
      <c r="D49" s="58"/>
      <c r="E49" s="58">
        <f>G49+H49+I49+J49</f>
        <v>0</v>
      </c>
      <c r="F49" s="62">
        <f t="shared" si="17"/>
        <v>0</v>
      </c>
      <c r="G49" s="58"/>
      <c r="H49" s="58"/>
      <c r="I49" s="24"/>
      <c r="J49" s="25"/>
      <c r="K49" s="25"/>
      <c r="L49" s="27"/>
      <c r="M49" s="27"/>
      <c r="N49" s="55"/>
      <c r="O49" s="55"/>
      <c r="P49" s="24" t="e">
        <f t="shared" si="2"/>
        <v>#DIV/0!</v>
      </c>
      <c r="Q49" s="27" t="e">
        <f t="shared" si="3"/>
        <v>#DIV/0!</v>
      </c>
      <c r="R49" s="25" t="e">
        <f t="shared" si="4"/>
        <v>#DIV/0!</v>
      </c>
      <c r="S49" s="25" t="e">
        <f t="shared" si="5"/>
        <v>#DIV/0!</v>
      </c>
    </row>
    <row r="50" spans="1:19" ht="24">
      <c r="A50" s="20" t="s">
        <v>11</v>
      </c>
      <c r="B50" s="20"/>
      <c r="C50" s="35" t="s">
        <v>17</v>
      </c>
      <c r="D50" s="58">
        <v>592.8</v>
      </c>
      <c r="E50" s="58">
        <f>G50+H50+I50+J50</f>
        <v>939.8</v>
      </c>
      <c r="F50" s="62">
        <f t="shared" si="17"/>
        <v>791.5999999999999</v>
      </c>
      <c r="G50" s="58">
        <f>105+43.2</f>
        <v>148.2</v>
      </c>
      <c r="H50" s="58">
        <f>105+390.2</f>
        <v>495.2</v>
      </c>
      <c r="I50" s="24">
        <f>105+43.2</f>
        <v>148.2</v>
      </c>
      <c r="J50" s="25">
        <f>105+43.2</f>
        <v>148.2</v>
      </c>
      <c r="K50" s="25">
        <v>391</v>
      </c>
      <c r="L50" s="27" t="e">
        <f>K50/#REF!*100</f>
        <v>#REF!</v>
      </c>
      <c r="M50" s="27">
        <f>K50/I50*100</f>
        <v>263.83265856950067</v>
      </c>
      <c r="N50" s="55"/>
      <c r="O50" s="55"/>
      <c r="P50" s="24">
        <f t="shared" si="2"/>
        <v>263.8326585695007</v>
      </c>
      <c r="Q50" s="27">
        <f t="shared" si="3"/>
        <v>49.393633148054576</v>
      </c>
      <c r="R50" s="25">
        <f t="shared" si="4"/>
        <v>41.60459672270696</v>
      </c>
      <c r="S50" s="25">
        <f t="shared" si="5"/>
        <v>65.95816464237518</v>
      </c>
    </row>
    <row r="51" spans="1:19" ht="12.75">
      <c r="A51" s="37" t="s">
        <v>18</v>
      </c>
      <c r="B51" s="37"/>
      <c r="C51" s="35" t="s">
        <v>15</v>
      </c>
      <c r="D51" s="58">
        <v>150</v>
      </c>
      <c r="E51" s="58">
        <v>750</v>
      </c>
      <c r="F51" s="62">
        <f t="shared" si="17"/>
        <v>462.5</v>
      </c>
      <c r="G51" s="58">
        <v>37.5</v>
      </c>
      <c r="H51" s="58">
        <f>37.5+350</f>
        <v>387.5</v>
      </c>
      <c r="I51" s="24">
        <v>37.5</v>
      </c>
      <c r="J51" s="25">
        <v>37.5</v>
      </c>
      <c r="K51" s="25">
        <v>784.4</v>
      </c>
      <c r="L51" s="27" t="e">
        <f>K51/#REF!*100</f>
        <v>#REF!</v>
      </c>
      <c r="M51" s="27">
        <f>K51/I51*100</f>
        <v>2091.733333333333</v>
      </c>
      <c r="N51" s="55"/>
      <c r="O51" s="55"/>
      <c r="P51" s="24">
        <f t="shared" si="2"/>
        <v>2091.733333333333</v>
      </c>
      <c r="Q51" s="27">
        <f t="shared" si="3"/>
        <v>169.6</v>
      </c>
      <c r="R51" s="25">
        <f t="shared" si="4"/>
        <v>104.58666666666667</v>
      </c>
      <c r="S51" s="25">
        <f t="shared" si="5"/>
        <v>522.9333333333333</v>
      </c>
    </row>
    <row r="52" spans="1:19" ht="15" customHeight="1">
      <c r="A52" s="28" t="s">
        <v>12</v>
      </c>
      <c r="B52" s="28"/>
      <c r="C52" s="35" t="s">
        <v>7</v>
      </c>
      <c r="D52" s="58"/>
      <c r="E52" s="58">
        <f>G52+H52+I52+J52</f>
        <v>0</v>
      </c>
      <c r="F52" s="62">
        <f t="shared" si="17"/>
        <v>0</v>
      </c>
      <c r="G52" s="58"/>
      <c r="H52" s="58"/>
      <c r="I52" s="24"/>
      <c r="J52" s="25"/>
      <c r="K52" s="25">
        <v>5.5</v>
      </c>
      <c r="L52" s="27" t="e">
        <f>K52/#REF!*100</f>
        <v>#REF!</v>
      </c>
      <c r="M52" s="27"/>
      <c r="N52" s="55"/>
      <c r="O52" s="55"/>
      <c r="P52" s="24" t="e">
        <f t="shared" si="2"/>
        <v>#DIV/0!</v>
      </c>
      <c r="Q52" s="27" t="e">
        <f t="shared" si="3"/>
        <v>#DIV/0!</v>
      </c>
      <c r="R52" s="25"/>
      <c r="S52" s="25"/>
    </row>
    <row r="53" spans="1:19" ht="14.25" customHeight="1">
      <c r="A53" s="68" t="s">
        <v>39</v>
      </c>
      <c r="B53" s="64"/>
      <c r="C53" s="23" t="s">
        <v>40</v>
      </c>
      <c r="D53" s="87"/>
      <c r="E53" s="58">
        <f>G53+H53+I53+J53</f>
        <v>0</v>
      </c>
      <c r="F53" s="62">
        <f t="shared" si="17"/>
        <v>0</v>
      </c>
      <c r="G53" s="58"/>
      <c r="H53" s="58"/>
      <c r="I53" s="24"/>
      <c r="J53" s="25"/>
      <c r="K53" s="25"/>
      <c r="L53" s="27"/>
      <c r="M53" s="27"/>
      <c r="N53" s="55"/>
      <c r="O53" s="55"/>
      <c r="P53" s="24" t="e">
        <f t="shared" si="2"/>
        <v>#DIV/0!</v>
      </c>
      <c r="Q53" s="27"/>
      <c r="R53" s="25"/>
      <c r="S53" s="25"/>
    </row>
    <row r="54" spans="1:19" ht="12.75">
      <c r="A54" s="59" t="s">
        <v>1</v>
      </c>
      <c r="B54" s="59"/>
      <c r="C54" s="39" t="s">
        <v>0</v>
      </c>
      <c r="D54" s="76">
        <f>D55+D57+D56</f>
        <v>21823.5</v>
      </c>
      <c r="E54" s="40">
        <f>E55+E57+E56</f>
        <v>34359.4</v>
      </c>
      <c r="F54" s="40">
        <f aca="true" t="shared" si="18" ref="F54:P54">F55+F57+F56</f>
        <v>23541.4</v>
      </c>
      <c r="G54" s="40">
        <f t="shared" si="18"/>
        <v>6474</v>
      </c>
      <c r="H54" s="40">
        <f t="shared" si="18"/>
        <v>7350</v>
      </c>
      <c r="I54" s="40">
        <f t="shared" si="18"/>
        <v>9717.4</v>
      </c>
      <c r="J54" s="40">
        <f t="shared" si="18"/>
        <v>6513.099999999999</v>
      </c>
      <c r="K54" s="40">
        <f t="shared" si="18"/>
        <v>25541.2</v>
      </c>
      <c r="L54" s="40" t="e">
        <f t="shared" si="18"/>
        <v>#REF!</v>
      </c>
      <c r="M54" s="40">
        <f t="shared" si="18"/>
        <v>258.7235268693272</v>
      </c>
      <c r="N54" s="40">
        <f t="shared" si="18"/>
        <v>0.1</v>
      </c>
      <c r="O54" s="40">
        <f t="shared" si="18"/>
        <v>0</v>
      </c>
      <c r="P54" s="40" t="e">
        <f t="shared" si="18"/>
        <v>#DIV/0!</v>
      </c>
      <c r="Q54" s="34">
        <f t="shared" si="3"/>
        <v>108.49482188824793</v>
      </c>
      <c r="R54" s="31">
        <f t="shared" si="4"/>
        <v>74.33540748674307</v>
      </c>
      <c r="S54" s="25">
        <f t="shared" si="5"/>
        <v>117.03530597750132</v>
      </c>
    </row>
    <row r="55" spans="1:19" ht="24">
      <c r="A55" s="21" t="s">
        <v>67</v>
      </c>
      <c r="B55" s="19"/>
      <c r="C55" s="41" t="s">
        <v>20</v>
      </c>
      <c r="D55" s="58">
        <v>21823.5</v>
      </c>
      <c r="E55" s="58">
        <v>33959.4</v>
      </c>
      <c r="F55" s="62">
        <f>G55+H55+I55</f>
        <v>23141.4</v>
      </c>
      <c r="G55" s="44">
        <f>5455.9+658.1+360</f>
        <v>6474</v>
      </c>
      <c r="H55" s="44">
        <f>5533.3+1416.7</f>
        <v>6950</v>
      </c>
      <c r="I55" s="24">
        <f>5455.9+3054.5+1207</f>
        <v>9717.4</v>
      </c>
      <c r="J55" s="24">
        <f>5455.9+1057.2</f>
        <v>6513.099999999999</v>
      </c>
      <c r="K55" s="25">
        <v>25141.2</v>
      </c>
      <c r="L55" s="27" t="e">
        <f>K55/#REF!*100</f>
        <v>#REF!</v>
      </c>
      <c r="M55" s="27">
        <f>K55/I55*100</f>
        <v>258.7235268693272</v>
      </c>
      <c r="N55" s="55">
        <v>0.1</v>
      </c>
      <c r="O55" s="55"/>
      <c r="P55" s="24">
        <f t="shared" si="2"/>
        <v>386.00973422794067</v>
      </c>
      <c r="Q55" s="27">
        <f t="shared" si="3"/>
        <v>108.64165521532837</v>
      </c>
      <c r="R55" s="25">
        <f t="shared" si="4"/>
        <v>74.0331101256206</v>
      </c>
      <c r="S55" s="25">
        <f t="shared" si="5"/>
        <v>115.20241941026875</v>
      </c>
    </row>
    <row r="56" spans="1:19" ht="15" customHeight="1">
      <c r="A56" s="21" t="s">
        <v>2</v>
      </c>
      <c r="B56" s="21"/>
      <c r="C56" s="42" t="s">
        <v>19</v>
      </c>
      <c r="D56" s="65"/>
      <c r="E56" s="58">
        <f>G56+H56+I56+J56</f>
        <v>400</v>
      </c>
      <c r="F56" s="62">
        <f>G56+H56+I56</f>
        <v>400</v>
      </c>
      <c r="G56" s="44"/>
      <c r="H56" s="44">
        <v>400</v>
      </c>
      <c r="I56" s="24"/>
      <c r="J56" s="54"/>
      <c r="K56" s="25">
        <v>400</v>
      </c>
      <c r="L56" s="27"/>
      <c r="M56" s="27"/>
      <c r="N56" s="55"/>
      <c r="O56" s="55"/>
      <c r="P56" s="24"/>
      <c r="Q56" s="27">
        <f t="shared" si="3"/>
        <v>100</v>
      </c>
      <c r="R56" s="25">
        <f t="shared" si="4"/>
        <v>100</v>
      </c>
      <c r="S56" s="25"/>
    </row>
    <row r="57" spans="1:19" ht="20.25" customHeight="1" hidden="1">
      <c r="A57" s="21" t="s">
        <v>66</v>
      </c>
      <c r="B57" s="66"/>
      <c r="C57" s="26" t="s">
        <v>63</v>
      </c>
      <c r="D57" s="89"/>
      <c r="E57" s="58">
        <f>G57+H57+I57+J57</f>
        <v>0</v>
      </c>
      <c r="F57" s="58">
        <f>G57</f>
        <v>0</v>
      </c>
      <c r="G57" s="69"/>
      <c r="H57" s="69"/>
      <c r="I57" s="24"/>
      <c r="J57" s="54"/>
      <c r="K57" s="25"/>
      <c r="L57" s="27" t="e">
        <f>K57/#REF!*100</f>
        <v>#REF!</v>
      </c>
      <c r="M57" s="27"/>
      <c r="N57" s="55"/>
      <c r="O57" s="55"/>
      <c r="P57" s="24" t="e">
        <f t="shared" si="2"/>
        <v>#DIV/0!</v>
      </c>
      <c r="Q57" s="27"/>
      <c r="R57" s="25"/>
      <c r="S57" s="25" t="e">
        <f t="shared" si="5"/>
        <v>#DIV/0!</v>
      </c>
    </row>
    <row r="58" spans="1:19" ht="12.75">
      <c r="A58" s="20"/>
      <c r="B58" s="70"/>
      <c r="C58" s="71" t="s">
        <v>4</v>
      </c>
      <c r="D58" s="72">
        <f aca="true" t="shared" si="19" ref="D58:K58">D54+D45</f>
        <v>38784.8</v>
      </c>
      <c r="E58" s="72">
        <f t="shared" si="19"/>
        <v>52017.7</v>
      </c>
      <c r="F58" s="72">
        <f t="shared" si="19"/>
        <v>36920.200000000004</v>
      </c>
      <c r="G58" s="72">
        <f t="shared" si="19"/>
        <v>10582.400000000001</v>
      </c>
      <c r="H58" s="72">
        <f t="shared" si="19"/>
        <v>12333.7</v>
      </c>
      <c r="I58" s="72">
        <f t="shared" si="19"/>
        <v>14004.099999999999</v>
      </c>
      <c r="J58" s="72">
        <f t="shared" si="19"/>
        <v>10792.599999999999</v>
      </c>
      <c r="K58" s="72">
        <f t="shared" si="19"/>
        <v>40391.8</v>
      </c>
      <c r="L58" s="93" t="e">
        <f>K58/#REF!*100</f>
        <v>#REF!</v>
      </c>
      <c r="M58" s="93">
        <f>K58/I58*100</f>
        <v>288.4283888289859</v>
      </c>
      <c r="N58" s="55"/>
      <c r="O58" s="56" t="e">
        <f>J58+#REF!+#REF!</f>
        <v>#REF!</v>
      </c>
      <c r="P58" s="94">
        <f t="shared" si="2"/>
        <v>374.2545818431148</v>
      </c>
      <c r="Q58" s="93">
        <f t="shared" si="3"/>
        <v>109.40298264906474</v>
      </c>
      <c r="R58" s="72">
        <f t="shared" si="4"/>
        <v>77.65010755954225</v>
      </c>
      <c r="S58" s="72">
        <f t="shared" si="5"/>
        <v>104.14337575545059</v>
      </c>
    </row>
    <row r="59" spans="1:19" ht="12.75">
      <c r="A59" s="172"/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</row>
    <row r="60" spans="1:19" ht="12.75">
      <c r="A60" s="173" t="s">
        <v>27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5"/>
    </row>
    <row r="61" spans="1:19" ht="12.75">
      <c r="A61" s="32" t="s">
        <v>3</v>
      </c>
      <c r="B61" s="32"/>
      <c r="C61" s="33" t="s">
        <v>68</v>
      </c>
      <c r="D61" s="88">
        <f aca="true" t="shared" si="20" ref="D61:K61">D62+D64+D66+D68+D65+D70+D69+D63+D67</f>
        <v>30441</v>
      </c>
      <c r="E61" s="34">
        <f t="shared" si="20"/>
        <v>32241</v>
      </c>
      <c r="F61" s="34">
        <f t="shared" si="20"/>
        <v>21577.3</v>
      </c>
      <c r="G61" s="34">
        <f t="shared" si="20"/>
        <v>6165.3</v>
      </c>
      <c r="H61" s="34">
        <f t="shared" si="20"/>
        <v>7287.2</v>
      </c>
      <c r="I61" s="34">
        <f t="shared" si="20"/>
        <v>8124.8</v>
      </c>
      <c r="J61" s="34">
        <f t="shared" si="20"/>
        <v>9163.7</v>
      </c>
      <c r="K61" s="34">
        <f t="shared" si="20"/>
        <v>32016.9</v>
      </c>
      <c r="L61" s="34" t="e">
        <f>K61/#REF!*100</f>
        <v>#REF!</v>
      </c>
      <c r="M61" s="34">
        <f aca="true" t="shared" si="21" ref="M61:M68">K61/I61*100</f>
        <v>394.0638538794801</v>
      </c>
      <c r="N61" s="100"/>
      <c r="O61" s="100"/>
      <c r="P61" s="34">
        <f t="shared" si="2"/>
        <v>349.388347501555</v>
      </c>
      <c r="Q61" s="34">
        <f t="shared" si="3"/>
        <v>148.38232772404334</v>
      </c>
      <c r="R61" s="88">
        <f t="shared" si="4"/>
        <v>99.30492230389876</v>
      </c>
      <c r="S61" s="31">
        <f t="shared" si="5"/>
        <v>105.17689957622943</v>
      </c>
    </row>
    <row r="62" spans="1:19" ht="12.75">
      <c r="A62" s="19" t="s">
        <v>23</v>
      </c>
      <c r="B62" s="19"/>
      <c r="C62" s="61" t="s">
        <v>22</v>
      </c>
      <c r="D62" s="62">
        <v>17850</v>
      </c>
      <c r="E62" s="58">
        <f>G62+H62+I62+J62</f>
        <v>17850</v>
      </c>
      <c r="F62" s="62">
        <f>G62+H62+I62</f>
        <v>11726.9</v>
      </c>
      <c r="G62" s="73">
        <v>3164.3</v>
      </c>
      <c r="H62" s="73">
        <v>4691.2</v>
      </c>
      <c r="I62" s="27">
        <v>3871.4</v>
      </c>
      <c r="J62" s="27">
        <v>6123.1</v>
      </c>
      <c r="K62" s="27">
        <v>16562.5</v>
      </c>
      <c r="L62" s="27" t="e">
        <f>K62/#REF!*100</f>
        <v>#REF!</v>
      </c>
      <c r="M62" s="27">
        <f t="shared" si="21"/>
        <v>427.8168104561657</v>
      </c>
      <c r="N62" s="55"/>
      <c r="O62" s="55"/>
      <c r="P62" s="27">
        <f t="shared" si="2"/>
        <v>270.4920710097826</v>
      </c>
      <c r="Q62" s="27">
        <f t="shared" si="3"/>
        <v>141.2351090228449</v>
      </c>
      <c r="R62" s="25">
        <f t="shared" si="4"/>
        <v>92.78711484593838</v>
      </c>
      <c r="S62" s="25">
        <f t="shared" si="5"/>
        <v>92.78711484593838</v>
      </c>
    </row>
    <row r="63" spans="1:19" ht="12.75">
      <c r="A63" s="19" t="s">
        <v>8</v>
      </c>
      <c r="B63" s="19"/>
      <c r="C63" s="35" t="s">
        <v>5</v>
      </c>
      <c r="D63" s="58">
        <v>35</v>
      </c>
      <c r="E63" s="58">
        <f aca="true" t="shared" si="22" ref="E63:E70">G63+H63+I63+J63</f>
        <v>47</v>
      </c>
      <c r="F63" s="62">
        <f aca="true" t="shared" si="23" ref="F63:F70">G63+H63+I63</f>
        <v>39</v>
      </c>
      <c r="G63" s="44">
        <v>11</v>
      </c>
      <c r="H63" s="44">
        <v>20</v>
      </c>
      <c r="I63" s="24">
        <v>8</v>
      </c>
      <c r="J63" s="24">
        <v>8</v>
      </c>
      <c r="K63" s="24">
        <v>46.7</v>
      </c>
      <c r="L63" s="27" t="e">
        <f>K63/#REF!*100</f>
        <v>#REF!</v>
      </c>
      <c r="M63" s="27">
        <f t="shared" si="21"/>
        <v>583.75</v>
      </c>
      <c r="N63" s="55"/>
      <c r="O63" s="55"/>
      <c r="P63" s="24">
        <f t="shared" si="2"/>
        <v>583.75</v>
      </c>
      <c r="Q63" s="27">
        <f t="shared" si="3"/>
        <v>119.74358974358974</v>
      </c>
      <c r="R63" s="25">
        <f t="shared" si="4"/>
        <v>99.36170212765957</v>
      </c>
      <c r="S63" s="25">
        <f t="shared" si="5"/>
        <v>133.42857142857142</v>
      </c>
    </row>
    <row r="64" spans="1:19" ht="12.75">
      <c r="A64" s="19" t="s">
        <v>9</v>
      </c>
      <c r="B64" s="19"/>
      <c r="C64" s="35" t="s">
        <v>6</v>
      </c>
      <c r="D64" s="58">
        <v>6250</v>
      </c>
      <c r="E64" s="58">
        <v>7088</v>
      </c>
      <c r="F64" s="62">
        <f t="shared" si="23"/>
        <v>5477.4</v>
      </c>
      <c r="G64" s="44">
        <v>2671</v>
      </c>
      <c r="H64" s="44">
        <v>491</v>
      </c>
      <c r="I64" s="24">
        <v>2315.4</v>
      </c>
      <c r="J64" s="24">
        <v>960.6</v>
      </c>
      <c r="K64" s="24">
        <v>6812.9</v>
      </c>
      <c r="L64" s="27" t="e">
        <f>K64/#REF!*100</f>
        <v>#REF!</v>
      </c>
      <c r="M64" s="27">
        <f t="shared" si="21"/>
        <v>294.2428953960439</v>
      </c>
      <c r="N64" s="55"/>
      <c r="O64" s="55"/>
      <c r="P64" s="24">
        <f t="shared" si="2"/>
        <v>709.2338122007079</v>
      </c>
      <c r="Q64" s="27">
        <f t="shared" si="3"/>
        <v>124.38200606126995</v>
      </c>
      <c r="R64" s="25">
        <f t="shared" si="4"/>
        <v>96.11879232505643</v>
      </c>
      <c r="S64" s="25">
        <f t="shared" si="5"/>
        <v>109.0064</v>
      </c>
    </row>
    <row r="65" spans="1:19" ht="14.25" customHeight="1">
      <c r="A65" s="19" t="s">
        <v>10</v>
      </c>
      <c r="B65" s="19"/>
      <c r="C65" s="35" t="s">
        <v>21</v>
      </c>
      <c r="D65" s="58"/>
      <c r="E65" s="58">
        <f t="shared" si="22"/>
        <v>0</v>
      </c>
      <c r="F65" s="62">
        <f t="shared" si="23"/>
        <v>0</v>
      </c>
      <c r="G65" s="44"/>
      <c r="H65" s="44"/>
      <c r="I65" s="24"/>
      <c r="J65" s="24"/>
      <c r="K65" s="24">
        <v>25.4</v>
      </c>
      <c r="L65" s="27"/>
      <c r="M65" s="27" t="e">
        <f t="shared" si="21"/>
        <v>#DIV/0!</v>
      </c>
      <c r="N65" s="55"/>
      <c r="O65" s="55"/>
      <c r="P65" s="24" t="e">
        <f t="shared" si="2"/>
        <v>#DIV/0!</v>
      </c>
      <c r="Q65" s="27"/>
      <c r="R65" s="25"/>
      <c r="S65" s="25"/>
    </row>
    <row r="66" spans="1:19" ht="24">
      <c r="A66" s="20" t="s">
        <v>11</v>
      </c>
      <c r="B66" s="20"/>
      <c r="C66" s="35" t="s">
        <v>17</v>
      </c>
      <c r="D66" s="58">
        <v>6000</v>
      </c>
      <c r="E66" s="58">
        <v>6630</v>
      </c>
      <c r="F66" s="62">
        <f t="shared" si="23"/>
        <v>4019</v>
      </c>
      <c r="G66" s="44">
        <v>259</v>
      </c>
      <c r="H66" s="44">
        <v>1895</v>
      </c>
      <c r="I66" s="24">
        <v>1865</v>
      </c>
      <c r="J66" s="24">
        <v>2011</v>
      </c>
      <c r="K66" s="24">
        <v>7913.5</v>
      </c>
      <c r="L66" s="27" t="e">
        <f>K66/#REF!*100</f>
        <v>#REF!</v>
      </c>
      <c r="M66" s="27">
        <f t="shared" si="21"/>
        <v>424.31635388739943</v>
      </c>
      <c r="N66" s="55"/>
      <c r="O66" s="55"/>
      <c r="P66" s="24">
        <f t="shared" si="2"/>
        <v>393.5106911984088</v>
      </c>
      <c r="Q66" s="27">
        <f t="shared" si="3"/>
        <v>196.90221448121423</v>
      </c>
      <c r="R66" s="25">
        <f t="shared" si="4"/>
        <v>119.35897435897436</v>
      </c>
      <c r="S66" s="25">
        <f t="shared" si="5"/>
        <v>131.89166666666668</v>
      </c>
    </row>
    <row r="67" spans="1:19" ht="24" hidden="1">
      <c r="A67" s="37" t="s">
        <v>42</v>
      </c>
      <c r="B67" s="37"/>
      <c r="C67" s="35" t="s">
        <v>43</v>
      </c>
      <c r="D67" s="58"/>
      <c r="E67" s="58">
        <f t="shared" si="22"/>
        <v>0</v>
      </c>
      <c r="F67" s="62">
        <f t="shared" si="23"/>
        <v>0</v>
      </c>
      <c r="G67" s="44"/>
      <c r="H67" s="44"/>
      <c r="I67" s="24"/>
      <c r="J67" s="24"/>
      <c r="K67" s="24"/>
      <c r="L67" s="27" t="e">
        <f>K67/#REF!*100</f>
        <v>#REF!</v>
      </c>
      <c r="M67" s="27"/>
      <c r="N67" s="55"/>
      <c r="O67" s="55"/>
      <c r="P67" s="24" t="e">
        <f t="shared" si="2"/>
        <v>#DIV/0!</v>
      </c>
      <c r="Q67" s="27"/>
      <c r="R67" s="25"/>
      <c r="S67" s="25" t="e">
        <f t="shared" si="5"/>
        <v>#DIV/0!</v>
      </c>
    </row>
    <row r="68" spans="1:19" ht="12.75">
      <c r="A68" s="36" t="s">
        <v>18</v>
      </c>
      <c r="B68" s="36"/>
      <c r="C68" s="35" t="s">
        <v>15</v>
      </c>
      <c r="D68" s="58">
        <v>306</v>
      </c>
      <c r="E68" s="58">
        <v>626</v>
      </c>
      <c r="F68" s="62">
        <f t="shared" si="23"/>
        <v>315</v>
      </c>
      <c r="G68" s="44">
        <v>60</v>
      </c>
      <c r="H68" s="44">
        <v>190</v>
      </c>
      <c r="I68" s="24">
        <v>65</v>
      </c>
      <c r="J68" s="24">
        <v>61</v>
      </c>
      <c r="K68" s="24">
        <v>654.8</v>
      </c>
      <c r="L68" s="27" t="e">
        <f>K68/#REF!*100</f>
        <v>#REF!</v>
      </c>
      <c r="M68" s="27">
        <f t="shared" si="21"/>
        <v>1007.3846153846154</v>
      </c>
      <c r="N68" s="55"/>
      <c r="O68" s="55"/>
      <c r="P68" s="24">
        <f t="shared" si="2"/>
        <v>1073.4426229508194</v>
      </c>
      <c r="Q68" s="27">
        <f t="shared" si="3"/>
        <v>207.87301587301585</v>
      </c>
      <c r="R68" s="25">
        <f t="shared" si="4"/>
        <v>104.60063897763577</v>
      </c>
      <c r="S68" s="25">
        <f t="shared" si="5"/>
        <v>213.98692810457513</v>
      </c>
    </row>
    <row r="69" spans="1:19" ht="14.25" customHeight="1">
      <c r="A69" s="28" t="s">
        <v>12</v>
      </c>
      <c r="B69" s="28"/>
      <c r="C69" s="35" t="s">
        <v>7</v>
      </c>
      <c r="D69" s="58"/>
      <c r="E69" s="58">
        <f t="shared" si="22"/>
        <v>0</v>
      </c>
      <c r="F69" s="62">
        <f t="shared" si="23"/>
        <v>0</v>
      </c>
      <c r="G69" s="44"/>
      <c r="H69" s="44"/>
      <c r="I69" s="24"/>
      <c r="J69" s="24"/>
      <c r="K69" s="24">
        <v>1.1</v>
      </c>
      <c r="L69" s="27"/>
      <c r="M69" s="27"/>
      <c r="N69" s="55"/>
      <c r="O69" s="55"/>
      <c r="P69" s="24" t="e">
        <f t="shared" si="2"/>
        <v>#DIV/0!</v>
      </c>
      <c r="Q69" s="27"/>
      <c r="R69" s="25"/>
      <c r="S69" s="25"/>
    </row>
    <row r="70" spans="1:19" ht="12.75">
      <c r="A70" s="38" t="s">
        <v>39</v>
      </c>
      <c r="B70" s="64"/>
      <c r="C70" s="23" t="s">
        <v>40</v>
      </c>
      <c r="D70" s="87"/>
      <c r="E70" s="58">
        <f t="shared" si="22"/>
        <v>0</v>
      </c>
      <c r="F70" s="62">
        <f t="shared" si="23"/>
        <v>0</v>
      </c>
      <c r="G70" s="44"/>
      <c r="H70" s="44"/>
      <c r="I70" s="24"/>
      <c r="J70" s="24"/>
      <c r="K70" s="24">
        <v>0</v>
      </c>
      <c r="L70" s="27"/>
      <c r="M70" s="27"/>
      <c r="N70" s="55"/>
      <c r="O70" s="55"/>
      <c r="P70" s="24" t="e">
        <f t="shared" si="2"/>
        <v>#DIV/0!</v>
      </c>
      <c r="Q70" s="27"/>
      <c r="R70" s="25"/>
      <c r="S70" s="25"/>
    </row>
    <row r="71" spans="1:19" ht="12.75">
      <c r="A71" s="32" t="s">
        <v>1</v>
      </c>
      <c r="B71" s="32"/>
      <c r="C71" s="39" t="s">
        <v>0</v>
      </c>
      <c r="D71" s="76">
        <f aca="true" t="shared" si="24" ref="D71:K71">D72+D73</f>
        <v>41710.5</v>
      </c>
      <c r="E71" s="40">
        <f t="shared" si="24"/>
        <v>75193.3</v>
      </c>
      <c r="F71" s="40">
        <f t="shared" si="24"/>
        <v>51626.2</v>
      </c>
      <c r="G71" s="40">
        <f t="shared" si="24"/>
        <v>10844.1</v>
      </c>
      <c r="H71" s="40">
        <f t="shared" si="24"/>
        <v>15827.3</v>
      </c>
      <c r="I71" s="40">
        <f t="shared" si="24"/>
        <v>24954.8</v>
      </c>
      <c r="J71" s="40">
        <f t="shared" si="24"/>
        <v>12092.900000000001</v>
      </c>
      <c r="K71" s="40">
        <f t="shared" si="24"/>
        <v>55503.9</v>
      </c>
      <c r="L71" s="34" t="e">
        <f>K71/#REF!*100</f>
        <v>#REF!</v>
      </c>
      <c r="M71" s="34">
        <f>K71/I71*100</f>
        <v>222.41773125811469</v>
      </c>
      <c r="N71" s="55"/>
      <c r="O71" s="55"/>
      <c r="P71" s="43">
        <f t="shared" si="2"/>
        <v>458.9792357499028</v>
      </c>
      <c r="Q71" s="34">
        <f t="shared" si="3"/>
        <v>107.51110870062101</v>
      </c>
      <c r="R71" s="31">
        <f t="shared" si="4"/>
        <v>73.81495425789265</v>
      </c>
      <c r="S71" s="31">
        <f t="shared" si="5"/>
        <v>133.06937102168519</v>
      </c>
    </row>
    <row r="72" spans="1:19" ht="24">
      <c r="A72" s="21" t="s">
        <v>67</v>
      </c>
      <c r="B72" s="19"/>
      <c r="C72" s="41" t="s">
        <v>20</v>
      </c>
      <c r="D72" s="58">
        <v>41710.5</v>
      </c>
      <c r="E72" s="58">
        <v>74763.5</v>
      </c>
      <c r="F72" s="62">
        <f>G72+H72+I72</f>
        <v>51251.399999999994</v>
      </c>
      <c r="G72" s="44">
        <f>10767.7+76.4</f>
        <v>10844.1</v>
      </c>
      <c r="H72" s="44">
        <f>12203.6-24.1+3273</f>
        <v>15452.5</v>
      </c>
      <c r="I72" s="24">
        <f>9356+8368.8+7135+95</f>
        <v>24954.8</v>
      </c>
      <c r="J72" s="25">
        <f>10983.2+1109.7</f>
        <v>12092.900000000001</v>
      </c>
      <c r="K72" s="25">
        <v>55049.1</v>
      </c>
      <c r="L72" s="27" t="e">
        <f>K72/#REF!*100</f>
        <v>#REF!</v>
      </c>
      <c r="M72" s="27">
        <f>K72/I72*100</f>
        <v>220.59523618702613</v>
      </c>
      <c r="N72" s="55"/>
      <c r="O72" s="55"/>
      <c r="P72" s="24">
        <f t="shared" si="2"/>
        <v>455.21835126396473</v>
      </c>
      <c r="Q72" s="27">
        <f t="shared" si="3"/>
        <v>107.40994392348308</v>
      </c>
      <c r="R72" s="25">
        <f t="shared" si="4"/>
        <v>73.63098303316458</v>
      </c>
      <c r="S72" s="25">
        <f t="shared" si="5"/>
        <v>131.9789980940051</v>
      </c>
    </row>
    <row r="73" spans="1:19" ht="23.25" customHeight="1">
      <c r="A73" s="21" t="s">
        <v>2</v>
      </c>
      <c r="B73" s="21"/>
      <c r="C73" s="42" t="s">
        <v>19</v>
      </c>
      <c r="D73" s="65"/>
      <c r="E73" s="58">
        <v>429.8</v>
      </c>
      <c r="F73" s="62">
        <f>G73+H73+I73</f>
        <v>374.8</v>
      </c>
      <c r="G73" s="69"/>
      <c r="H73" s="69">
        <v>374.8</v>
      </c>
      <c r="I73" s="24"/>
      <c r="J73" s="25"/>
      <c r="K73" s="25">
        <v>454.8</v>
      </c>
      <c r="L73" s="27" t="e">
        <f>K73/#REF!*100</f>
        <v>#REF!</v>
      </c>
      <c r="M73" s="27"/>
      <c r="N73" s="55"/>
      <c r="O73" s="55"/>
      <c r="P73" s="24" t="e">
        <f t="shared" si="2"/>
        <v>#DIV/0!</v>
      </c>
      <c r="Q73" s="27">
        <f>K73*100/F73</f>
        <v>121.34471718249733</v>
      </c>
      <c r="R73" s="25">
        <f>K73*100/E73</f>
        <v>105.81665891112145</v>
      </c>
      <c r="S73" s="25"/>
    </row>
    <row r="74" spans="1:19" ht="12.75">
      <c r="A74" s="20"/>
      <c r="B74" s="70"/>
      <c r="C74" s="71" t="s">
        <v>4</v>
      </c>
      <c r="D74" s="72">
        <f aca="true" t="shared" si="25" ref="D74:L74">D71+D61</f>
        <v>72151.5</v>
      </c>
      <c r="E74" s="72">
        <f t="shared" si="25"/>
        <v>107434.3</v>
      </c>
      <c r="F74" s="72">
        <f t="shared" si="25"/>
        <v>73203.5</v>
      </c>
      <c r="G74" s="72">
        <f t="shared" si="25"/>
        <v>17009.4</v>
      </c>
      <c r="H74" s="72">
        <f t="shared" si="25"/>
        <v>23114.5</v>
      </c>
      <c r="I74" s="72">
        <f t="shared" si="25"/>
        <v>33079.6</v>
      </c>
      <c r="J74" s="72">
        <f t="shared" si="25"/>
        <v>21256.600000000002</v>
      </c>
      <c r="K74" s="72">
        <f t="shared" si="25"/>
        <v>87520.8</v>
      </c>
      <c r="L74" s="72" t="e">
        <f t="shared" si="25"/>
        <v>#REF!</v>
      </c>
      <c r="M74" s="93">
        <f>K74/I74*100</f>
        <v>264.57635521590345</v>
      </c>
      <c r="N74" s="55"/>
      <c r="O74" s="56" t="e">
        <f>J74+#REF!+#REF!</f>
        <v>#REF!</v>
      </c>
      <c r="P74" s="94">
        <f t="shared" si="2"/>
        <v>411.7347082788404</v>
      </c>
      <c r="Q74" s="93">
        <f t="shared" si="3"/>
        <v>119.55821784477519</v>
      </c>
      <c r="R74" s="72">
        <f t="shared" si="4"/>
        <v>81.46448573686429</v>
      </c>
      <c r="S74" s="72">
        <f aca="true" t="shared" si="26" ref="S74:S135">K74*100/D74</f>
        <v>121.30142824473504</v>
      </c>
    </row>
    <row r="75" spans="1:19" ht="12.75">
      <c r="A75" s="170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</row>
    <row r="76" spans="1:19" ht="12.75">
      <c r="A76" s="171" t="s">
        <v>28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</row>
    <row r="77" spans="1:19" ht="12.75">
      <c r="A77" s="32" t="s">
        <v>3</v>
      </c>
      <c r="B77" s="32"/>
      <c r="C77" s="33" t="s">
        <v>68</v>
      </c>
      <c r="D77" s="88">
        <f aca="true" t="shared" si="27" ref="D77:I77">D78+D79+D80+D81+D82+D83+D84+D85+D86</f>
        <v>23357.5</v>
      </c>
      <c r="E77" s="34">
        <f t="shared" si="27"/>
        <v>23510</v>
      </c>
      <c r="F77" s="34">
        <f t="shared" si="27"/>
        <v>16312.1</v>
      </c>
      <c r="G77" s="34">
        <f t="shared" si="27"/>
        <v>4665.7</v>
      </c>
      <c r="H77" s="34">
        <f t="shared" si="27"/>
        <v>6358.9</v>
      </c>
      <c r="I77" s="34">
        <f t="shared" si="27"/>
        <v>5287.500000000001</v>
      </c>
      <c r="J77" s="34">
        <f>J78+J79+J80+J81+J82+J83+J84+J85+J86+J87</f>
        <v>7197.9</v>
      </c>
      <c r="K77" s="34">
        <f>K78+K79+K80+K81+K82+K83+K84+K85+K86+K87</f>
        <v>20853</v>
      </c>
      <c r="L77" s="34" t="e">
        <f>K77/#REF!*100</f>
        <v>#REF!</v>
      </c>
      <c r="M77" s="34">
        <f>K77/I77*100</f>
        <v>394.3829787234042</v>
      </c>
      <c r="N77" s="55"/>
      <c r="O77" s="55"/>
      <c r="P77" s="34">
        <f t="shared" si="2"/>
        <v>289.70949860375947</v>
      </c>
      <c r="Q77" s="34">
        <f aca="true" t="shared" si="28" ref="Q77:Q141">K77*100/F77</f>
        <v>127.83761747414496</v>
      </c>
      <c r="R77" s="88">
        <f aca="true" t="shared" si="29" ref="R77:R141">K77*100/E77</f>
        <v>88.69842620161633</v>
      </c>
      <c r="S77" s="31">
        <f t="shared" si="26"/>
        <v>89.27753398266081</v>
      </c>
    </row>
    <row r="78" spans="1:19" ht="12.75">
      <c r="A78" s="28" t="s">
        <v>23</v>
      </c>
      <c r="B78" s="28"/>
      <c r="C78" s="35" t="s">
        <v>22</v>
      </c>
      <c r="D78" s="58">
        <v>15496</v>
      </c>
      <c r="E78" s="58">
        <f>G78+H78+I78+J78</f>
        <v>15496</v>
      </c>
      <c r="F78" s="62">
        <f>G78+H78+I78</f>
        <v>10850</v>
      </c>
      <c r="G78" s="44">
        <v>3500</v>
      </c>
      <c r="H78" s="44">
        <v>4100</v>
      </c>
      <c r="I78" s="24">
        <v>3250</v>
      </c>
      <c r="J78" s="24">
        <v>4646</v>
      </c>
      <c r="K78" s="25">
        <v>12868.7</v>
      </c>
      <c r="L78" s="27" t="e">
        <f>K78/#REF!*100</f>
        <v>#REF!</v>
      </c>
      <c r="M78" s="27">
        <f>K78/I78*100</f>
        <v>395.96</v>
      </c>
      <c r="N78" s="55"/>
      <c r="O78" s="55"/>
      <c r="P78" s="24">
        <f aca="true" t="shared" si="30" ref="P78:P145">K78*100/J78</f>
        <v>276.9845027981059</v>
      </c>
      <c r="Q78" s="27">
        <f t="shared" si="28"/>
        <v>118.60552995391706</v>
      </c>
      <c r="R78" s="25">
        <f t="shared" si="29"/>
        <v>83.04530201342281</v>
      </c>
      <c r="S78" s="25">
        <f t="shared" si="26"/>
        <v>83.04530201342281</v>
      </c>
    </row>
    <row r="79" spans="1:19" ht="14.25" customHeight="1">
      <c r="A79" s="19" t="s">
        <v>8</v>
      </c>
      <c r="B79" s="19"/>
      <c r="C79" s="35" t="s">
        <v>5</v>
      </c>
      <c r="D79" s="58"/>
      <c r="E79" s="58">
        <f aca="true" t="shared" si="31" ref="E79:E86">G79+H79+I79+J79</f>
        <v>0.5</v>
      </c>
      <c r="F79" s="62">
        <f aca="true" t="shared" si="32" ref="F79:F86">G79+H79+I79</f>
        <v>0.5</v>
      </c>
      <c r="G79" s="44"/>
      <c r="H79" s="44">
        <v>0.5</v>
      </c>
      <c r="I79" s="24"/>
      <c r="J79" s="24"/>
      <c r="K79" s="25">
        <v>0.5</v>
      </c>
      <c r="L79" s="27"/>
      <c r="M79" s="27"/>
      <c r="N79" s="55"/>
      <c r="O79" s="55"/>
      <c r="P79" s="24" t="e">
        <f t="shared" si="30"/>
        <v>#DIV/0!</v>
      </c>
      <c r="Q79" s="27">
        <f>K79*100/F79</f>
        <v>100</v>
      </c>
      <c r="R79" s="25">
        <f>K79*100/E79</f>
        <v>100</v>
      </c>
      <c r="S79" s="25"/>
    </row>
    <row r="80" spans="1:19" ht="12.75">
      <c r="A80" s="19" t="s">
        <v>9</v>
      </c>
      <c r="B80" s="19"/>
      <c r="C80" s="35" t="s">
        <v>6</v>
      </c>
      <c r="D80" s="58">
        <v>1432</v>
      </c>
      <c r="E80" s="58">
        <f t="shared" si="31"/>
        <v>1432</v>
      </c>
      <c r="F80" s="62">
        <f t="shared" si="32"/>
        <v>841.1</v>
      </c>
      <c r="G80" s="44">
        <v>234.9</v>
      </c>
      <c r="H80" s="44">
        <v>215.4</v>
      </c>
      <c r="I80" s="24">
        <v>390.8</v>
      </c>
      <c r="J80" s="24">
        <v>590.9</v>
      </c>
      <c r="K80" s="25">
        <v>1344</v>
      </c>
      <c r="L80" s="27" t="e">
        <f>K80/#REF!*100</f>
        <v>#REF!</v>
      </c>
      <c r="M80" s="27">
        <f>K80/I80*100</f>
        <v>343.90992835209823</v>
      </c>
      <c r="N80" s="55"/>
      <c r="O80" s="55"/>
      <c r="P80" s="24">
        <f t="shared" si="30"/>
        <v>227.44965307158571</v>
      </c>
      <c r="Q80" s="27">
        <f t="shared" si="28"/>
        <v>159.79075020806087</v>
      </c>
      <c r="R80" s="25">
        <f t="shared" si="29"/>
        <v>93.85474860335195</v>
      </c>
      <c r="S80" s="25">
        <f t="shared" si="26"/>
        <v>93.85474860335195</v>
      </c>
    </row>
    <row r="81" spans="1:19" ht="12.75" hidden="1">
      <c r="A81" s="19" t="s">
        <v>10</v>
      </c>
      <c r="B81" s="19"/>
      <c r="C81" s="35" t="s">
        <v>21</v>
      </c>
      <c r="D81" s="58"/>
      <c r="E81" s="58">
        <f t="shared" si="31"/>
        <v>0</v>
      </c>
      <c r="F81" s="62">
        <f t="shared" si="32"/>
        <v>0</v>
      </c>
      <c r="G81" s="44"/>
      <c r="H81" s="44"/>
      <c r="I81" s="24"/>
      <c r="J81" s="24"/>
      <c r="K81" s="25"/>
      <c r="L81" s="27"/>
      <c r="M81" s="27"/>
      <c r="N81" s="55"/>
      <c r="O81" s="55"/>
      <c r="P81" s="24" t="e">
        <f t="shared" si="30"/>
        <v>#DIV/0!</v>
      </c>
      <c r="Q81" s="27" t="e">
        <f t="shared" si="28"/>
        <v>#DIV/0!</v>
      </c>
      <c r="R81" s="25" t="e">
        <f t="shared" si="29"/>
        <v>#DIV/0!</v>
      </c>
      <c r="S81" s="25" t="e">
        <f t="shared" si="26"/>
        <v>#DIV/0!</v>
      </c>
    </row>
    <row r="82" spans="1:19" ht="24">
      <c r="A82" s="20" t="s">
        <v>11</v>
      </c>
      <c r="B82" s="20"/>
      <c r="C82" s="35" t="s">
        <v>17</v>
      </c>
      <c r="D82" s="58">
        <v>5848</v>
      </c>
      <c r="E82" s="58">
        <f t="shared" si="31"/>
        <v>5848</v>
      </c>
      <c r="F82" s="62">
        <f t="shared" si="32"/>
        <v>4075</v>
      </c>
      <c r="G82" s="44">
        <v>775</v>
      </c>
      <c r="H82" s="44">
        <v>1700</v>
      </c>
      <c r="I82" s="24">
        <v>1600</v>
      </c>
      <c r="J82" s="24">
        <v>1773</v>
      </c>
      <c r="K82" s="25">
        <v>5437.5</v>
      </c>
      <c r="L82" s="27" t="e">
        <f>K82/#REF!*100</f>
        <v>#REF!</v>
      </c>
      <c r="M82" s="27">
        <f>K82/I82*100</f>
        <v>339.84375</v>
      </c>
      <c r="N82" s="55"/>
      <c r="O82" s="55"/>
      <c r="P82" s="24">
        <f t="shared" si="30"/>
        <v>306.68358714043995</v>
      </c>
      <c r="Q82" s="27">
        <f t="shared" si="28"/>
        <v>133.43558282208588</v>
      </c>
      <c r="R82" s="25">
        <f t="shared" si="29"/>
        <v>92.98050615595075</v>
      </c>
      <c r="S82" s="25">
        <f t="shared" si="26"/>
        <v>92.98050615595075</v>
      </c>
    </row>
    <row r="83" spans="1:19" ht="24">
      <c r="A83" s="37" t="s">
        <v>42</v>
      </c>
      <c r="B83" s="37"/>
      <c r="C83" s="35" t="s">
        <v>43</v>
      </c>
      <c r="D83" s="58">
        <v>479</v>
      </c>
      <c r="E83" s="58">
        <f t="shared" si="31"/>
        <v>479</v>
      </c>
      <c r="F83" s="62">
        <f t="shared" si="32"/>
        <v>291</v>
      </c>
      <c r="G83" s="44">
        <v>144.3</v>
      </c>
      <c r="H83" s="44">
        <v>105.6</v>
      </c>
      <c r="I83" s="24">
        <v>41.1</v>
      </c>
      <c r="J83" s="24">
        <v>188</v>
      </c>
      <c r="K83" s="25">
        <v>405.5</v>
      </c>
      <c r="L83" s="27" t="e">
        <f>K83/#REF!*100</f>
        <v>#REF!</v>
      </c>
      <c r="M83" s="27">
        <f>K83/I83*100</f>
        <v>986.61800486618</v>
      </c>
      <c r="N83" s="55"/>
      <c r="O83" s="55"/>
      <c r="P83" s="24">
        <f t="shared" si="30"/>
        <v>215.69148936170214</v>
      </c>
      <c r="Q83" s="27">
        <f t="shared" si="28"/>
        <v>139.34707903780068</v>
      </c>
      <c r="R83" s="25">
        <f t="shared" si="29"/>
        <v>84.65553235908142</v>
      </c>
      <c r="S83" s="25">
        <f t="shared" si="26"/>
        <v>84.65553235908142</v>
      </c>
    </row>
    <row r="84" spans="1:19" ht="12.75">
      <c r="A84" s="36" t="s">
        <v>18</v>
      </c>
      <c r="B84" s="36"/>
      <c r="C84" s="35" t="s">
        <v>15</v>
      </c>
      <c r="D84" s="58">
        <v>102.5</v>
      </c>
      <c r="E84" s="58">
        <f t="shared" si="31"/>
        <v>254.5</v>
      </c>
      <c r="F84" s="62">
        <f t="shared" si="32"/>
        <v>254.5</v>
      </c>
      <c r="G84" s="44">
        <v>11.5</v>
      </c>
      <c r="H84" s="44">
        <v>237.4</v>
      </c>
      <c r="I84" s="24">
        <v>5.6</v>
      </c>
      <c r="J84" s="24"/>
      <c r="K84" s="25">
        <v>659</v>
      </c>
      <c r="L84" s="27" t="e">
        <f>K84/#REF!*100</f>
        <v>#REF!</v>
      </c>
      <c r="M84" s="27">
        <f>K84/I84*100</f>
        <v>11767.857142857143</v>
      </c>
      <c r="N84" s="55"/>
      <c r="O84" s="55"/>
      <c r="P84" s="24" t="e">
        <f t="shared" si="30"/>
        <v>#DIV/0!</v>
      </c>
      <c r="Q84" s="27">
        <f t="shared" si="28"/>
        <v>258.93909626719056</v>
      </c>
      <c r="R84" s="25">
        <f t="shared" si="29"/>
        <v>258.93909626719056</v>
      </c>
      <c r="S84" s="25">
        <f t="shared" si="26"/>
        <v>642.9268292682926</v>
      </c>
    </row>
    <row r="85" spans="1:19" ht="12" customHeight="1" hidden="1">
      <c r="A85" s="28" t="s">
        <v>12</v>
      </c>
      <c r="B85" s="28"/>
      <c r="C85" s="35" t="s">
        <v>7</v>
      </c>
      <c r="D85" s="58"/>
      <c r="E85" s="58">
        <f t="shared" si="31"/>
        <v>0</v>
      </c>
      <c r="F85" s="62">
        <f t="shared" si="32"/>
        <v>0</v>
      </c>
      <c r="G85" s="44"/>
      <c r="H85" s="44"/>
      <c r="I85" s="24"/>
      <c r="J85" s="24"/>
      <c r="K85" s="25"/>
      <c r="L85" s="34"/>
      <c r="M85" s="34"/>
      <c r="N85" s="55"/>
      <c r="O85" s="55"/>
      <c r="P85" s="24" t="e">
        <f t="shared" si="30"/>
        <v>#DIV/0!</v>
      </c>
      <c r="Q85" s="27"/>
      <c r="R85" s="25"/>
      <c r="S85" s="25" t="e">
        <f t="shared" si="26"/>
        <v>#DIV/0!</v>
      </c>
    </row>
    <row r="86" spans="1:19" ht="12.75">
      <c r="A86" s="38" t="s">
        <v>39</v>
      </c>
      <c r="B86" s="64"/>
      <c r="C86" s="23" t="s">
        <v>40</v>
      </c>
      <c r="D86" s="87"/>
      <c r="E86" s="58">
        <f t="shared" si="31"/>
        <v>0</v>
      </c>
      <c r="F86" s="62">
        <f t="shared" si="32"/>
        <v>0</v>
      </c>
      <c r="G86" s="44"/>
      <c r="H86" s="44"/>
      <c r="I86" s="24"/>
      <c r="J86" s="24"/>
      <c r="K86" s="25">
        <v>137.8</v>
      </c>
      <c r="L86" s="34"/>
      <c r="M86" s="34"/>
      <c r="N86" s="55"/>
      <c r="O86" s="55"/>
      <c r="P86" s="24" t="e">
        <f t="shared" si="30"/>
        <v>#DIV/0!</v>
      </c>
      <c r="Q86" s="27"/>
      <c r="R86" s="25"/>
      <c r="S86" s="25"/>
    </row>
    <row r="87" spans="1:19" ht="12.75" hidden="1">
      <c r="A87" s="38" t="s">
        <v>44</v>
      </c>
      <c r="B87" s="64"/>
      <c r="C87" s="23" t="s">
        <v>45</v>
      </c>
      <c r="D87" s="87"/>
      <c r="E87" s="23"/>
      <c r="F87" s="23"/>
      <c r="G87" s="44"/>
      <c r="H87" s="44"/>
      <c r="I87" s="24" t="e">
        <f>J87+#REF!+#REF!+#REF!</f>
        <v>#REF!</v>
      </c>
      <c r="J87" s="24"/>
      <c r="K87" s="25"/>
      <c r="L87" s="34"/>
      <c r="M87" s="34"/>
      <c r="N87" s="55"/>
      <c r="O87" s="55"/>
      <c r="P87" s="24" t="e">
        <f t="shared" si="30"/>
        <v>#DIV/0!</v>
      </c>
      <c r="Q87" s="34" t="e">
        <f t="shared" si="28"/>
        <v>#DIV/0!</v>
      </c>
      <c r="R87" s="31" t="e">
        <f t="shared" si="29"/>
        <v>#DIV/0!</v>
      </c>
      <c r="S87" s="25" t="e">
        <f t="shared" si="26"/>
        <v>#DIV/0!</v>
      </c>
    </row>
    <row r="88" spans="1:19" ht="12.75">
      <c r="A88" s="32" t="s">
        <v>1</v>
      </c>
      <c r="B88" s="32"/>
      <c r="C88" s="39" t="s">
        <v>0</v>
      </c>
      <c r="D88" s="76">
        <f aca="true" t="shared" si="33" ref="D88:K88">D89+D90</f>
        <v>63073.6</v>
      </c>
      <c r="E88" s="40">
        <f t="shared" si="33"/>
        <v>83014.29999999999</v>
      </c>
      <c r="F88" s="79">
        <f t="shared" si="33"/>
        <v>60716.9</v>
      </c>
      <c r="G88" s="40">
        <f t="shared" si="33"/>
        <v>12882.8</v>
      </c>
      <c r="H88" s="40">
        <f t="shared" si="33"/>
        <v>24578</v>
      </c>
      <c r="I88" s="40">
        <f t="shared" si="33"/>
        <v>23256.1</v>
      </c>
      <c r="J88" s="40">
        <f t="shared" si="33"/>
        <v>12029.5</v>
      </c>
      <c r="K88" s="40">
        <f t="shared" si="33"/>
        <v>67748</v>
      </c>
      <c r="L88" s="34" t="e">
        <f>K88/#REF!*100</f>
        <v>#REF!</v>
      </c>
      <c r="M88" s="34">
        <f>K88/I88*100</f>
        <v>291.31281685235274</v>
      </c>
      <c r="N88" s="55"/>
      <c r="O88" s="55"/>
      <c r="P88" s="43">
        <f t="shared" si="30"/>
        <v>563.1821771478449</v>
      </c>
      <c r="Q88" s="34">
        <f t="shared" si="28"/>
        <v>111.58013666705645</v>
      </c>
      <c r="R88" s="31">
        <f t="shared" si="29"/>
        <v>81.61003586129138</v>
      </c>
      <c r="S88" s="31">
        <f t="shared" si="26"/>
        <v>107.41102458080718</v>
      </c>
    </row>
    <row r="89" spans="1:19" ht="24">
      <c r="A89" s="21" t="s">
        <v>67</v>
      </c>
      <c r="B89" s="19"/>
      <c r="C89" s="41" t="s">
        <v>20</v>
      </c>
      <c r="D89" s="58">
        <v>63073.6</v>
      </c>
      <c r="E89" s="58">
        <v>81688.4</v>
      </c>
      <c r="F89" s="62">
        <f>G89+H89+I89</f>
        <v>59391</v>
      </c>
      <c r="G89" s="44">
        <v>12882.8</v>
      </c>
      <c r="H89" s="44">
        <f>20394.2+239.3+2744.5</f>
        <v>23378</v>
      </c>
      <c r="I89" s="24">
        <f>16819+146.6+6164.6</f>
        <v>23130.199999999997</v>
      </c>
      <c r="J89" s="24">
        <f>13185.1-1155.6</f>
        <v>12029.5</v>
      </c>
      <c r="K89" s="25">
        <v>66422.1</v>
      </c>
      <c r="L89" s="27" t="e">
        <f>K89/#REF!*100</f>
        <v>#REF!</v>
      </c>
      <c r="M89" s="27">
        <f>K89/I89*100</f>
        <v>287.1661291298822</v>
      </c>
      <c r="N89" s="55"/>
      <c r="O89" s="55"/>
      <c r="P89" s="24">
        <f t="shared" si="30"/>
        <v>552.1601064050876</v>
      </c>
      <c r="Q89" s="27">
        <f t="shared" si="28"/>
        <v>111.83866242359954</v>
      </c>
      <c r="R89" s="25">
        <f t="shared" si="29"/>
        <v>81.31154484602467</v>
      </c>
      <c r="S89" s="25">
        <f t="shared" si="26"/>
        <v>105.30887724816724</v>
      </c>
    </row>
    <row r="90" spans="1:19" ht="21" customHeight="1">
      <c r="A90" s="21" t="s">
        <v>2</v>
      </c>
      <c r="B90" s="21"/>
      <c r="C90" s="42" t="s">
        <v>19</v>
      </c>
      <c r="D90" s="65"/>
      <c r="E90" s="58">
        <f>G90+H90+I90+J90</f>
        <v>1325.9</v>
      </c>
      <c r="F90" s="62">
        <f>G90+H90+I90</f>
        <v>1325.9</v>
      </c>
      <c r="G90" s="74"/>
      <c r="H90" s="74">
        <v>1200</v>
      </c>
      <c r="I90" s="24">
        <v>125.9</v>
      </c>
      <c r="J90" s="24"/>
      <c r="K90" s="25">
        <v>1325.9</v>
      </c>
      <c r="L90" s="27" t="e">
        <f>K90/#REF!*100</f>
        <v>#REF!</v>
      </c>
      <c r="M90" s="27"/>
      <c r="N90" s="55"/>
      <c r="O90" s="55"/>
      <c r="P90" s="24" t="e">
        <f t="shared" si="30"/>
        <v>#DIV/0!</v>
      </c>
      <c r="Q90" s="27">
        <f>K90*100/F90</f>
        <v>100</v>
      </c>
      <c r="R90" s="25">
        <f>K90*100/E90</f>
        <v>100</v>
      </c>
      <c r="S90" s="25"/>
    </row>
    <row r="91" spans="1:19" ht="12.75">
      <c r="A91" s="20"/>
      <c r="B91" s="70"/>
      <c r="C91" s="71" t="s">
        <v>4</v>
      </c>
      <c r="D91" s="72">
        <f aca="true" t="shared" si="34" ref="D91:K91">D88+D77</f>
        <v>86431.1</v>
      </c>
      <c r="E91" s="72">
        <f t="shared" si="34"/>
        <v>106524.29999999999</v>
      </c>
      <c r="F91" s="72">
        <f t="shared" si="34"/>
        <v>77029</v>
      </c>
      <c r="G91" s="72">
        <f t="shared" si="34"/>
        <v>17548.5</v>
      </c>
      <c r="H91" s="72">
        <f t="shared" si="34"/>
        <v>30936.9</v>
      </c>
      <c r="I91" s="72">
        <f t="shared" si="34"/>
        <v>28543.6</v>
      </c>
      <c r="J91" s="72">
        <f t="shared" si="34"/>
        <v>19227.4</v>
      </c>
      <c r="K91" s="72">
        <f t="shared" si="34"/>
        <v>88601</v>
      </c>
      <c r="L91" s="93" t="e">
        <f>K91/#REF!*100</f>
        <v>#REF!</v>
      </c>
      <c r="M91" s="93">
        <f>K91/I91*100</f>
        <v>310.4058352835662</v>
      </c>
      <c r="N91" s="55"/>
      <c r="O91" s="56" t="e">
        <f>J91+#REF!+#REF!</f>
        <v>#REF!</v>
      </c>
      <c r="P91" s="94">
        <f t="shared" si="30"/>
        <v>460.8059331994965</v>
      </c>
      <c r="Q91" s="93">
        <f t="shared" si="28"/>
        <v>115.02291344818185</v>
      </c>
      <c r="R91" s="72">
        <f t="shared" si="29"/>
        <v>83.17444939793081</v>
      </c>
      <c r="S91" s="72">
        <f t="shared" si="26"/>
        <v>102.51055464988875</v>
      </c>
    </row>
    <row r="92" spans="1:19" ht="12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</row>
    <row r="93" spans="1:19" ht="12.75">
      <c r="A93" s="171" t="s">
        <v>29</v>
      </c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</row>
    <row r="94" spans="1:19" ht="12.75">
      <c r="A94" s="32" t="s">
        <v>3</v>
      </c>
      <c r="B94" s="32"/>
      <c r="C94" s="33" t="s">
        <v>68</v>
      </c>
      <c r="D94" s="34">
        <f>D95+D97+D101+D98+D99+D102+D100+D96</f>
        <v>3422.5</v>
      </c>
      <c r="E94" s="34">
        <f>E95+E97+E101+E98+E99+E102+E100+E96</f>
        <v>3359.4</v>
      </c>
      <c r="F94" s="34">
        <f aca="true" t="shared" si="35" ref="F94:K94">F95+F97+F101+F98+F99+F102+F100+F96</f>
        <v>2497.3999999999996</v>
      </c>
      <c r="G94" s="34">
        <f t="shared" si="35"/>
        <v>828.5000000000001</v>
      </c>
      <c r="H94" s="34">
        <f t="shared" si="35"/>
        <v>834.5999999999999</v>
      </c>
      <c r="I94" s="34">
        <f t="shared" si="35"/>
        <v>834.3000000000001</v>
      </c>
      <c r="J94" s="34">
        <f t="shared" si="35"/>
        <v>835.5999999999999</v>
      </c>
      <c r="K94" s="34">
        <f t="shared" si="35"/>
        <v>2618.2999999999997</v>
      </c>
      <c r="L94" s="34">
        <f>L95+L97+L101+L98+L99+L102+L100+L96+L96</f>
        <v>0</v>
      </c>
      <c r="M94" s="34" t="e">
        <f>M95+M97+M101+M98+M99+M102+M100+M96+M96</f>
        <v>#DIV/0!</v>
      </c>
      <c r="N94" s="34">
        <f>N95+N97+N101+N98+N99+N102+N100+N96+N96</f>
        <v>0</v>
      </c>
      <c r="O94" s="34">
        <f>O95+O97+O101+O98+O99+O102+O100+O96+O96</f>
        <v>0</v>
      </c>
      <c r="P94" s="34" t="e">
        <f>P95+P97+P101+P98+P99+P102+P100+P96+P96</f>
        <v>#DIV/0!</v>
      </c>
      <c r="Q94" s="34">
        <f t="shared" si="28"/>
        <v>104.8410346760631</v>
      </c>
      <c r="R94" s="31">
        <f t="shared" si="29"/>
        <v>77.93951300827527</v>
      </c>
      <c r="S94" s="31">
        <f t="shared" si="26"/>
        <v>76.50255661066471</v>
      </c>
    </row>
    <row r="95" spans="1:19" ht="12.75">
      <c r="A95" s="28" t="s">
        <v>23</v>
      </c>
      <c r="B95" s="28"/>
      <c r="C95" s="35" t="s">
        <v>22</v>
      </c>
      <c r="D95" s="44">
        <v>3255</v>
      </c>
      <c r="E95" s="58">
        <f>G95+H95+I95+J95</f>
        <v>3255</v>
      </c>
      <c r="F95" s="62">
        <f>G95+H95+I95</f>
        <v>2441.2</v>
      </c>
      <c r="G95" s="44">
        <v>813.7</v>
      </c>
      <c r="H95" s="44">
        <v>813.8</v>
      </c>
      <c r="I95" s="24">
        <v>813.7</v>
      </c>
      <c r="J95" s="25">
        <v>813.8</v>
      </c>
      <c r="K95" s="25">
        <v>2496</v>
      </c>
      <c r="L95" s="27"/>
      <c r="M95" s="27">
        <f>K95/I95*100</f>
        <v>306.74695833845396</v>
      </c>
      <c r="N95" s="56"/>
      <c r="O95" s="55"/>
      <c r="P95" s="24">
        <f t="shared" si="30"/>
        <v>306.7092651757189</v>
      </c>
      <c r="Q95" s="27">
        <f t="shared" si="28"/>
        <v>102.24479764050467</v>
      </c>
      <c r="R95" s="25">
        <f t="shared" si="29"/>
        <v>76.68202764976958</v>
      </c>
      <c r="S95" s="25">
        <f t="shared" si="26"/>
        <v>76.68202764976958</v>
      </c>
    </row>
    <row r="96" spans="1:19" ht="12.75">
      <c r="A96" s="19" t="s">
        <v>8</v>
      </c>
      <c r="B96" s="19"/>
      <c r="C96" s="35" t="s">
        <v>5</v>
      </c>
      <c r="D96" s="44"/>
      <c r="E96" s="58">
        <v>3.7</v>
      </c>
      <c r="F96" s="62">
        <f aca="true" t="shared" si="36" ref="F96:F102">G96+H96+I96</f>
        <v>0</v>
      </c>
      <c r="G96" s="44"/>
      <c r="H96" s="44"/>
      <c r="I96" s="24"/>
      <c r="J96" s="25"/>
      <c r="K96" s="25">
        <v>3.7</v>
      </c>
      <c r="L96" s="27"/>
      <c r="M96" s="27"/>
      <c r="N96" s="56"/>
      <c r="O96" s="55"/>
      <c r="P96" s="24"/>
      <c r="Q96" s="27"/>
      <c r="R96" s="25">
        <f t="shared" si="29"/>
        <v>100</v>
      </c>
      <c r="S96" s="25"/>
    </row>
    <row r="97" spans="1:19" ht="12.75">
      <c r="A97" s="19" t="s">
        <v>9</v>
      </c>
      <c r="B97" s="19"/>
      <c r="C97" s="35" t="s">
        <v>6</v>
      </c>
      <c r="D97" s="44">
        <v>40</v>
      </c>
      <c r="E97" s="58">
        <v>42.8</v>
      </c>
      <c r="F97" s="62">
        <f t="shared" si="36"/>
        <v>29</v>
      </c>
      <c r="G97" s="44">
        <v>7.1</v>
      </c>
      <c r="H97" s="44">
        <v>11</v>
      </c>
      <c r="I97" s="24">
        <v>10.9</v>
      </c>
      <c r="J97" s="25">
        <v>11</v>
      </c>
      <c r="K97" s="25">
        <v>48.7</v>
      </c>
      <c r="L97" s="27"/>
      <c r="M97" s="27">
        <f aca="true" t="shared" si="37" ref="M97:M104">K97/I97*100</f>
        <v>446.7889908256881</v>
      </c>
      <c r="N97" s="56"/>
      <c r="O97" s="55"/>
      <c r="P97" s="24">
        <f t="shared" si="30"/>
        <v>442.72727272727275</v>
      </c>
      <c r="Q97" s="27">
        <f t="shared" si="28"/>
        <v>167.93103448275863</v>
      </c>
      <c r="R97" s="25">
        <f t="shared" si="29"/>
        <v>113.78504672897196</v>
      </c>
      <c r="S97" s="25">
        <f t="shared" si="26"/>
        <v>121.75</v>
      </c>
    </row>
    <row r="98" spans="1:19" ht="12.75">
      <c r="A98" s="19" t="s">
        <v>10</v>
      </c>
      <c r="B98" s="19"/>
      <c r="C98" s="35" t="s">
        <v>21</v>
      </c>
      <c r="D98" s="44">
        <v>10</v>
      </c>
      <c r="E98" s="58">
        <f>G98+H98+I98+J98</f>
        <v>10</v>
      </c>
      <c r="F98" s="62">
        <f t="shared" si="36"/>
        <v>7</v>
      </c>
      <c r="G98" s="44">
        <v>1</v>
      </c>
      <c r="H98" s="44">
        <v>3</v>
      </c>
      <c r="I98" s="24">
        <v>3</v>
      </c>
      <c r="J98" s="25">
        <v>3</v>
      </c>
      <c r="K98" s="25">
        <v>10.8</v>
      </c>
      <c r="L98" s="27"/>
      <c r="M98" s="27">
        <f t="shared" si="37"/>
        <v>360</v>
      </c>
      <c r="N98" s="55"/>
      <c r="O98" s="55"/>
      <c r="P98" s="24">
        <f t="shared" si="30"/>
        <v>360</v>
      </c>
      <c r="Q98" s="27">
        <f t="shared" si="28"/>
        <v>154.28571428571428</v>
      </c>
      <c r="R98" s="25">
        <f t="shared" si="29"/>
        <v>108</v>
      </c>
      <c r="S98" s="25">
        <f t="shared" si="26"/>
        <v>108</v>
      </c>
    </row>
    <row r="99" spans="1:19" ht="24">
      <c r="A99" s="20" t="s">
        <v>11</v>
      </c>
      <c r="B99" s="20"/>
      <c r="C99" s="35" t="s">
        <v>17</v>
      </c>
      <c r="D99" s="44">
        <v>82.5</v>
      </c>
      <c r="E99" s="58">
        <v>1.8</v>
      </c>
      <c r="F99" s="62">
        <f t="shared" si="36"/>
        <v>0</v>
      </c>
      <c r="G99" s="44"/>
      <c r="H99" s="44"/>
      <c r="I99" s="24"/>
      <c r="J99" s="25"/>
      <c r="K99" s="25">
        <v>1.7</v>
      </c>
      <c r="L99" s="27"/>
      <c r="M99" s="27" t="e">
        <f t="shared" si="37"/>
        <v>#DIV/0!</v>
      </c>
      <c r="N99" s="55"/>
      <c r="O99" s="55"/>
      <c r="P99" s="24" t="e">
        <f t="shared" si="30"/>
        <v>#DIV/0!</v>
      </c>
      <c r="Q99" s="27"/>
      <c r="R99" s="25">
        <f t="shared" si="29"/>
        <v>94.44444444444444</v>
      </c>
      <c r="S99" s="25">
        <f t="shared" si="26"/>
        <v>2.0606060606060606</v>
      </c>
    </row>
    <row r="100" spans="1:19" ht="24">
      <c r="A100" s="37" t="s">
        <v>42</v>
      </c>
      <c r="B100" s="37"/>
      <c r="C100" s="35" t="s">
        <v>43</v>
      </c>
      <c r="D100" s="44">
        <v>27</v>
      </c>
      <c r="E100" s="58">
        <v>45.1</v>
      </c>
      <c r="F100" s="62">
        <f t="shared" si="36"/>
        <v>20.2</v>
      </c>
      <c r="G100" s="44">
        <v>6.7</v>
      </c>
      <c r="H100" s="44">
        <v>6.8</v>
      </c>
      <c r="I100" s="24">
        <v>6.7</v>
      </c>
      <c r="J100" s="25">
        <v>6.8</v>
      </c>
      <c r="K100" s="25">
        <v>55.1</v>
      </c>
      <c r="L100" s="27"/>
      <c r="M100" s="27">
        <f t="shared" si="37"/>
        <v>822.3880597014926</v>
      </c>
      <c r="N100" s="55"/>
      <c r="O100" s="55"/>
      <c r="P100" s="24">
        <f t="shared" si="30"/>
        <v>810.2941176470589</v>
      </c>
      <c r="Q100" s="27">
        <f t="shared" si="28"/>
        <v>272.7722772277228</v>
      </c>
      <c r="R100" s="25">
        <f t="shared" si="29"/>
        <v>122.1729490022173</v>
      </c>
      <c r="S100" s="25">
        <f t="shared" si="26"/>
        <v>204.07407407407408</v>
      </c>
    </row>
    <row r="101" spans="1:19" ht="12.75">
      <c r="A101" s="37" t="s">
        <v>18</v>
      </c>
      <c r="B101" s="37"/>
      <c r="C101" s="35" t="s">
        <v>15</v>
      </c>
      <c r="D101" s="44">
        <v>8</v>
      </c>
      <c r="E101" s="58">
        <f>G101+H101+I101+J101</f>
        <v>1</v>
      </c>
      <c r="F101" s="62">
        <f t="shared" si="36"/>
        <v>0</v>
      </c>
      <c r="G101" s="44"/>
      <c r="H101" s="44"/>
      <c r="I101" s="24"/>
      <c r="J101" s="25">
        <v>1</v>
      </c>
      <c r="K101" s="25"/>
      <c r="L101" s="27"/>
      <c r="M101" s="27" t="e">
        <f t="shared" si="37"/>
        <v>#DIV/0!</v>
      </c>
      <c r="N101" s="55"/>
      <c r="O101" s="55"/>
      <c r="P101" s="24">
        <f t="shared" si="30"/>
        <v>0</v>
      </c>
      <c r="Q101" s="27"/>
      <c r="R101" s="25">
        <f t="shared" si="29"/>
        <v>0</v>
      </c>
      <c r="S101" s="25">
        <f t="shared" si="26"/>
        <v>0</v>
      </c>
    </row>
    <row r="102" spans="1:19" ht="16.5" customHeight="1">
      <c r="A102" s="37" t="s">
        <v>39</v>
      </c>
      <c r="B102" s="75"/>
      <c r="C102" s="23" t="s">
        <v>40</v>
      </c>
      <c r="D102" s="78"/>
      <c r="E102" s="58">
        <f>G102+H102+I102+J102</f>
        <v>0</v>
      </c>
      <c r="F102" s="62">
        <f t="shared" si="36"/>
        <v>0</v>
      </c>
      <c r="G102" s="44"/>
      <c r="H102" s="44"/>
      <c r="I102" s="24"/>
      <c r="J102" s="25"/>
      <c r="K102" s="25">
        <v>2.3</v>
      </c>
      <c r="L102" s="34"/>
      <c r="M102" s="27" t="e">
        <f t="shared" si="37"/>
        <v>#DIV/0!</v>
      </c>
      <c r="N102" s="55"/>
      <c r="O102" s="55"/>
      <c r="P102" s="24" t="e">
        <f t="shared" si="30"/>
        <v>#DIV/0!</v>
      </c>
      <c r="Q102" s="34"/>
      <c r="R102" s="31"/>
      <c r="S102" s="25"/>
    </row>
    <row r="103" spans="1:19" ht="12.75">
      <c r="A103" s="59" t="s">
        <v>1</v>
      </c>
      <c r="B103" s="59"/>
      <c r="C103" s="39" t="s">
        <v>0</v>
      </c>
      <c r="D103" s="40">
        <f aca="true" t="shared" si="38" ref="D103:L103">D104+D105</f>
        <v>19490.6</v>
      </c>
      <c r="E103" s="40">
        <f t="shared" si="38"/>
        <v>28270.7</v>
      </c>
      <c r="F103" s="40">
        <f t="shared" si="38"/>
        <v>20195.2</v>
      </c>
      <c r="G103" s="40">
        <f t="shared" si="38"/>
        <v>5280</v>
      </c>
      <c r="H103" s="40">
        <f t="shared" si="38"/>
        <v>9889.4</v>
      </c>
      <c r="I103" s="40">
        <f t="shared" si="38"/>
        <v>5025.8</v>
      </c>
      <c r="J103" s="40">
        <f t="shared" si="38"/>
        <v>5486.8</v>
      </c>
      <c r="K103" s="40">
        <f t="shared" si="38"/>
        <v>25408.300000000003</v>
      </c>
      <c r="L103" s="40">
        <f t="shared" si="38"/>
        <v>0</v>
      </c>
      <c r="M103" s="34">
        <f>K103/I103*100</f>
        <v>505.5573242070914</v>
      </c>
      <c r="N103" s="55"/>
      <c r="O103" s="55"/>
      <c r="P103" s="43">
        <f t="shared" si="30"/>
        <v>463.080484070861</v>
      </c>
      <c r="Q103" s="34">
        <f t="shared" si="28"/>
        <v>125.81355965774047</v>
      </c>
      <c r="R103" s="31">
        <f t="shared" si="29"/>
        <v>89.8750296243107</v>
      </c>
      <c r="S103" s="31">
        <f t="shared" si="26"/>
        <v>130.3618154392374</v>
      </c>
    </row>
    <row r="104" spans="1:19" ht="24">
      <c r="A104" s="21" t="s">
        <v>67</v>
      </c>
      <c r="B104" s="19"/>
      <c r="C104" s="41" t="s">
        <v>20</v>
      </c>
      <c r="D104" s="44">
        <v>19490.6</v>
      </c>
      <c r="E104" s="58">
        <v>27620.8</v>
      </c>
      <c r="F104" s="62">
        <f>G104+H104+I104</f>
        <v>19745.3</v>
      </c>
      <c r="G104" s="44">
        <f>5015.2+157.5+107.3</f>
        <v>5280</v>
      </c>
      <c r="H104" s="44">
        <f>4825.1+349.8+4264.6</f>
        <v>9439.5</v>
      </c>
      <c r="I104" s="24">
        <f>4825.1+22.2+178.5</f>
        <v>5025.8</v>
      </c>
      <c r="J104" s="25">
        <f>4825.2+661.6</f>
        <v>5486.8</v>
      </c>
      <c r="K104" s="25">
        <v>24758.4</v>
      </c>
      <c r="L104" s="27"/>
      <c r="M104" s="27">
        <f t="shared" si="37"/>
        <v>492.6260495841458</v>
      </c>
      <c r="N104" s="55"/>
      <c r="O104" s="55"/>
      <c r="P104" s="24">
        <f t="shared" si="30"/>
        <v>451.2356929357731</v>
      </c>
      <c r="Q104" s="27">
        <f t="shared" si="28"/>
        <v>125.38882670812802</v>
      </c>
      <c r="R104" s="25">
        <f t="shared" si="29"/>
        <v>89.63679545849504</v>
      </c>
      <c r="S104" s="25">
        <f t="shared" si="26"/>
        <v>127.02738756118335</v>
      </c>
    </row>
    <row r="105" spans="1:19" ht="15.75" customHeight="1">
      <c r="A105" s="21" t="s">
        <v>2</v>
      </c>
      <c r="B105" s="21"/>
      <c r="C105" s="42" t="s">
        <v>19</v>
      </c>
      <c r="D105" s="74"/>
      <c r="E105" s="58">
        <v>649.9</v>
      </c>
      <c r="F105" s="62">
        <f>G105+H105+I105</f>
        <v>449.9</v>
      </c>
      <c r="G105" s="74"/>
      <c r="H105" s="74">
        <v>449.9</v>
      </c>
      <c r="I105" s="24"/>
      <c r="J105" s="25"/>
      <c r="K105" s="25">
        <v>649.9</v>
      </c>
      <c r="L105" s="27"/>
      <c r="M105" s="27"/>
      <c r="N105" s="55"/>
      <c r="O105" s="55"/>
      <c r="P105" s="24" t="e">
        <f t="shared" si="30"/>
        <v>#DIV/0!</v>
      </c>
      <c r="Q105" s="27">
        <f t="shared" si="28"/>
        <v>144.45432318292956</v>
      </c>
      <c r="R105" s="25">
        <f t="shared" si="29"/>
        <v>100</v>
      </c>
      <c r="S105" s="25"/>
    </row>
    <row r="106" spans="1:19" ht="12.75">
      <c r="A106" s="20"/>
      <c r="B106" s="70"/>
      <c r="C106" s="71" t="s">
        <v>4</v>
      </c>
      <c r="D106" s="94">
        <f aca="true" t="shared" si="39" ref="D106:L106">D103+D94</f>
        <v>22913.1</v>
      </c>
      <c r="E106" s="72">
        <f t="shared" si="39"/>
        <v>31630.100000000002</v>
      </c>
      <c r="F106" s="94">
        <f t="shared" si="39"/>
        <v>22692.6</v>
      </c>
      <c r="G106" s="94">
        <f t="shared" si="39"/>
        <v>6108.5</v>
      </c>
      <c r="H106" s="94">
        <f>H103+H94</f>
        <v>10724</v>
      </c>
      <c r="I106" s="72">
        <f t="shared" si="39"/>
        <v>5860.1</v>
      </c>
      <c r="J106" s="72">
        <f t="shared" si="39"/>
        <v>6322.4</v>
      </c>
      <c r="K106" s="72">
        <f t="shared" si="39"/>
        <v>28026.600000000002</v>
      </c>
      <c r="L106" s="72">
        <f t="shared" si="39"/>
        <v>0</v>
      </c>
      <c r="M106" s="93">
        <f>K106/I106*100</f>
        <v>478.2614631149639</v>
      </c>
      <c r="N106" s="55"/>
      <c r="O106" s="56" t="e">
        <f>J106+#REF!+#REF!</f>
        <v>#REF!</v>
      </c>
      <c r="P106" s="94">
        <f t="shared" si="30"/>
        <v>443.29052258635966</v>
      </c>
      <c r="Q106" s="93">
        <f t="shared" si="28"/>
        <v>123.50545992966872</v>
      </c>
      <c r="R106" s="72">
        <f t="shared" si="29"/>
        <v>88.60737082715514</v>
      </c>
      <c r="S106" s="72">
        <f t="shared" si="26"/>
        <v>122.31692787095592</v>
      </c>
    </row>
    <row r="107" spans="1:19" ht="12.75">
      <c r="A107" s="172"/>
      <c r="B107" s="172"/>
      <c r="C107" s="172"/>
      <c r="D107" s="172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</row>
    <row r="108" spans="1:19" ht="12.75">
      <c r="A108" s="171" t="s">
        <v>30</v>
      </c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</row>
    <row r="109" spans="1:19" ht="12.75">
      <c r="A109" s="32" t="s">
        <v>3</v>
      </c>
      <c r="B109" s="32"/>
      <c r="C109" s="33" t="s">
        <v>68</v>
      </c>
      <c r="D109" s="34">
        <f>D110+D112+D116+D113+D114+D117+D115+D118+D111</f>
        <v>1801.6</v>
      </c>
      <c r="E109" s="34">
        <f>E110+E112+E116+E113+E114+E117+E115+E118+E111</f>
        <v>2607.1</v>
      </c>
      <c r="F109" s="34">
        <f aca="true" t="shared" si="40" ref="F109:K109">F110+F112+F116+F113+F114+F117+F115+F118+F111</f>
        <v>2073.8</v>
      </c>
      <c r="G109" s="34">
        <f t="shared" si="40"/>
        <v>306.6</v>
      </c>
      <c r="H109" s="34">
        <f t="shared" si="40"/>
        <v>1378.3000000000002</v>
      </c>
      <c r="I109" s="34">
        <f t="shared" si="40"/>
        <v>388.90000000000003</v>
      </c>
      <c r="J109" s="34">
        <f t="shared" si="40"/>
        <v>521.3</v>
      </c>
      <c r="K109" s="34">
        <f t="shared" si="40"/>
        <v>2548.9</v>
      </c>
      <c r="L109" s="34" t="e">
        <f>K109/#REF!*100</f>
        <v>#REF!</v>
      </c>
      <c r="M109" s="34">
        <f aca="true" t="shared" si="41" ref="M109:M116">K109/I109*100</f>
        <v>655.4127024942145</v>
      </c>
      <c r="N109" s="55"/>
      <c r="O109" s="55"/>
      <c r="P109" s="34">
        <f t="shared" si="30"/>
        <v>488.9507001726453</v>
      </c>
      <c r="Q109" s="34">
        <f t="shared" si="28"/>
        <v>122.9096344874144</v>
      </c>
      <c r="R109" s="31">
        <f t="shared" si="29"/>
        <v>97.76763453645813</v>
      </c>
      <c r="S109" s="31">
        <f t="shared" si="26"/>
        <v>141.47979573712257</v>
      </c>
    </row>
    <row r="110" spans="1:19" ht="12.75">
      <c r="A110" s="28" t="s">
        <v>23</v>
      </c>
      <c r="B110" s="28"/>
      <c r="C110" s="35" t="s">
        <v>22</v>
      </c>
      <c r="D110" s="44">
        <v>1260</v>
      </c>
      <c r="E110" s="58">
        <v>2244</v>
      </c>
      <c r="F110" s="62">
        <f>G110+H110+I110</f>
        <v>1796.1000000000001</v>
      </c>
      <c r="G110" s="58">
        <v>235.4</v>
      </c>
      <c r="H110" s="58">
        <v>1265</v>
      </c>
      <c r="I110" s="25">
        <f>292.7+3</f>
        <v>295.7</v>
      </c>
      <c r="J110" s="25">
        <v>446.9</v>
      </c>
      <c r="K110" s="25">
        <v>2189.2</v>
      </c>
      <c r="L110" s="27" t="e">
        <f>K110/#REF!*100</f>
        <v>#REF!</v>
      </c>
      <c r="M110" s="27">
        <f t="shared" si="41"/>
        <v>740.3449442002029</v>
      </c>
      <c r="N110" s="55"/>
      <c r="O110" s="55"/>
      <c r="P110" s="24">
        <f t="shared" si="30"/>
        <v>489.8635041396285</v>
      </c>
      <c r="Q110" s="27">
        <f t="shared" si="28"/>
        <v>121.88630922554421</v>
      </c>
      <c r="R110" s="25">
        <f t="shared" si="29"/>
        <v>97.5579322638146</v>
      </c>
      <c r="S110" s="25">
        <f t="shared" si="26"/>
        <v>173.74603174603172</v>
      </c>
    </row>
    <row r="111" spans="1:19" ht="12.75" hidden="1">
      <c r="A111" s="19" t="s">
        <v>8</v>
      </c>
      <c r="B111" s="19"/>
      <c r="C111" s="35" t="s">
        <v>5</v>
      </c>
      <c r="D111" s="44"/>
      <c r="E111" s="58">
        <f>G111+H111+I111+J111</f>
        <v>0</v>
      </c>
      <c r="F111" s="62">
        <f aca="true" t="shared" si="42" ref="F111:F118">G111+H111+I111</f>
        <v>0</v>
      </c>
      <c r="G111" s="58"/>
      <c r="H111" s="58"/>
      <c r="I111" s="25"/>
      <c r="J111" s="25"/>
      <c r="K111" s="25"/>
      <c r="L111" s="27"/>
      <c r="M111" s="27"/>
      <c r="N111" s="55"/>
      <c r="O111" s="55"/>
      <c r="P111" s="24"/>
      <c r="Q111" s="27"/>
      <c r="R111" s="25"/>
      <c r="S111" s="25" t="e">
        <f t="shared" si="26"/>
        <v>#DIV/0!</v>
      </c>
    </row>
    <row r="112" spans="1:19" ht="12.75">
      <c r="A112" s="19" t="s">
        <v>9</v>
      </c>
      <c r="B112" s="19"/>
      <c r="C112" s="35" t="s">
        <v>6</v>
      </c>
      <c r="D112" s="44">
        <v>63</v>
      </c>
      <c r="E112" s="58">
        <v>92</v>
      </c>
      <c r="F112" s="62">
        <f t="shared" si="42"/>
        <v>70</v>
      </c>
      <c r="G112" s="58">
        <v>9</v>
      </c>
      <c r="H112" s="58">
        <v>30</v>
      </c>
      <c r="I112" s="25">
        <v>31</v>
      </c>
      <c r="J112" s="25">
        <v>12</v>
      </c>
      <c r="K112" s="25">
        <v>62.4</v>
      </c>
      <c r="L112" s="27" t="e">
        <f>K112/#REF!*100</f>
        <v>#REF!</v>
      </c>
      <c r="M112" s="27">
        <f t="shared" si="41"/>
        <v>201.29032258064515</v>
      </c>
      <c r="N112" s="55"/>
      <c r="O112" s="55"/>
      <c r="P112" s="24">
        <f t="shared" si="30"/>
        <v>520</v>
      </c>
      <c r="Q112" s="27">
        <f t="shared" si="28"/>
        <v>89.14285714285714</v>
      </c>
      <c r="R112" s="25">
        <f t="shared" si="29"/>
        <v>67.82608695652173</v>
      </c>
      <c r="S112" s="25">
        <f t="shared" si="26"/>
        <v>99.04761904761905</v>
      </c>
    </row>
    <row r="113" spans="1:19" ht="12.75">
      <c r="A113" s="19" t="s">
        <v>10</v>
      </c>
      <c r="B113" s="19"/>
      <c r="C113" s="35" t="s">
        <v>21</v>
      </c>
      <c r="D113" s="44">
        <v>31</v>
      </c>
      <c r="E113" s="58">
        <v>32</v>
      </c>
      <c r="F113" s="62">
        <f t="shared" si="42"/>
        <v>23.5</v>
      </c>
      <c r="G113" s="58">
        <v>7.5</v>
      </c>
      <c r="H113" s="58">
        <v>8.4</v>
      </c>
      <c r="I113" s="25">
        <v>7.6</v>
      </c>
      <c r="J113" s="25">
        <v>7.5</v>
      </c>
      <c r="K113" s="25">
        <v>31.4</v>
      </c>
      <c r="L113" s="27" t="e">
        <f>K113/#REF!*100</f>
        <v>#REF!</v>
      </c>
      <c r="M113" s="27">
        <f t="shared" si="41"/>
        <v>413.15789473684214</v>
      </c>
      <c r="N113" s="55"/>
      <c r="O113" s="55"/>
      <c r="P113" s="24">
        <f t="shared" si="30"/>
        <v>418.6666666666667</v>
      </c>
      <c r="Q113" s="27">
        <f t="shared" si="28"/>
        <v>133.61702127659575</v>
      </c>
      <c r="R113" s="25">
        <f t="shared" si="29"/>
        <v>98.125</v>
      </c>
      <c r="S113" s="25">
        <f t="shared" si="26"/>
        <v>101.29032258064517</v>
      </c>
    </row>
    <row r="114" spans="1:19" ht="24">
      <c r="A114" s="20" t="s">
        <v>11</v>
      </c>
      <c r="B114" s="20"/>
      <c r="C114" s="35" t="s">
        <v>17</v>
      </c>
      <c r="D114" s="44">
        <v>330.1</v>
      </c>
      <c r="E114" s="58">
        <f>G114+H114+I114+J114</f>
        <v>149.1</v>
      </c>
      <c r="F114" s="62">
        <f t="shared" si="42"/>
        <v>116.69999999999999</v>
      </c>
      <c r="G114" s="58">
        <v>32.2</v>
      </c>
      <c r="H114" s="58">
        <v>52.4</v>
      </c>
      <c r="I114" s="25">
        <v>32.1</v>
      </c>
      <c r="J114" s="25">
        <v>32.4</v>
      </c>
      <c r="K114" s="25">
        <v>22.4</v>
      </c>
      <c r="L114" s="27" t="e">
        <f>K114/#REF!*100</f>
        <v>#REF!</v>
      </c>
      <c r="M114" s="27">
        <f t="shared" si="41"/>
        <v>69.78193146417445</v>
      </c>
      <c r="N114" s="55"/>
      <c r="O114" s="55"/>
      <c r="P114" s="24">
        <f t="shared" si="30"/>
        <v>69.13580246913581</v>
      </c>
      <c r="Q114" s="27">
        <f t="shared" si="28"/>
        <v>19.19451585261354</v>
      </c>
      <c r="R114" s="25">
        <f t="shared" si="29"/>
        <v>15.023474178403756</v>
      </c>
      <c r="S114" s="25">
        <f t="shared" si="26"/>
        <v>6.785822478036958</v>
      </c>
    </row>
    <row r="115" spans="1:19" ht="15.75" customHeight="1">
      <c r="A115" s="37" t="s">
        <v>42</v>
      </c>
      <c r="B115" s="37"/>
      <c r="C115" s="35" t="s">
        <v>43</v>
      </c>
      <c r="D115" s="44">
        <v>90</v>
      </c>
      <c r="E115" s="58">
        <f>G115+H115+I115+J115</f>
        <v>90</v>
      </c>
      <c r="F115" s="62">
        <f t="shared" si="42"/>
        <v>67.5</v>
      </c>
      <c r="G115" s="58">
        <v>22.5</v>
      </c>
      <c r="H115" s="58">
        <v>22.5</v>
      </c>
      <c r="I115" s="25">
        <v>22.5</v>
      </c>
      <c r="J115" s="25">
        <v>22.5</v>
      </c>
      <c r="K115" s="25">
        <v>83.3</v>
      </c>
      <c r="L115" s="27" t="e">
        <f>K115/#REF!*100</f>
        <v>#REF!</v>
      </c>
      <c r="M115" s="27">
        <f t="shared" si="41"/>
        <v>370.22222222222223</v>
      </c>
      <c r="N115" s="55"/>
      <c r="O115" s="55"/>
      <c r="P115" s="24">
        <f t="shared" si="30"/>
        <v>370.22222222222223</v>
      </c>
      <c r="Q115" s="27">
        <f t="shared" si="28"/>
        <v>123.4074074074074</v>
      </c>
      <c r="R115" s="25">
        <f t="shared" si="29"/>
        <v>92.55555555555556</v>
      </c>
      <c r="S115" s="25">
        <f t="shared" si="26"/>
        <v>92.55555555555556</v>
      </c>
    </row>
    <row r="116" spans="1:19" ht="15.75" customHeight="1">
      <c r="A116" s="36" t="s">
        <v>18</v>
      </c>
      <c r="B116" s="36"/>
      <c r="C116" s="35" t="s">
        <v>15</v>
      </c>
      <c r="D116" s="44">
        <v>27.5</v>
      </c>
      <c r="E116" s="58">
        <f>G116+H116+I116+J116</f>
        <v>0</v>
      </c>
      <c r="F116" s="62">
        <f t="shared" si="42"/>
        <v>0</v>
      </c>
      <c r="G116" s="58"/>
      <c r="H116" s="58"/>
      <c r="I116" s="25"/>
      <c r="J116" s="25"/>
      <c r="K116" s="25"/>
      <c r="L116" s="27" t="e">
        <f>K116/#REF!*100</f>
        <v>#REF!</v>
      </c>
      <c r="M116" s="27" t="e">
        <f t="shared" si="41"/>
        <v>#DIV/0!</v>
      </c>
      <c r="N116" s="55"/>
      <c r="O116" s="55"/>
      <c r="P116" s="24" t="e">
        <f t="shared" si="30"/>
        <v>#DIV/0!</v>
      </c>
      <c r="Q116" s="27"/>
      <c r="R116" s="25"/>
      <c r="S116" s="25">
        <f t="shared" si="26"/>
        <v>0</v>
      </c>
    </row>
    <row r="117" spans="1:19" ht="8.25" customHeight="1" hidden="1">
      <c r="A117" s="28" t="s">
        <v>12</v>
      </c>
      <c r="B117" s="28"/>
      <c r="C117" s="35" t="s">
        <v>7</v>
      </c>
      <c r="D117" s="44"/>
      <c r="E117" s="58">
        <f>G117+H117+I117+J117</f>
        <v>0</v>
      </c>
      <c r="F117" s="62">
        <f t="shared" si="42"/>
        <v>0</v>
      </c>
      <c r="G117" s="58"/>
      <c r="H117" s="58"/>
      <c r="I117" s="25"/>
      <c r="J117" s="25"/>
      <c r="K117" s="25"/>
      <c r="L117" s="27"/>
      <c r="M117" s="27"/>
      <c r="N117" s="55"/>
      <c r="O117" s="55"/>
      <c r="P117" s="24" t="e">
        <f t="shared" si="30"/>
        <v>#DIV/0!</v>
      </c>
      <c r="Q117" s="34" t="e">
        <f t="shared" si="28"/>
        <v>#DIV/0!</v>
      </c>
      <c r="R117" s="31" t="e">
        <f t="shared" si="29"/>
        <v>#DIV/0!</v>
      </c>
      <c r="S117" s="25" t="e">
        <f t="shared" si="26"/>
        <v>#DIV/0!</v>
      </c>
    </row>
    <row r="118" spans="1:19" ht="14.25" customHeight="1">
      <c r="A118" s="36" t="s">
        <v>39</v>
      </c>
      <c r="B118" s="75"/>
      <c r="C118" s="23" t="s">
        <v>40</v>
      </c>
      <c r="D118" s="78"/>
      <c r="E118" s="58">
        <f>G118+H118+I118+J118</f>
        <v>0</v>
      </c>
      <c r="F118" s="62">
        <f t="shared" si="42"/>
        <v>0</v>
      </c>
      <c r="G118" s="58"/>
      <c r="H118" s="58"/>
      <c r="I118" s="25"/>
      <c r="J118" s="25"/>
      <c r="K118" s="25">
        <v>160.2</v>
      </c>
      <c r="L118" s="27"/>
      <c r="M118" s="27"/>
      <c r="N118" s="55"/>
      <c r="O118" s="55"/>
      <c r="P118" s="24" t="e">
        <f t="shared" si="30"/>
        <v>#DIV/0!</v>
      </c>
      <c r="Q118" s="34"/>
      <c r="R118" s="31"/>
      <c r="S118" s="25"/>
    </row>
    <row r="119" spans="1:19" ht="12.75">
      <c r="A119" s="32" t="s">
        <v>1</v>
      </c>
      <c r="B119" s="32"/>
      <c r="C119" s="39" t="s">
        <v>0</v>
      </c>
      <c r="D119" s="40">
        <f>D120+D121</f>
        <v>24734.8</v>
      </c>
      <c r="E119" s="40">
        <f>E120+E121</f>
        <v>30517.2</v>
      </c>
      <c r="F119" s="40">
        <f aca="true" t="shared" si="43" ref="F119:K119">F120+F121</f>
        <v>23103.199999999997</v>
      </c>
      <c r="G119" s="40">
        <f t="shared" si="43"/>
        <v>4130.1</v>
      </c>
      <c r="H119" s="40">
        <f t="shared" si="43"/>
        <v>8470.3</v>
      </c>
      <c r="I119" s="40">
        <f t="shared" si="43"/>
        <v>10502.8</v>
      </c>
      <c r="J119" s="40">
        <f t="shared" si="43"/>
        <v>6590.9</v>
      </c>
      <c r="K119" s="40">
        <f t="shared" si="43"/>
        <v>27815</v>
      </c>
      <c r="L119" s="40" t="e">
        <f>L120</f>
        <v>#REF!</v>
      </c>
      <c r="M119" s="34">
        <f>K119/I119*100</f>
        <v>264.8341394675706</v>
      </c>
      <c r="N119" s="55"/>
      <c r="O119" s="55"/>
      <c r="P119" s="43">
        <f t="shared" si="30"/>
        <v>422.0212717534783</v>
      </c>
      <c r="Q119" s="34">
        <f t="shared" si="28"/>
        <v>120.39457737456284</v>
      </c>
      <c r="R119" s="31">
        <f t="shared" si="29"/>
        <v>91.14532132698936</v>
      </c>
      <c r="S119" s="31">
        <f t="shared" si="26"/>
        <v>112.45290036709414</v>
      </c>
    </row>
    <row r="120" spans="1:19" ht="24">
      <c r="A120" s="21" t="s">
        <v>67</v>
      </c>
      <c r="B120" s="19"/>
      <c r="C120" s="41" t="s">
        <v>20</v>
      </c>
      <c r="D120" s="44">
        <v>24734.8</v>
      </c>
      <c r="E120" s="58">
        <v>29917.2</v>
      </c>
      <c r="F120" s="62">
        <f>G120+H120+I120</f>
        <v>22503.199999999997</v>
      </c>
      <c r="G120" s="58">
        <f>3823.7+27.9+278.5</f>
        <v>4130.1</v>
      </c>
      <c r="H120" s="58">
        <f>7079.4+700+71.3+619.6</f>
        <v>8470.3</v>
      </c>
      <c r="I120" s="25">
        <f>7725.2+193+1983.7+0.9</f>
        <v>9902.8</v>
      </c>
      <c r="J120" s="25">
        <f>6106.5+484.4</f>
        <v>6590.9</v>
      </c>
      <c r="K120" s="25">
        <v>27215</v>
      </c>
      <c r="L120" s="27" t="e">
        <f>K120/#REF!*100</f>
        <v>#REF!</v>
      </c>
      <c r="M120" s="27">
        <f>K120/I120*100</f>
        <v>274.82126267318336</v>
      </c>
      <c r="N120" s="55"/>
      <c r="O120" s="55"/>
      <c r="P120" s="24">
        <f t="shared" si="30"/>
        <v>412.91781092111853</v>
      </c>
      <c r="Q120" s="27">
        <f t="shared" si="28"/>
        <v>120.93835543389386</v>
      </c>
      <c r="R120" s="25">
        <f t="shared" si="29"/>
        <v>90.96773762250477</v>
      </c>
      <c r="S120" s="25">
        <f t="shared" si="26"/>
        <v>110.02716820026845</v>
      </c>
    </row>
    <row r="121" spans="1:19" ht="12.75">
      <c r="A121" s="21" t="s">
        <v>2</v>
      </c>
      <c r="B121" s="21"/>
      <c r="C121" s="42" t="s">
        <v>19</v>
      </c>
      <c r="D121" s="74"/>
      <c r="E121" s="58">
        <v>600</v>
      </c>
      <c r="F121" s="62">
        <f>G121+H121+I121</f>
        <v>600</v>
      </c>
      <c r="G121" s="58"/>
      <c r="H121" s="58"/>
      <c r="I121" s="25">
        <v>600</v>
      </c>
      <c r="J121" s="25"/>
      <c r="K121" s="25">
        <v>600</v>
      </c>
      <c r="L121" s="27"/>
      <c r="M121" s="27"/>
      <c r="N121" s="55"/>
      <c r="O121" s="55"/>
      <c r="P121" s="24"/>
      <c r="Q121" s="27">
        <f t="shared" si="28"/>
        <v>100</v>
      </c>
      <c r="R121" s="25">
        <f t="shared" si="29"/>
        <v>100</v>
      </c>
      <c r="S121" s="25"/>
    </row>
    <row r="122" spans="1:19" ht="12.75">
      <c r="A122" s="28"/>
      <c r="B122" s="29"/>
      <c r="C122" s="30" t="s">
        <v>4</v>
      </c>
      <c r="D122" s="43">
        <f aca="true" t="shared" si="44" ref="D122:K122">D119+D109</f>
        <v>26536.399999999998</v>
      </c>
      <c r="E122" s="31">
        <f t="shared" si="44"/>
        <v>33124.3</v>
      </c>
      <c r="F122" s="31">
        <f t="shared" si="44"/>
        <v>25176.999999999996</v>
      </c>
      <c r="G122" s="31">
        <f t="shared" si="44"/>
        <v>4436.700000000001</v>
      </c>
      <c r="H122" s="31">
        <f t="shared" si="44"/>
        <v>9848.599999999999</v>
      </c>
      <c r="I122" s="31">
        <f t="shared" si="44"/>
        <v>10891.699999999999</v>
      </c>
      <c r="J122" s="31">
        <f t="shared" si="44"/>
        <v>7112.2</v>
      </c>
      <c r="K122" s="31">
        <f t="shared" si="44"/>
        <v>30363.9</v>
      </c>
      <c r="L122" s="34" t="e">
        <f>K122/#REF!*100</f>
        <v>#REF!</v>
      </c>
      <c r="M122" s="34">
        <f>K122/I122*100</f>
        <v>278.78017205762194</v>
      </c>
      <c r="N122" s="55"/>
      <c r="O122" s="56" t="e">
        <f>J122+#REF!+#REF!</f>
        <v>#REF!</v>
      </c>
      <c r="P122" s="43">
        <f t="shared" si="30"/>
        <v>426.92697055763335</v>
      </c>
      <c r="Q122" s="34">
        <f t="shared" si="28"/>
        <v>120.60173968304406</v>
      </c>
      <c r="R122" s="31">
        <f t="shared" si="29"/>
        <v>91.66654087784495</v>
      </c>
      <c r="S122" s="31">
        <f t="shared" si="26"/>
        <v>114.42358420886029</v>
      </c>
    </row>
    <row r="123" spans="1:19" ht="12.75">
      <c r="A123" s="182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4"/>
    </row>
    <row r="124" spans="1:19" ht="12.75">
      <c r="A124" s="173" t="s">
        <v>31</v>
      </c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5"/>
    </row>
    <row r="125" spans="1:19" ht="12.75">
      <c r="A125" s="32" t="s">
        <v>3</v>
      </c>
      <c r="B125" s="32"/>
      <c r="C125" s="33" t="s">
        <v>68</v>
      </c>
      <c r="D125" s="34">
        <f aca="true" t="shared" si="45" ref="D125:K125">D126+D127+D128+D129+D131+D133+D130+D132</f>
        <v>2764</v>
      </c>
      <c r="E125" s="34">
        <f t="shared" si="45"/>
        <v>2492</v>
      </c>
      <c r="F125" s="34">
        <f t="shared" si="45"/>
        <v>1716.8000000000002</v>
      </c>
      <c r="G125" s="34">
        <f t="shared" si="45"/>
        <v>567.2</v>
      </c>
      <c r="H125" s="34">
        <f t="shared" si="45"/>
        <v>573.2</v>
      </c>
      <c r="I125" s="34">
        <f t="shared" si="45"/>
        <v>576.4</v>
      </c>
      <c r="J125" s="34">
        <f t="shared" si="45"/>
        <v>593.7</v>
      </c>
      <c r="K125" s="34">
        <f t="shared" si="45"/>
        <v>2405.2000000000003</v>
      </c>
      <c r="L125" s="34" t="e">
        <f>K125/#REF!*100</f>
        <v>#REF!</v>
      </c>
      <c r="M125" s="34">
        <f aca="true" t="shared" si="46" ref="M125:M131">K125/I125*100</f>
        <v>417.27966689798757</v>
      </c>
      <c r="N125" s="55"/>
      <c r="O125" s="55"/>
      <c r="P125" s="34">
        <f t="shared" si="30"/>
        <v>405.1204311942058</v>
      </c>
      <c r="Q125" s="34">
        <f t="shared" si="28"/>
        <v>140.09785647716683</v>
      </c>
      <c r="R125" s="31">
        <f t="shared" si="29"/>
        <v>96.51685393258428</v>
      </c>
      <c r="S125" s="31">
        <f t="shared" si="26"/>
        <v>87.01881331403764</v>
      </c>
    </row>
    <row r="126" spans="1:19" ht="12.75">
      <c r="A126" s="28" t="s">
        <v>23</v>
      </c>
      <c r="B126" s="28"/>
      <c r="C126" s="35" t="s">
        <v>22</v>
      </c>
      <c r="D126" s="44">
        <v>1922.5</v>
      </c>
      <c r="E126" s="58">
        <v>2022.5</v>
      </c>
      <c r="F126" s="62">
        <f>G126+H126+I126</f>
        <v>1441.8000000000002</v>
      </c>
      <c r="G126" s="44">
        <v>480.6</v>
      </c>
      <c r="H126" s="44">
        <v>480.6</v>
      </c>
      <c r="I126" s="24">
        <v>480.6</v>
      </c>
      <c r="J126" s="25">
        <v>480.7</v>
      </c>
      <c r="K126" s="25">
        <v>2010.5</v>
      </c>
      <c r="L126" s="27" t="e">
        <f>K126/#REF!*100</f>
        <v>#REF!</v>
      </c>
      <c r="M126" s="27">
        <f t="shared" si="46"/>
        <v>418.33125260091555</v>
      </c>
      <c r="N126" s="55"/>
      <c r="O126" s="55"/>
      <c r="P126" s="24">
        <f t="shared" si="30"/>
        <v>418.2442271687123</v>
      </c>
      <c r="Q126" s="27">
        <f t="shared" si="28"/>
        <v>139.4437508669718</v>
      </c>
      <c r="R126" s="25">
        <f t="shared" si="29"/>
        <v>99.40667490729295</v>
      </c>
      <c r="S126" s="25">
        <f t="shared" si="26"/>
        <v>104.57737321196359</v>
      </c>
    </row>
    <row r="127" spans="1:19" ht="12.75">
      <c r="A127" s="19" t="s">
        <v>9</v>
      </c>
      <c r="B127" s="19"/>
      <c r="C127" s="35" t="s">
        <v>6</v>
      </c>
      <c r="D127" s="44">
        <v>196</v>
      </c>
      <c r="E127" s="58">
        <v>242</v>
      </c>
      <c r="F127" s="62">
        <f aca="true" t="shared" si="47" ref="F127:F136">G127+H127+I127</f>
        <v>136.2</v>
      </c>
      <c r="G127" s="44">
        <v>43</v>
      </c>
      <c r="H127" s="44">
        <v>47.9</v>
      </c>
      <c r="I127" s="24">
        <v>45.3</v>
      </c>
      <c r="J127" s="25">
        <v>59.8</v>
      </c>
      <c r="K127" s="25">
        <v>219.9</v>
      </c>
      <c r="L127" s="27" t="e">
        <f>K127/#REF!*100</f>
        <v>#REF!</v>
      </c>
      <c r="M127" s="27">
        <f t="shared" si="46"/>
        <v>485.430463576159</v>
      </c>
      <c r="N127" s="55"/>
      <c r="O127" s="55"/>
      <c r="P127" s="24">
        <f t="shared" si="30"/>
        <v>367.7257525083612</v>
      </c>
      <c r="Q127" s="27">
        <f t="shared" si="28"/>
        <v>161.4537444933921</v>
      </c>
      <c r="R127" s="25">
        <f t="shared" si="29"/>
        <v>90.86776859504133</v>
      </c>
      <c r="S127" s="25">
        <f t="shared" si="26"/>
        <v>112.1938775510204</v>
      </c>
    </row>
    <row r="128" spans="1:19" ht="12.75">
      <c r="A128" s="19" t="s">
        <v>10</v>
      </c>
      <c r="B128" s="19"/>
      <c r="C128" s="35" t="s">
        <v>21</v>
      </c>
      <c r="D128" s="44">
        <v>40</v>
      </c>
      <c r="E128" s="58">
        <v>60</v>
      </c>
      <c r="F128" s="62">
        <f t="shared" si="47"/>
        <v>24.8</v>
      </c>
      <c r="G128" s="44">
        <v>6</v>
      </c>
      <c r="H128" s="44">
        <v>6</v>
      </c>
      <c r="I128" s="24">
        <v>12.8</v>
      </c>
      <c r="J128" s="25">
        <v>15.2</v>
      </c>
      <c r="K128" s="25">
        <v>59.5</v>
      </c>
      <c r="L128" s="27" t="e">
        <f>K128/#REF!*100</f>
        <v>#REF!</v>
      </c>
      <c r="M128" s="27">
        <f t="shared" si="46"/>
        <v>464.84375</v>
      </c>
      <c r="N128" s="55"/>
      <c r="O128" s="55"/>
      <c r="P128" s="24">
        <f t="shared" si="30"/>
        <v>391.44736842105266</v>
      </c>
      <c r="Q128" s="27">
        <f t="shared" si="28"/>
        <v>239.91935483870967</v>
      </c>
      <c r="R128" s="25">
        <f t="shared" si="29"/>
        <v>99.16666666666667</v>
      </c>
      <c r="S128" s="25">
        <f t="shared" si="26"/>
        <v>148.75</v>
      </c>
    </row>
    <row r="129" spans="1:19" ht="24">
      <c r="A129" s="20" t="s">
        <v>11</v>
      </c>
      <c r="B129" s="20"/>
      <c r="C129" s="35" t="s">
        <v>17</v>
      </c>
      <c r="D129" s="44">
        <v>432.5</v>
      </c>
      <c r="E129" s="58">
        <v>87.5</v>
      </c>
      <c r="F129" s="62">
        <f t="shared" si="47"/>
        <v>54</v>
      </c>
      <c r="G129" s="44">
        <v>18</v>
      </c>
      <c r="H129" s="44">
        <v>18</v>
      </c>
      <c r="I129" s="24">
        <v>18</v>
      </c>
      <c r="J129" s="25">
        <v>18</v>
      </c>
      <c r="K129" s="25">
        <v>74.8</v>
      </c>
      <c r="L129" s="27" t="e">
        <f>K129/#REF!*100</f>
        <v>#REF!</v>
      </c>
      <c r="M129" s="27">
        <f t="shared" si="46"/>
        <v>415.5555555555555</v>
      </c>
      <c r="N129" s="55"/>
      <c r="O129" s="55"/>
      <c r="P129" s="24">
        <f t="shared" si="30"/>
        <v>415.55555555555554</v>
      </c>
      <c r="Q129" s="27">
        <f t="shared" si="28"/>
        <v>138.5185185185185</v>
      </c>
      <c r="R129" s="25">
        <f t="shared" si="29"/>
        <v>85.48571428571428</v>
      </c>
      <c r="S129" s="25">
        <f t="shared" si="26"/>
        <v>17.294797687861273</v>
      </c>
    </row>
    <row r="130" spans="1:19" ht="24">
      <c r="A130" s="37" t="s">
        <v>42</v>
      </c>
      <c r="B130" s="37"/>
      <c r="C130" s="35" t="s">
        <v>43</v>
      </c>
      <c r="D130" s="44">
        <v>80</v>
      </c>
      <c r="E130" s="58">
        <f aca="true" t="shared" si="48" ref="E130:E136">G130+H130+I130+J130</f>
        <v>80</v>
      </c>
      <c r="F130" s="62">
        <f t="shared" si="47"/>
        <v>60</v>
      </c>
      <c r="G130" s="44">
        <v>19.6</v>
      </c>
      <c r="H130" s="44">
        <v>20.7</v>
      </c>
      <c r="I130" s="24">
        <v>19.7</v>
      </c>
      <c r="J130" s="25">
        <v>20</v>
      </c>
      <c r="K130" s="25">
        <v>40.5</v>
      </c>
      <c r="L130" s="27" t="e">
        <f>K130/#REF!*100</f>
        <v>#REF!</v>
      </c>
      <c r="M130" s="27">
        <f t="shared" si="46"/>
        <v>205.58375634517768</v>
      </c>
      <c r="N130" s="55"/>
      <c r="O130" s="55"/>
      <c r="P130" s="24">
        <f t="shared" si="30"/>
        <v>202.5</v>
      </c>
      <c r="Q130" s="27">
        <f t="shared" si="28"/>
        <v>67.5</v>
      </c>
      <c r="R130" s="25">
        <f t="shared" si="29"/>
        <v>50.625</v>
      </c>
      <c r="S130" s="25">
        <f t="shared" si="26"/>
        <v>50.625</v>
      </c>
    </row>
    <row r="131" spans="1:19" ht="19.5" customHeight="1">
      <c r="A131" s="37" t="s">
        <v>18</v>
      </c>
      <c r="B131" s="37"/>
      <c r="C131" s="35" t="s">
        <v>15</v>
      </c>
      <c r="D131" s="44">
        <v>93</v>
      </c>
      <c r="E131" s="58">
        <f t="shared" si="48"/>
        <v>0</v>
      </c>
      <c r="F131" s="62">
        <f t="shared" si="47"/>
        <v>0</v>
      </c>
      <c r="G131" s="44"/>
      <c r="H131" s="44"/>
      <c r="I131" s="24"/>
      <c r="J131" s="25"/>
      <c r="K131" s="25"/>
      <c r="L131" s="27" t="e">
        <f>K131/#REF!*100</f>
        <v>#REF!</v>
      </c>
      <c r="M131" s="27" t="e">
        <f t="shared" si="46"/>
        <v>#DIV/0!</v>
      </c>
      <c r="N131" s="55"/>
      <c r="O131" s="55"/>
      <c r="P131" s="24" t="e">
        <f t="shared" si="30"/>
        <v>#DIV/0!</v>
      </c>
      <c r="Q131" s="27"/>
      <c r="R131" s="25"/>
      <c r="S131" s="25">
        <f t="shared" si="26"/>
        <v>0</v>
      </c>
    </row>
    <row r="132" spans="1:19" ht="9.75" customHeight="1" hidden="1">
      <c r="A132" s="28" t="s">
        <v>12</v>
      </c>
      <c r="B132" s="28"/>
      <c r="C132" s="35" t="s">
        <v>7</v>
      </c>
      <c r="D132" s="44"/>
      <c r="E132" s="58">
        <f t="shared" si="48"/>
        <v>0</v>
      </c>
      <c r="F132" s="62">
        <f t="shared" si="47"/>
        <v>0</v>
      </c>
      <c r="G132" s="44"/>
      <c r="H132" s="44"/>
      <c r="I132" s="24"/>
      <c r="J132" s="25"/>
      <c r="K132" s="25"/>
      <c r="L132" s="27"/>
      <c r="M132" s="27"/>
      <c r="N132" s="55"/>
      <c r="O132" s="55"/>
      <c r="P132" s="24"/>
      <c r="Q132" s="27"/>
      <c r="R132" s="25"/>
      <c r="S132" s="25" t="e">
        <f t="shared" si="26"/>
        <v>#DIV/0!</v>
      </c>
    </row>
    <row r="133" spans="1:19" ht="12.75">
      <c r="A133" s="37" t="s">
        <v>39</v>
      </c>
      <c r="B133" s="75"/>
      <c r="C133" s="23" t="s">
        <v>40</v>
      </c>
      <c r="D133" s="78"/>
      <c r="E133" s="58">
        <f t="shared" si="48"/>
        <v>0</v>
      </c>
      <c r="F133" s="62">
        <f t="shared" si="47"/>
        <v>0</v>
      </c>
      <c r="G133" s="44">
        <v>0</v>
      </c>
      <c r="H133" s="44"/>
      <c r="I133" s="24"/>
      <c r="J133" s="25"/>
      <c r="K133" s="24"/>
      <c r="L133" s="27"/>
      <c r="M133" s="27"/>
      <c r="N133" s="55"/>
      <c r="O133" s="55"/>
      <c r="P133" s="24"/>
      <c r="Q133" s="27"/>
      <c r="R133" s="25"/>
      <c r="S133" s="25"/>
    </row>
    <row r="134" spans="1:19" ht="12.75">
      <c r="A134" s="59" t="s">
        <v>1</v>
      </c>
      <c r="B134" s="59"/>
      <c r="C134" s="39" t="s">
        <v>0</v>
      </c>
      <c r="D134" s="40">
        <f aca="true" t="shared" si="49" ref="D134:K134">D135+D136</f>
        <v>43135.9</v>
      </c>
      <c r="E134" s="40">
        <f t="shared" si="49"/>
        <v>50314.6</v>
      </c>
      <c r="F134" s="40">
        <f t="shared" si="49"/>
        <v>36417.200000000004</v>
      </c>
      <c r="G134" s="40">
        <f t="shared" si="49"/>
        <v>13626.2</v>
      </c>
      <c r="H134" s="40">
        <f t="shared" si="49"/>
        <v>10701</v>
      </c>
      <c r="I134" s="40">
        <f t="shared" si="49"/>
        <v>12090.000000000002</v>
      </c>
      <c r="J134" s="40">
        <f t="shared" si="49"/>
        <v>11761.800000000001</v>
      </c>
      <c r="K134" s="40">
        <f t="shared" si="49"/>
        <v>46408.9</v>
      </c>
      <c r="L134" s="34" t="e">
        <f>K134/#REF!*100</f>
        <v>#REF!</v>
      </c>
      <c r="M134" s="34">
        <f>K134/I134*100</f>
        <v>383.8618693134822</v>
      </c>
      <c r="N134" s="55"/>
      <c r="O134" s="55"/>
      <c r="P134" s="43">
        <f t="shared" si="30"/>
        <v>394.5731095580608</v>
      </c>
      <c r="Q134" s="34">
        <f t="shared" si="28"/>
        <v>127.43676065156023</v>
      </c>
      <c r="R134" s="31">
        <f t="shared" si="29"/>
        <v>92.23744201484261</v>
      </c>
      <c r="S134" s="31">
        <f t="shared" si="26"/>
        <v>107.58764741201644</v>
      </c>
    </row>
    <row r="135" spans="1:19" ht="24">
      <c r="A135" s="21" t="s">
        <v>67</v>
      </c>
      <c r="B135" s="19"/>
      <c r="C135" s="41" t="s">
        <v>20</v>
      </c>
      <c r="D135" s="44">
        <v>43135.9</v>
      </c>
      <c r="E135" s="58">
        <v>49914.6</v>
      </c>
      <c r="F135" s="62">
        <f t="shared" si="47"/>
        <v>36017.200000000004</v>
      </c>
      <c r="G135" s="44">
        <f>11113.2+83.6+2263.9+165.5</f>
        <v>13626.2</v>
      </c>
      <c r="H135" s="44">
        <f>10674.2+10+16.8</f>
        <v>10701</v>
      </c>
      <c r="I135" s="24">
        <f>10674.2+113.2+766.7+135.9</f>
        <v>11690.000000000002</v>
      </c>
      <c r="J135" s="25">
        <f>10674.2+1087.6</f>
        <v>11761.800000000001</v>
      </c>
      <c r="K135" s="25">
        <v>46008.9</v>
      </c>
      <c r="L135" s="27" t="e">
        <f>K135/#REF!*100</f>
        <v>#REF!</v>
      </c>
      <c r="M135" s="27">
        <f>K135/I135*100</f>
        <v>393.57485029940113</v>
      </c>
      <c r="N135" s="55"/>
      <c r="O135" s="55"/>
      <c r="P135" s="24">
        <f t="shared" si="30"/>
        <v>391.17226955057896</v>
      </c>
      <c r="Q135" s="27">
        <f t="shared" si="28"/>
        <v>127.74146796530545</v>
      </c>
      <c r="R135" s="25">
        <f t="shared" si="29"/>
        <v>92.17523530189564</v>
      </c>
      <c r="S135" s="25">
        <f t="shared" si="26"/>
        <v>106.6603455590355</v>
      </c>
    </row>
    <row r="136" spans="1:19" ht="16.5" customHeight="1">
      <c r="A136" s="21" t="s">
        <v>2</v>
      </c>
      <c r="B136" s="21"/>
      <c r="C136" s="42" t="s">
        <v>19</v>
      </c>
      <c r="D136" s="74"/>
      <c r="E136" s="58">
        <f t="shared" si="48"/>
        <v>400</v>
      </c>
      <c r="F136" s="62">
        <f t="shared" si="47"/>
        <v>400</v>
      </c>
      <c r="G136" s="74"/>
      <c r="H136" s="74"/>
      <c r="I136" s="24">
        <v>400</v>
      </c>
      <c r="J136" s="25"/>
      <c r="K136" s="25">
        <v>400</v>
      </c>
      <c r="L136" s="27"/>
      <c r="M136" s="27"/>
      <c r="N136" s="55"/>
      <c r="O136" s="55"/>
      <c r="P136" s="24" t="e">
        <f t="shared" si="30"/>
        <v>#DIV/0!</v>
      </c>
      <c r="Q136" s="27">
        <f>K136*100/F136</f>
        <v>100</v>
      </c>
      <c r="R136" s="25">
        <f>K136*100/E136</f>
        <v>100</v>
      </c>
      <c r="S136" s="25"/>
    </row>
    <row r="137" spans="1:19" ht="12.75">
      <c r="A137" s="20"/>
      <c r="B137" s="70"/>
      <c r="C137" s="71" t="s">
        <v>4</v>
      </c>
      <c r="D137" s="94">
        <f aca="true" t="shared" si="50" ref="D137:K137">D134+D125</f>
        <v>45899.9</v>
      </c>
      <c r="E137" s="72">
        <f t="shared" si="50"/>
        <v>52806.6</v>
      </c>
      <c r="F137" s="72">
        <f t="shared" si="50"/>
        <v>38134.00000000001</v>
      </c>
      <c r="G137" s="94">
        <f t="shared" si="50"/>
        <v>14193.400000000001</v>
      </c>
      <c r="H137" s="94">
        <f t="shared" si="50"/>
        <v>11274.2</v>
      </c>
      <c r="I137" s="94">
        <f t="shared" si="50"/>
        <v>12666.400000000001</v>
      </c>
      <c r="J137" s="72">
        <f t="shared" si="50"/>
        <v>12355.500000000002</v>
      </c>
      <c r="K137" s="72">
        <f t="shared" si="50"/>
        <v>48814.1</v>
      </c>
      <c r="L137" s="93" t="e">
        <f>K137/#REF!*100</f>
        <v>#REF!</v>
      </c>
      <c r="M137" s="93">
        <f>K137/I137*100</f>
        <v>385.38258700183155</v>
      </c>
      <c r="N137" s="55"/>
      <c r="O137" s="56" t="e">
        <f>J137+#REF!+#REF!</f>
        <v>#REF!</v>
      </c>
      <c r="P137" s="94">
        <f t="shared" si="30"/>
        <v>395.07992392052114</v>
      </c>
      <c r="Q137" s="93">
        <f t="shared" si="28"/>
        <v>128.0067656159857</v>
      </c>
      <c r="R137" s="72">
        <f t="shared" si="29"/>
        <v>92.43939204569126</v>
      </c>
      <c r="S137" s="72">
        <f aca="true" t="shared" si="51" ref="S137:S198">K137*100/D137</f>
        <v>106.34903344016</v>
      </c>
    </row>
    <row r="138" spans="1:19" ht="12.75">
      <c r="A138" s="170"/>
      <c r="B138" s="170"/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</row>
    <row r="139" spans="1:19" ht="12.75">
      <c r="A139" s="173" t="s">
        <v>32</v>
      </c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5"/>
    </row>
    <row r="140" spans="1:19" ht="12.75">
      <c r="A140" s="32" t="s">
        <v>3</v>
      </c>
      <c r="B140" s="32"/>
      <c r="C140" s="33" t="s">
        <v>68</v>
      </c>
      <c r="D140" s="34">
        <f aca="true" t="shared" si="52" ref="D140:K140">D141+D143+D145+D147+D144+D148+D146+D149+D142</f>
        <v>15159.000000000002</v>
      </c>
      <c r="E140" s="34">
        <f t="shared" si="52"/>
        <v>14260.000000000002</v>
      </c>
      <c r="F140" s="34">
        <f t="shared" si="52"/>
        <v>10322.2</v>
      </c>
      <c r="G140" s="34">
        <f t="shared" si="52"/>
        <v>2819.4</v>
      </c>
      <c r="H140" s="34">
        <f t="shared" si="52"/>
        <v>3757.4</v>
      </c>
      <c r="I140" s="34">
        <f t="shared" si="52"/>
        <v>3745.4</v>
      </c>
      <c r="J140" s="34">
        <f t="shared" si="52"/>
        <v>3937.7999999999997</v>
      </c>
      <c r="K140" s="34">
        <f t="shared" si="52"/>
        <v>11754.7</v>
      </c>
      <c r="L140" s="34" t="e">
        <f>K140/#REF!*100</f>
        <v>#REF!</v>
      </c>
      <c r="M140" s="34">
        <f>K140/I140*100</f>
        <v>313.84364820846906</v>
      </c>
      <c r="N140" s="55"/>
      <c r="O140" s="55"/>
      <c r="P140" s="34">
        <f t="shared" si="30"/>
        <v>298.5093199248311</v>
      </c>
      <c r="Q140" s="34">
        <f t="shared" si="28"/>
        <v>113.87785549592141</v>
      </c>
      <c r="R140" s="31">
        <f t="shared" si="29"/>
        <v>82.43127629733519</v>
      </c>
      <c r="S140" s="31">
        <f t="shared" si="51"/>
        <v>77.54271389933372</v>
      </c>
    </row>
    <row r="141" spans="1:19" ht="12.75">
      <c r="A141" s="28" t="s">
        <v>23</v>
      </c>
      <c r="B141" s="28"/>
      <c r="C141" s="35" t="s">
        <v>22</v>
      </c>
      <c r="D141" s="44">
        <v>12839.7</v>
      </c>
      <c r="E141" s="44">
        <f>G141+H141+I141+J141</f>
        <v>12839.7</v>
      </c>
      <c r="F141" s="62">
        <f>G141+H141+I141</f>
        <v>9490</v>
      </c>
      <c r="G141" s="44">
        <v>2590</v>
      </c>
      <c r="H141" s="44">
        <v>3500</v>
      </c>
      <c r="I141" s="24">
        <v>3400</v>
      </c>
      <c r="J141" s="25">
        <v>3349.7</v>
      </c>
      <c r="K141" s="25">
        <v>10714.7</v>
      </c>
      <c r="L141" s="27" t="e">
        <f>K141/#REF!*100</f>
        <v>#REF!</v>
      </c>
      <c r="M141" s="27">
        <f>K141/I141*100</f>
        <v>315.13823529411764</v>
      </c>
      <c r="N141" s="55"/>
      <c r="O141" s="55"/>
      <c r="P141" s="24">
        <f t="shared" si="30"/>
        <v>319.870436158462</v>
      </c>
      <c r="Q141" s="27">
        <f t="shared" si="28"/>
        <v>112.90516332982087</v>
      </c>
      <c r="R141" s="25">
        <f t="shared" si="29"/>
        <v>83.44976907560145</v>
      </c>
      <c r="S141" s="25">
        <f t="shared" si="51"/>
        <v>83.44976907560145</v>
      </c>
    </row>
    <row r="142" spans="1:19" ht="13.5" customHeight="1">
      <c r="A142" s="19" t="s">
        <v>8</v>
      </c>
      <c r="B142" s="19"/>
      <c r="C142" s="35" t="s">
        <v>5</v>
      </c>
      <c r="D142" s="44"/>
      <c r="E142" s="44">
        <f aca="true" t="shared" si="53" ref="E142:E149">G142+H142+I142+J142</f>
        <v>0</v>
      </c>
      <c r="F142" s="62">
        <f aca="true" t="shared" si="54" ref="F142:F149">G142+H142+I142</f>
        <v>0</v>
      </c>
      <c r="G142" s="44"/>
      <c r="H142" s="44"/>
      <c r="I142" s="24"/>
      <c r="J142" s="25"/>
      <c r="K142" s="25">
        <v>0.1</v>
      </c>
      <c r="L142" s="27"/>
      <c r="M142" s="27"/>
      <c r="N142" s="55"/>
      <c r="O142" s="55"/>
      <c r="P142" s="24" t="e">
        <f t="shared" si="30"/>
        <v>#DIV/0!</v>
      </c>
      <c r="Q142" s="27"/>
      <c r="R142" s="25"/>
      <c r="S142" s="25"/>
    </row>
    <row r="143" spans="1:19" ht="12.75">
      <c r="A143" s="19" t="s">
        <v>9</v>
      </c>
      <c r="B143" s="19"/>
      <c r="C143" s="35" t="s">
        <v>6</v>
      </c>
      <c r="D143" s="44">
        <v>792</v>
      </c>
      <c r="E143" s="44">
        <f>G143+H143+I143+J143</f>
        <v>792</v>
      </c>
      <c r="F143" s="62">
        <f t="shared" si="54"/>
        <v>378</v>
      </c>
      <c r="G143" s="44">
        <v>90</v>
      </c>
      <c r="H143" s="44">
        <v>87</v>
      </c>
      <c r="I143" s="24">
        <v>201</v>
      </c>
      <c r="J143" s="25">
        <v>414</v>
      </c>
      <c r="K143" s="25">
        <v>674.2</v>
      </c>
      <c r="L143" s="27" t="e">
        <f>K143/#REF!*100</f>
        <v>#REF!</v>
      </c>
      <c r="M143" s="27">
        <f>K143/I143*100</f>
        <v>335.4228855721393</v>
      </c>
      <c r="N143" s="55"/>
      <c r="O143" s="55"/>
      <c r="P143" s="24">
        <f t="shared" si="30"/>
        <v>162.8502415458937</v>
      </c>
      <c r="Q143" s="27">
        <f aca="true" t="shared" si="55" ref="Q143:Q209">K143*100/F143</f>
        <v>178.35978835978835</v>
      </c>
      <c r="R143" s="25">
        <f aca="true" t="shared" si="56" ref="R143:R209">K143*100/E143</f>
        <v>85.12626262626263</v>
      </c>
      <c r="S143" s="25">
        <f t="shared" si="51"/>
        <v>85.12626262626263</v>
      </c>
    </row>
    <row r="144" spans="1:19" ht="12.75">
      <c r="A144" s="19" t="s">
        <v>10</v>
      </c>
      <c r="B144" s="19"/>
      <c r="C144" s="35" t="s">
        <v>21</v>
      </c>
      <c r="D144" s="44">
        <v>158.7</v>
      </c>
      <c r="E144" s="44">
        <f t="shared" si="53"/>
        <v>158.7</v>
      </c>
      <c r="F144" s="62">
        <f t="shared" si="54"/>
        <v>102</v>
      </c>
      <c r="G144" s="44">
        <v>22</v>
      </c>
      <c r="H144" s="44">
        <v>53</v>
      </c>
      <c r="I144" s="24">
        <v>27</v>
      </c>
      <c r="J144" s="25">
        <v>56.7</v>
      </c>
      <c r="K144" s="25">
        <v>150.9</v>
      </c>
      <c r="L144" s="27" t="e">
        <f>K144/#REF!*100</f>
        <v>#REF!</v>
      </c>
      <c r="M144" s="27">
        <f>K144/I144*100</f>
        <v>558.8888888888889</v>
      </c>
      <c r="N144" s="55"/>
      <c r="O144" s="55"/>
      <c r="P144" s="24">
        <f t="shared" si="30"/>
        <v>266.1375661375661</v>
      </c>
      <c r="Q144" s="27">
        <f t="shared" si="55"/>
        <v>147.94117647058823</v>
      </c>
      <c r="R144" s="25">
        <f t="shared" si="56"/>
        <v>95.0850661625709</v>
      </c>
      <c r="S144" s="25">
        <f t="shared" si="51"/>
        <v>95.0850661625709</v>
      </c>
    </row>
    <row r="145" spans="1:19" ht="24">
      <c r="A145" s="20" t="s">
        <v>11</v>
      </c>
      <c r="B145" s="20"/>
      <c r="C145" s="35" t="s">
        <v>17</v>
      </c>
      <c r="D145" s="44">
        <v>1297.6</v>
      </c>
      <c r="E145" s="44">
        <f t="shared" si="53"/>
        <v>469.6</v>
      </c>
      <c r="F145" s="62">
        <f t="shared" si="54"/>
        <v>352.20000000000005</v>
      </c>
      <c r="G145" s="44">
        <v>117.4</v>
      </c>
      <c r="H145" s="44">
        <v>117.4</v>
      </c>
      <c r="I145" s="24">
        <v>117.4</v>
      </c>
      <c r="J145" s="25">
        <v>117.4</v>
      </c>
      <c r="K145" s="25">
        <v>151.9</v>
      </c>
      <c r="L145" s="27" t="e">
        <f>K145/#REF!*100</f>
        <v>#REF!</v>
      </c>
      <c r="M145" s="27">
        <f>K145/I145*100</f>
        <v>129.38671209540033</v>
      </c>
      <c r="N145" s="55"/>
      <c r="O145" s="55"/>
      <c r="P145" s="24">
        <f t="shared" si="30"/>
        <v>129.38671209540033</v>
      </c>
      <c r="Q145" s="27">
        <f t="shared" si="55"/>
        <v>43.12890403180011</v>
      </c>
      <c r="R145" s="25">
        <f t="shared" si="56"/>
        <v>32.34667802385008</v>
      </c>
      <c r="S145" s="25">
        <f t="shared" si="51"/>
        <v>11.706226880394576</v>
      </c>
    </row>
    <row r="146" spans="1:19" ht="24" hidden="1">
      <c r="A146" s="37" t="s">
        <v>42</v>
      </c>
      <c r="B146" s="37"/>
      <c r="C146" s="35" t="s">
        <v>43</v>
      </c>
      <c r="D146" s="44"/>
      <c r="E146" s="44">
        <f t="shared" si="53"/>
        <v>0</v>
      </c>
      <c r="F146" s="62">
        <f t="shared" si="54"/>
        <v>0</v>
      </c>
      <c r="G146" s="44"/>
      <c r="H146" s="44"/>
      <c r="I146" s="24"/>
      <c r="J146" s="25"/>
      <c r="K146" s="25"/>
      <c r="L146" s="27"/>
      <c r="M146" s="27"/>
      <c r="N146" s="55"/>
      <c r="O146" s="55"/>
      <c r="P146" s="24" t="e">
        <f aca="true" t="shared" si="57" ref="P146:P213">K146*100/J146</f>
        <v>#DIV/0!</v>
      </c>
      <c r="Q146" s="27" t="e">
        <f t="shared" si="55"/>
        <v>#DIV/0!</v>
      </c>
      <c r="R146" s="25" t="e">
        <f t="shared" si="56"/>
        <v>#DIV/0!</v>
      </c>
      <c r="S146" s="25" t="e">
        <f t="shared" si="51"/>
        <v>#DIV/0!</v>
      </c>
    </row>
    <row r="147" spans="1:19" ht="15.75" customHeight="1">
      <c r="A147" s="36" t="s">
        <v>18</v>
      </c>
      <c r="B147" s="36"/>
      <c r="C147" s="35" t="s">
        <v>15</v>
      </c>
      <c r="D147" s="44">
        <v>71</v>
      </c>
      <c r="E147" s="44">
        <f t="shared" si="53"/>
        <v>0</v>
      </c>
      <c r="F147" s="62">
        <f t="shared" si="54"/>
        <v>0</v>
      </c>
      <c r="G147" s="44"/>
      <c r="H147" s="44"/>
      <c r="I147" s="24"/>
      <c r="J147" s="25"/>
      <c r="K147" s="25">
        <v>0</v>
      </c>
      <c r="L147" s="27" t="e">
        <f>K147/#REF!*100</f>
        <v>#REF!</v>
      </c>
      <c r="M147" s="27" t="e">
        <f>K147/I147*100</f>
        <v>#DIV/0!</v>
      </c>
      <c r="N147" s="55"/>
      <c r="O147" s="55"/>
      <c r="P147" s="24" t="e">
        <f t="shared" si="57"/>
        <v>#DIV/0!</v>
      </c>
      <c r="Q147" s="27"/>
      <c r="R147" s="25"/>
      <c r="S147" s="25"/>
    </row>
    <row r="148" spans="1:19" ht="14.25" customHeight="1">
      <c r="A148" s="28" t="s">
        <v>12</v>
      </c>
      <c r="B148" s="28"/>
      <c r="C148" s="35" t="s">
        <v>7</v>
      </c>
      <c r="D148" s="44"/>
      <c r="E148" s="44">
        <f t="shared" si="53"/>
        <v>0</v>
      </c>
      <c r="F148" s="62">
        <f t="shared" si="54"/>
        <v>0</v>
      </c>
      <c r="G148" s="44"/>
      <c r="H148" s="44"/>
      <c r="I148" s="24"/>
      <c r="J148" s="25"/>
      <c r="K148" s="25">
        <v>62.1</v>
      </c>
      <c r="L148" s="27" t="e">
        <f>K148/#REF!*100</f>
        <v>#REF!</v>
      </c>
      <c r="M148" s="27"/>
      <c r="N148" s="55"/>
      <c r="O148" s="55"/>
      <c r="P148" s="24" t="e">
        <f t="shared" si="57"/>
        <v>#DIV/0!</v>
      </c>
      <c r="Q148" s="27"/>
      <c r="R148" s="25"/>
      <c r="S148" s="25"/>
    </row>
    <row r="149" spans="1:19" ht="12" customHeight="1">
      <c r="A149" s="36" t="s">
        <v>39</v>
      </c>
      <c r="B149" s="77"/>
      <c r="C149" s="23" t="s">
        <v>40</v>
      </c>
      <c r="D149" s="78"/>
      <c r="E149" s="44">
        <f t="shared" si="53"/>
        <v>0</v>
      </c>
      <c r="F149" s="62">
        <f t="shared" si="54"/>
        <v>0</v>
      </c>
      <c r="G149" s="44"/>
      <c r="H149" s="44"/>
      <c r="I149" s="24"/>
      <c r="J149" s="25"/>
      <c r="K149" s="25">
        <v>0.8</v>
      </c>
      <c r="L149" s="27"/>
      <c r="M149" s="27"/>
      <c r="N149" s="55"/>
      <c r="O149" s="55"/>
      <c r="P149" s="24" t="e">
        <f t="shared" si="57"/>
        <v>#DIV/0!</v>
      </c>
      <c r="Q149" s="34"/>
      <c r="R149" s="31"/>
      <c r="S149" s="25"/>
    </row>
    <row r="150" spans="1:19" ht="12.75">
      <c r="A150" s="32" t="s">
        <v>1</v>
      </c>
      <c r="B150" s="32"/>
      <c r="C150" s="39" t="s">
        <v>0</v>
      </c>
      <c r="D150" s="40">
        <f>D151+D152</f>
        <v>28148.6</v>
      </c>
      <c r="E150" s="40">
        <f>E151+E152</f>
        <v>41373.2</v>
      </c>
      <c r="F150" s="40">
        <f aca="true" t="shared" si="58" ref="F150:K150">F151+F152</f>
        <v>28904.300000000003</v>
      </c>
      <c r="G150" s="40">
        <f t="shared" si="58"/>
        <v>6800.2</v>
      </c>
      <c r="H150" s="40">
        <f t="shared" si="58"/>
        <v>8874</v>
      </c>
      <c r="I150" s="40">
        <f t="shared" si="58"/>
        <v>13230.1</v>
      </c>
      <c r="J150" s="40">
        <f t="shared" si="58"/>
        <v>7093.599999999999</v>
      </c>
      <c r="K150" s="40">
        <f t="shared" si="58"/>
        <v>36509.5</v>
      </c>
      <c r="L150" s="34" t="e">
        <f>K150/#REF!*100</f>
        <v>#REF!</v>
      </c>
      <c r="M150" s="34">
        <f>K150/I150*100</f>
        <v>275.95785368213393</v>
      </c>
      <c r="N150" s="55"/>
      <c r="O150" s="55"/>
      <c r="P150" s="43">
        <f t="shared" si="57"/>
        <v>514.6822487876397</v>
      </c>
      <c r="Q150" s="34">
        <f t="shared" si="55"/>
        <v>126.31165605117576</v>
      </c>
      <c r="R150" s="31">
        <f t="shared" si="56"/>
        <v>88.24432241160946</v>
      </c>
      <c r="S150" s="31">
        <f t="shared" si="51"/>
        <v>129.70272056159098</v>
      </c>
    </row>
    <row r="151" spans="1:19" ht="24">
      <c r="A151" s="21" t="s">
        <v>67</v>
      </c>
      <c r="B151" s="19"/>
      <c r="C151" s="41" t="s">
        <v>20</v>
      </c>
      <c r="D151" s="44">
        <v>28148.6</v>
      </c>
      <c r="E151" s="44">
        <v>41273.2</v>
      </c>
      <c r="F151" s="62">
        <f>G151+H151+I151</f>
        <v>28804.300000000003</v>
      </c>
      <c r="G151" s="44">
        <f>5672.4+951+176.8</f>
        <v>6800.2</v>
      </c>
      <c r="H151" s="44">
        <f>7405-22.1+1391.1</f>
        <v>8774</v>
      </c>
      <c r="I151" s="24">
        <f>7745.3+4311.7+1173.1</f>
        <v>13230.1</v>
      </c>
      <c r="J151" s="25">
        <f>7325.9-232.3</f>
        <v>7093.599999999999</v>
      </c>
      <c r="K151" s="25">
        <v>36409.5</v>
      </c>
      <c r="L151" s="27" t="e">
        <f>K151/#REF!*100</f>
        <v>#REF!</v>
      </c>
      <c r="M151" s="27">
        <f>K151/I151*100</f>
        <v>275.20200149658734</v>
      </c>
      <c r="N151" s="55"/>
      <c r="O151" s="55"/>
      <c r="P151" s="24">
        <f t="shared" si="57"/>
        <v>513.272527348596</v>
      </c>
      <c r="Q151" s="27">
        <f t="shared" si="55"/>
        <v>126.40300232951328</v>
      </c>
      <c r="R151" s="25">
        <f t="shared" si="56"/>
        <v>88.21583981857478</v>
      </c>
      <c r="S151" s="25">
        <f t="shared" si="51"/>
        <v>129.3474631065133</v>
      </c>
    </row>
    <row r="152" spans="1:19" ht="15.75" customHeight="1">
      <c r="A152" s="21" t="s">
        <v>2</v>
      </c>
      <c r="B152" s="21"/>
      <c r="C152" s="42" t="s">
        <v>19</v>
      </c>
      <c r="D152" s="74"/>
      <c r="E152" s="44">
        <f>G152+H152+I152+J152</f>
        <v>100</v>
      </c>
      <c r="F152" s="62">
        <f>G152+H152+I152</f>
        <v>100</v>
      </c>
      <c r="G152" s="44"/>
      <c r="H152" s="44">
        <v>100</v>
      </c>
      <c r="I152" s="24"/>
      <c r="J152" s="25"/>
      <c r="K152" s="25">
        <v>100</v>
      </c>
      <c r="L152" s="27"/>
      <c r="M152" s="27"/>
      <c r="N152" s="55"/>
      <c r="O152" s="55"/>
      <c r="P152" s="24"/>
      <c r="Q152" s="27">
        <f t="shared" si="55"/>
        <v>100</v>
      </c>
      <c r="R152" s="25">
        <f>K152*100/E152</f>
        <v>100</v>
      </c>
      <c r="S152" s="25"/>
    </row>
    <row r="153" spans="1:19" ht="12.75">
      <c r="A153" s="20"/>
      <c r="B153" s="70"/>
      <c r="C153" s="71" t="s">
        <v>4</v>
      </c>
      <c r="D153" s="94">
        <f aca="true" t="shared" si="59" ref="D153:K153">D150+D140</f>
        <v>43307.6</v>
      </c>
      <c r="E153" s="72">
        <f t="shared" si="59"/>
        <v>55633.2</v>
      </c>
      <c r="F153" s="72">
        <f t="shared" si="59"/>
        <v>39226.5</v>
      </c>
      <c r="G153" s="72">
        <f t="shared" si="59"/>
        <v>9619.6</v>
      </c>
      <c r="H153" s="72">
        <f t="shared" si="59"/>
        <v>12631.4</v>
      </c>
      <c r="I153" s="72">
        <f t="shared" si="59"/>
        <v>16975.5</v>
      </c>
      <c r="J153" s="72">
        <f t="shared" si="59"/>
        <v>11031.4</v>
      </c>
      <c r="K153" s="72">
        <f t="shared" si="59"/>
        <v>48264.2</v>
      </c>
      <c r="L153" s="93" t="e">
        <f>K153/#REF!*100</f>
        <v>#REF!</v>
      </c>
      <c r="M153" s="93">
        <f>K153/I153*100</f>
        <v>284.31680951960175</v>
      </c>
      <c r="N153" s="55"/>
      <c r="O153" s="56" t="e">
        <f>J153+#REF!+#REF!</f>
        <v>#REF!</v>
      </c>
      <c r="P153" s="94">
        <f t="shared" si="57"/>
        <v>437.5165436843918</v>
      </c>
      <c r="Q153" s="93">
        <f t="shared" si="55"/>
        <v>123.03978178017412</v>
      </c>
      <c r="R153" s="72">
        <f t="shared" si="56"/>
        <v>86.75431217330659</v>
      </c>
      <c r="S153" s="101">
        <f t="shared" si="51"/>
        <v>111.44510432349057</v>
      </c>
    </row>
    <row r="154" spans="1:19" ht="12.75">
      <c r="A154" s="170"/>
      <c r="B154" s="170"/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</row>
    <row r="155" spans="1:19" ht="12.75">
      <c r="A155" s="171" t="s">
        <v>33</v>
      </c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</row>
    <row r="156" spans="1:19" ht="12.75">
      <c r="A156" s="32" t="s">
        <v>3</v>
      </c>
      <c r="B156" s="32"/>
      <c r="C156" s="33" t="s">
        <v>68</v>
      </c>
      <c r="D156" s="34">
        <f aca="true" t="shared" si="60" ref="D156:K156">D157+D158+D159+D160+D162+D163+D164+D161</f>
        <v>4179.5</v>
      </c>
      <c r="E156" s="34">
        <f t="shared" si="60"/>
        <v>4040.5</v>
      </c>
      <c r="F156" s="34">
        <f t="shared" si="60"/>
        <v>2808</v>
      </c>
      <c r="G156" s="34">
        <f t="shared" si="60"/>
        <v>751</v>
      </c>
      <c r="H156" s="34">
        <f t="shared" si="60"/>
        <v>1073</v>
      </c>
      <c r="I156" s="34">
        <f t="shared" si="60"/>
        <v>984</v>
      </c>
      <c r="J156" s="34">
        <f t="shared" si="60"/>
        <v>1232.5</v>
      </c>
      <c r="K156" s="34">
        <f t="shared" si="60"/>
        <v>3334.8</v>
      </c>
      <c r="L156" s="34" t="e">
        <f>K156/#REF!*100</f>
        <v>#REF!</v>
      </c>
      <c r="M156" s="34">
        <f aca="true" t="shared" si="61" ref="M156:M162">K156/I156*100</f>
        <v>338.9024390243903</v>
      </c>
      <c r="N156" s="55"/>
      <c r="O156" s="55"/>
      <c r="P156" s="34">
        <f t="shared" si="57"/>
        <v>270.57200811359024</v>
      </c>
      <c r="Q156" s="34">
        <f t="shared" si="55"/>
        <v>118.76068376068376</v>
      </c>
      <c r="R156" s="31">
        <f t="shared" si="56"/>
        <v>82.53433980942953</v>
      </c>
      <c r="S156" s="31">
        <f t="shared" si="51"/>
        <v>79.78944849862424</v>
      </c>
    </row>
    <row r="157" spans="1:19" ht="12.75">
      <c r="A157" s="28" t="s">
        <v>23</v>
      </c>
      <c r="B157" s="28"/>
      <c r="C157" s="35" t="s">
        <v>22</v>
      </c>
      <c r="D157" s="44">
        <v>3255.5</v>
      </c>
      <c r="E157" s="44">
        <v>3210.5</v>
      </c>
      <c r="F157" s="62">
        <f>G157+H157+I157</f>
        <v>2250</v>
      </c>
      <c r="G157" s="58">
        <v>600</v>
      </c>
      <c r="H157" s="58">
        <v>900</v>
      </c>
      <c r="I157" s="24">
        <v>750</v>
      </c>
      <c r="J157" s="25">
        <v>1005.5</v>
      </c>
      <c r="K157" s="25">
        <v>2543.5</v>
      </c>
      <c r="L157" s="27" t="e">
        <f>K157/#REF!*100</f>
        <v>#REF!</v>
      </c>
      <c r="M157" s="27">
        <f t="shared" si="61"/>
        <v>339.1333333333333</v>
      </c>
      <c r="N157" s="55"/>
      <c r="O157" s="55"/>
      <c r="P157" s="24">
        <f t="shared" si="57"/>
        <v>252.9587270014918</v>
      </c>
      <c r="Q157" s="27">
        <f t="shared" si="55"/>
        <v>113.04444444444445</v>
      </c>
      <c r="R157" s="25">
        <f t="shared" si="56"/>
        <v>79.22441987229404</v>
      </c>
      <c r="S157" s="25">
        <f t="shared" si="51"/>
        <v>78.12931961296268</v>
      </c>
    </row>
    <row r="158" spans="1:19" ht="12.75">
      <c r="A158" s="19" t="s">
        <v>9</v>
      </c>
      <c r="B158" s="19"/>
      <c r="C158" s="35" t="s">
        <v>6</v>
      </c>
      <c r="D158" s="44">
        <v>321</v>
      </c>
      <c r="E158" s="44">
        <v>373</v>
      </c>
      <c r="F158" s="62">
        <f aca="true" t="shared" si="62" ref="F158:F164">G158+H158+I158</f>
        <v>233</v>
      </c>
      <c r="G158" s="58">
        <v>46</v>
      </c>
      <c r="H158" s="58">
        <v>63</v>
      </c>
      <c r="I158" s="24">
        <v>124</v>
      </c>
      <c r="J158" s="25">
        <f>88+12</f>
        <v>100</v>
      </c>
      <c r="K158" s="25">
        <v>366.6</v>
      </c>
      <c r="L158" s="27" t="e">
        <f>K158/#REF!*100</f>
        <v>#REF!</v>
      </c>
      <c r="M158" s="27">
        <f t="shared" si="61"/>
        <v>295.64516129032256</v>
      </c>
      <c r="N158" s="55"/>
      <c r="O158" s="55"/>
      <c r="P158" s="24">
        <f t="shared" si="57"/>
        <v>366.6</v>
      </c>
      <c r="Q158" s="27">
        <f t="shared" si="55"/>
        <v>157.3390557939914</v>
      </c>
      <c r="R158" s="25">
        <f t="shared" si="56"/>
        <v>98.28418230563003</v>
      </c>
      <c r="S158" s="25">
        <f t="shared" si="51"/>
        <v>114.20560747663552</v>
      </c>
    </row>
    <row r="159" spans="1:19" ht="12.75">
      <c r="A159" s="19" t="s">
        <v>10</v>
      </c>
      <c r="B159" s="19"/>
      <c r="C159" s="35" t="s">
        <v>21</v>
      </c>
      <c r="D159" s="44">
        <v>78</v>
      </c>
      <c r="E159" s="44">
        <v>83</v>
      </c>
      <c r="F159" s="62">
        <f t="shared" si="62"/>
        <v>55</v>
      </c>
      <c r="G159" s="58">
        <v>15</v>
      </c>
      <c r="H159" s="58">
        <v>20</v>
      </c>
      <c r="I159" s="24">
        <v>20</v>
      </c>
      <c r="J159" s="25">
        <v>23</v>
      </c>
      <c r="K159" s="25">
        <v>90.1</v>
      </c>
      <c r="L159" s="27" t="e">
        <f>K159/#REF!*100</f>
        <v>#REF!</v>
      </c>
      <c r="M159" s="27">
        <f t="shared" si="61"/>
        <v>450.5</v>
      </c>
      <c r="N159" s="55"/>
      <c r="O159" s="55"/>
      <c r="P159" s="24">
        <f t="shared" si="57"/>
        <v>391.7391304347826</v>
      </c>
      <c r="Q159" s="27">
        <f t="shared" si="55"/>
        <v>163.8181818181818</v>
      </c>
      <c r="R159" s="25">
        <f t="shared" si="56"/>
        <v>108.55421686746988</v>
      </c>
      <c r="S159" s="25">
        <f t="shared" si="51"/>
        <v>115.51282051282051</v>
      </c>
    </row>
    <row r="160" spans="1:19" ht="24">
      <c r="A160" s="20" t="s">
        <v>11</v>
      </c>
      <c r="B160" s="20"/>
      <c r="C160" s="35" t="s">
        <v>17</v>
      </c>
      <c r="D160" s="44">
        <v>436.5</v>
      </c>
      <c r="E160" s="44">
        <v>304</v>
      </c>
      <c r="F160" s="62">
        <f t="shared" si="62"/>
        <v>225</v>
      </c>
      <c r="G160" s="58">
        <v>75</v>
      </c>
      <c r="H160" s="58">
        <v>75</v>
      </c>
      <c r="I160" s="24">
        <v>75</v>
      </c>
      <c r="J160" s="25">
        <v>79</v>
      </c>
      <c r="K160" s="25">
        <v>261.3</v>
      </c>
      <c r="L160" s="27" t="e">
        <f>K160/#REF!*100</f>
        <v>#REF!</v>
      </c>
      <c r="M160" s="27">
        <f t="shared" si="61"/>
        <v>348.4</v>
      </c>
      <c r="N160" s="55"/>
      <c r="O160" s="55"/>
      <c r="P160" s="24">
        <f t="shared" si="57"/>
        <v>330.75949367088606</v>
      </c>
      <c r="Q160" s="27">
        <f t="shared" si="55"/>
        <v>116.13333333333334</v>
      </c>
      <c r="R160" s="25">
        <f t="shared" si="56"/>
        <v>85.95394736842105</v>
      </c>
      <c r="S160" s="25">
        <f t="shared" si="51"/>
        <v>59.86254295532646</v>
      </c>
    </row>
    <row r="161" spans="1:19" ht="12" customHeight="1">
      <c r="A161" s="37" t="s">
        <v>42</v>
      </c>
      <c r="B161" s="37"/>
      <c r="C161" s="35" t="s">
        <v>43</v>
      </c>
      <c r="D161" s="44">
        <v>70</v>
      </c>
      <c r="E161" s="44">
        <v>70</v>
      </c>
      <c r="F161" s="62">
        <f t="shared" si="62"/>
        <v>45</v>
      </c>
      <c r="G161" s="58">
        <v>15</v>
      </c>
      <c r="H161" s="58">
        <v>15</v>
      </c>
      <c r="I161" s="24">
        <v>15</v>
      </c>
      <c r="J161" s="25">
        <v>25</v>
      </c>
      <c r="K161" s="25">
        <v>73.3</v>
      </c>
      <c r="L161" s="27" t="e">
        <f>K161/#REF!*100</f>
        <v>#REF!</v>
      </c>
      <c r="M161" s="27">
        <f t="shared" si="61"/>
        <v>488.6666666666667</v>
      </c>
      <c r="N161" s="55"/>
      <c r="O161" s="55"/>
      <c r="P161" s="24">
        <f t="shared" si="57"/>
        <v>293.2</v>
      </c>
      <c r="Q161" s="27">
        <f t="shared" si="55"/>
        <v>162.88888888888889</v>
      </c>
      <c r="R161" s="25">
        <f t="shared" si="56"/>
        <v>104.71428571428571</v>
      </c>
      <c r="S161" s="25">
        <f t="shared" si="51"/>
        <v>104.71428571428571</v>
      </c>
    </row>
    <row r="162" spans="1:19" ht="15.75" customHeight="1">
      <c r="A162" s="36" t="s">
        <v>18</v>
      </c>
      <c r="B162" s="36"/>
      <c r="C162" s="35" t="s">
        <v>15</v>
      </c>
      <c r="D162" s="44">
        <v>18.5</v>
      </c>
      <c r="E162" s="44">
        <f>G162+H162+I162+J162</f>
        <v>0</v>
      </c>
      <c r="F162" s="62">
        <f t="shared" si="62"/>
        <v>0</v>
      </c>
      <c r="G162" s="58"/>
      <c r="H162" s="58"/>
      <c r="I162" s="24"/>
      <c r="J162" s="25"/>
      <c r="K162" s="25"/>
      <c r="L162" s="27" t="e">
        <f>K162/#REF!*100</f>
        <v>#REF!</v>
      </c>
      <c r="M162" s="27" t="e">
        <f t="shared" si="61"/>
        <v>#DIV/0!</v>
      </c>
      <c r="N162" s="55"/>
      <c r="O162" s="55"/>
      <c r="P162" s="24" t="e">
        <f t="shared" si="57"/>
        <v>#DIV/0!</v>
      </c>
      <c r="Q162" s="27"/>
      <c r="R162" s="25"/>
      <c r="S162" s="25">
        <f t="shared" si="51"/>
        <v>0</v>
      </c>
    </row>
    <row r="163" spans="1:19" ht="10.5" customHeight="1" hidden="1">
      <c r="A163" s="28" t="s">
        <v>12</v>
      </c>
      <c r="B163" s="28"/>
      <c r="C163" s="35" t="s">
        <v>7</v>
      </c>
      <c r="D163" s="44"/>
      <c r="E163" s="44">
        <f>G163+H163+I163+J163</f>
        <v>0</v>
      </c>
      <c r="F163" s="62">
        <f t="shared" si="62"/>
        <v>0</v>
      </c>
      <c r="G163" s="58"/>
      <c r="H163" s="58"/>
      <c r="I163" s="24"/>
      <c r="J163" s="25"/>
      <c r="K163" s="25"/>
      <c r="L163" s="27"/>
      <c r="M163" s="27"/>
      <c r="N163" s="55"/>
      <c r="O163" s="55"/>
      <c r="P163" s="24" t="e">
        <f t="shared" si="57"/>
        <v>#DIV/0!</v>
      </c>
      <c r="Q163" s="34" t="e">
        <f t="shared" si="55"/>
        <v>#DIV/0!</v>
      </c>
      <c r="R163" s="31" t="e">
        <f t="shared" si="56"/>
        <v>#DIV/0!</v>
      </c>
      <c r="S163" s="25" t="e">
        <f t="shared" si="51"/>
        <v>#DIV/0!</v>
      </c>
    </row>
    <row r="164" spans="1:19" ht="14.25" customHeight="1">
      <c r="A164" s="68" t="s">
        <v>39</v>
      </c>
      <c r="B164" s="64"/>
      <c r="C164" s="23" t="s">
        <v>40</v>
      </c>
      <c r="D164" s="78"/>
      <c r="E164" s="44">
        <f>G164+H164+I164+J164</f>
        <v>0</v>
      </c>
      <c r="F164" s="62">
        <f t="shared" si="62"/>
        <v>0</v>
      </c>
      <c r="G164" s="58"/>
      <c r="H164" s="58"/>
      <c r="I164" s="24"/>
      <c r="J164" s="25"/>
      <c r="K164" s="25"/>
      <c r="L164" s="27"/>
      <c r="M164" s="27"/>
      <c r="N164" s="55"/>
      <c r="O164" s="55"/>
      <c r="P164" s="24" t="e">
        <f t="shared" si="57"/>
        <v>#DIV/0!</v>
      </c>
      <c r="Q164" s="34"/>
      <c r="R164" s="31"/>
      <c r="S164" s="25"/>
    </row>
    <row r="165" spans="1:19" ht="12.75">
      <c r="A165" s="32" t="s">
        <v>1</v>
      </c>
      <c r="B165" s="32"/>
      <c r="C165" s="39" t="s">
        <v>0</v>
      </c>
      <c r="D165" s="40">
        <f aca="true" t="shared" si="63" ref="D165:K165">D166+D167</f>
        <v>23316.7</v>
      </c>
      <c r="E165" s="40">
        <f t="shared" si="63"/>
        <v>30055.6</v>
      </c>
      <c r="F165" s="76">
        <f t="shared" si="63"/>
        <v>21278.1</v>
      </c>
      <c r="G165" s="76">
        <f t="shared" si="63"/>
        <v>5136.4</v>
      </c>
      <c r="H165" s="76">
        <f t="shared" si="63"/>
        <v>6730.2</v>
      </c>
      <c r="I165" s="40">
        <f t="shared" si="63"/>
        <v>9411.5</v>
      </c>
      <c r="J165" s="40">
        <f t="shared" si="63"/>
        <v>5568.6</v>
      </c>
      <c r="K165" s="40">
        <f t="shared" si="63"/>
        <v>24872.2</v>
      </c>
      <c r="L165" s="34" t="e">
        <f>K165/#REF!*100</f>
        <v>#REF!</v>
      </c>
      <c r="M165" s="34">
        <f>K165/I165*100</f>
        <v>264.27455772193593</v>
      </c>
      <c r="N165" s="55"/>
      <c r="O165" s="55"/>
      <c r="P165" s="43">
        <f t="shared" si="57"/>
        <v>446.6508637718636</v>
      </c>
      <c r="Q165" s="34">
        <f t="shared" si="55"/>
        <v>116.89107580094088</v>
      </c>
      <c r="R165" s="31">
        <f t="shared" si="56"/>
        <v>82.75396265587777</v>
      </c>
      <c r="S165" s="31">
        <f t="shared" si="51"/>
        <v>106.6711841727174</v>
      </c>
    </row>
    <row r="166" spans="1:19" ht="24">
      <c r="A166" s="21" t="s">
        <v>67</v>
      </c>
      <c r="B166" s="19"/>
      <c r="C166" s="41" t="s">
        <v>20</v>
      </c>
      <c r="D166" s="44">
        <v>23316.7</v>
      </c>
      <c r="E166" s="44">
        <v>30055.6</v>
      </c>
      <c r="F166" s="62">
        <f>G166+H166+I166</f>
        <v>21278.1</v>
      </c>
      <c r="G166" s="58">
        <f>4985.4+151</f>
        <v>5136.4</v>
      </c>
      <c r="H166" s="58">
        <f>6588.8+11.7+129.7</f>
        <v>6730.2</v>
      </c>
      <c r="I166" s="24">
        <f>7362.8+100.3+1948.4</f>
        <v>9411.5</v>
      </c>
      <c r="J166" s="25">
        <f>4706.1+862.5</f>
        <v>5568.6</v>
      </c>
      <c r="K166" s="25">
        <v>24872.2</v>
      </c>
      <c r="L166" s="27" t="e">
        <f>K166/#REF!*100</f>
        <v>#REF!</v>
      </c>
      <c r="M166" s="27">
        <f>K166/I166*100</f>
        <v>264.27455772193593</v>
      </c>
      <c r="N166" s="55"/>
      <c r="O166" s="55"/>
      <c r="P166" s="24">
        <f t="shared" si="57"/>
        <v>446.6508637718636</v>
      </c>
      <c r="Q166" s="27">
        <f t="shared" si="55"/>
        <v>116.89107580094088</v>
      </c>
      <c r="R166" s="25">
        <f t="shared" si="56"/>
        <v>82.75396265587777</v>
      </c>
      <c r="S166" s="25">
        <f t="shared" si="51"/>
        <v>106.6711841727174</v>
      </c>
    </row>
    <row r="167" spans="1:19" ht="12.75" hidden="1">
      <c r="A167" s="21" t="s">
        <v>2</v>
      </c>
      <c r="B167" s="21"/>
      <c r="C167" s="42" t="s">
        <v>19</v>
      </c>
      <c r="D167" s="74"/>
      <c r="E167" s="44">
        <f>G167+H167+I167+J167</f>
        <v>0</v>
      </c>
      <c r="F167" s="58">
        <f>G167</f>
        <v>0</v>
      </c>
      <c r="G167" s="65"/>
      <c r="H167" s="65"/>
      <c r="I167" s="24"/>
      <c r="J167" s="25"/>
      <c r="K167" s="25"/>
      <c r="L167" s="27" t="e">
        <f>K167/#REF!*100</f>
        <v>#REF!</v>
      </c>
      <c r="M167" s="27"/>
      <c r="N167" s="55"/>
      <c r="O167" s="55"/>
      <c r="P167" s="24" t="e">
        <f t="shared" si="57"/>
        <v>#DIV/0!</v>
      </c>
      <c r="Q167" s="27"/>
      <c r="R167" s="25"/>
      <c r="S167" s="25" t="e">
        <f t="shared" si="51"/>
        <v>#DIV/0!</v>
      </c>
    </row>
    <row r="168" spans="1:19" ht="12.75">
      <c r="A168" s="20"/>
      <c r="B168" s="70"/>
      <c r="C168" s="71" t="s">
        <v>4</v>
      </c>
      <c r="D168" s="94">
        <f aca="true" t="shared" si="64" ref="D168:K168">D165+D156</f>
        <v>27496.2</v>
      </c>
      <c r="E168" s="72">
        <f t="shared" si="64"/>
        <v>34096.1</v>
      </c>
      <c r="F168" s="72">
        <f t="shared" si="64"/>
        <v>24086.1</v>
      </c>
      <c r="G168" s="72">
        <f t="shared" si="64"/>
        <v>5887.4</v>
      </c>
      <c r="H168" s="72">
        <f t="shared" si="64"/>
        <v>7803.2</v>
      </c>
      <c r="I168" s="72">
        <f t="shared" si="64"/>
        <v>10395.5</v>
      </c>
      <c r="J168" s="72">
        <f t="shared" si="64"/>
        <v>6801.1</v>
      </c>
      <c r="K168" s="72">
        <f t="shared" si="64"/>
        <v>28207</v>
      </c>
      <c r="L168" s="93" t="e">
        <f>K168/#REF!*100</f>
        <v>#REF!</v>
      </c>
      <c r="M168" s="93">
        <f>K168/I168*100</f>
        <v>271.3385599538262</v>
      </c>
      <c r="N168" s="55"/>
      <c r="O168" s="56" t="e">
        <f>J168+#REF!+#REF!</f>
        <v>#REF!</v>
      </c>
      <c r="P168" s="94">
        <f t="shared" si="57"/>
        <v>414.74173295496314</v>
      </c>
      <c r="Q168" s="93">
        <f t="shared" si="55"/>
        <v>117.10903799286726</v>
      </c>
      <c r="R168" s="72">
        <f t="shared" si="56"/>
        <v>82.72793662618305</v>
      </c>
      <c r="S168" s="72">
        <f t="shared" si="51"/>
        <v>102.58508448440148</v>
      </c>
    </row>
    <row r="169" spans="1:19" ht="12.75">
      <c r="A169" s="170"/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</row>
    <row r="170" spans="1:19" ht="12.75">
      <c r="A170" s="173" t="s">
        <v>34</v>
      </c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5"/>
    </row>
    <row r="171" spans="1:19" ht="12.75">
      <c r="A171" s="32" t="s">
        <v>3</v>
      </c>
      <c r="B171" s="32"/>
      <c r="C171" s="33" t="s">
        <v>68</v>
      </c>
      <c r="D171" s="34">
        <f aca="true" t="shared" si="65" ref="D171:K171">D172+D173+D174+D175+D176+D178+D180+D179+D177</f>
        <v>16123.3</v>
      </c>
      <c r="E171" s="34">
        <f t="shared" si="65"/>
        <v>15602.3</v>
      </c>
      <c r="F171" s="34">
        <f t="shared" si="65"/>
        <v>10530</v>
      </c>
      <c r="G171" s="34">
        <f t="shared" si="65"/>
        <v>3565</v>
      </c>
      <c r="H171" s="34">
        <f t="shared" si="65"/>
        <v>3755</v>
      </c>
      <c r="I171" s="34">
        <f t="shared" si="65"/>
        <v>3210</v>
      </c>
      <c r="J171" s="34">
        <f t="shared" si="65"/>
        <v>5072.3</v>
      </c>
      <c r="K171" s="34">
        <f t="shared" si="65"/>
        <v>15320</v>
      </c>
      <c r="L171" s="34" t="e">
        <f>K171/#REF!*100</f>
        <v>#REF!</v>
      </c>
      <c r="M171" s="34">
        <f>K171/I171*100</f>
        <v>477.25856697819313</v>
      </c>
      <c r="N171" s="55"/>
      <c r="O171" s="55"/>
      <c r="P171" s="34">
        <f t="shared" si="57"/>
        <v>302.03260848135955</v>
      </c>
      <c r="Q171" s="34">
        <f t="shared" si="55"/>
        <v>145.48907882241215</v>
      </c>
      <c r="R171" s="31">
        <f t="shared" si="56"/>
        <v>98.19065137832243</v>
      </c>
      <c r="S171" s="31">
        <f t="shared" si="51"/>
        <v>95.01776931521464</v>
      </c>
    </row>
    <row r="172" spans="1:19" ht="12.75">
      <c r="A172" s="28" t="s">
        <v>23</v>
      </c>
      <c r="B172" s="28"/>
      <c r="C172" s="35" t="s">
        <v>22</v>
      </c>
      <c r="D172" s="44">
        <v>13755</v>
      </c>
      <c r="E172" s="44">
        <v>13777</v>
      </c>
      <c r="F172" s="62">
        <f>G172+H172+I172</f>
        <v>9481</v>
      </c>
      <c r="G172" s="44">
        <v>3262</v>
      </c>
      <c r="H172" s="44">
        <v>3512</v>
      </c>
      <c r="I172" s="24">
        <v>2707</v>
      </c>
      <c r="J172" s="25">
        <f>4274+22</f>
        <v>4296</v>
      </c>
      <c r="K172" s="25">
        <v>13169.4</v>
      </c>
      <c r="L172" s="27" t="e">
        <f>K172/#REF!*100</f>
        <v>#REF!</v>
      </c>
      <c r="M172" s="27">
        <f>K172/I172*100</f>
        <v>486.49427410417434</v>
      </c>
      <c r="N172" s="55"/>
      <c r="O172" s="55"/>
      <c r="P172" s="24">
        <f t="shared" si="57"/>
        <v>306.55027932960894</v>
      </c>
      <c r="Q172" s="27">
        <f t="shared" si="55"/>
        <v>138.9030692964877</v>
      </c>
      <c r="R172" s="25">
        <f t="shared" si="56"/>
        <v>95.58975103433258</v>
      </c>
      <c r="S172" s="25">
        <f t="shared" si="51"/>
        <v>95.74263904034896</v>
      </c>
    </row>
    <row r="173" spans="1:19" ht="12.75" customHeight="1" hidden="1">
      <c r="A173" s="19" t="s">
        <v>8</v>
      </c>
      <c r="B173" s="19"/>
      <c r="C173" s="35" t="s">
        <v>5</v>
      </c>
      <c r="D173" s="44"/>
      <c r="E173" s="44">
        <f>G173+H173+I173+J173</f>
        <v>0</v>
      </c>
      <c r="F173" s="62">
        <f aca="true" t="shared" si="66" ref="F173:F180">G173+H173+I173</f>
        <v>0</v>
      </c>
      <c r="G173" s="44"/>
      <c r="H173" s="44"/>
      <c r="I173" s="24"/>
      <c r="J173" s="25"/>
      <c r="K173" s="25"/>
      <c r="L173" s="27"/>
      <c r="M173" s="27"/>
      <c r="N173" s="55"/>
      <c r="O173" s="55"/>
      <c r="P173" s="24" t="e">
        <f t="shared" si="57"/>
        <v>#DIV/0!</v>
      </c>
      <c r="Q173" s="27"/>
      <c r="R173" s="25"/>
      <c r="S173" s="25" t="e">
        <f t="shared" si="51"/>
        <v>#DIV/0!</v>
      </c>
    </row>
    <row r="174" spans="1:19" ht="12.75">
      <c r="A174" s="19" t="s">
        <v>9</v>
      </c>
      <c r="B174" s="19"/>
      <c r="C174" s="35" t="s">
        <v>6</v>
      </c>
      <c r="D174" s="44">
        <v>1155</v>
      </c>
      <c r="E174" s="44">
        <v>1155</v>
      </c>
      <c r="F174" s="62">
        <f t="shared" si="66"/>
        <v>530</v>
      </c>
      <c r="G174" s="44">
        <v>130</v>
      </c>
      <c r="H174" s="44">
        <v>100</v>
      </c>
      <c r="I174" s="24">
        <v>300</v>
      </c>
      <c r="J174" s="25">
        <v>625</v>
      </c>
      <c r="K174" s="25">
        <v>1335.4</v>
      </c>
      <c r="L174" s="27" t="e">
        <f>K174/#REF!*100</f>
        <v>#REF!</v>
      </c>
      <c r="M174" s="27">
        <f>K174/I174*100</f>
        <v>445.1333333333333</v>
      </c>
      <c r="N174" s="55"/>
      <c r="O174" s="55"/>
      <c r="P174" s="24">
        <f t="shared" si="57"/>
        <v>213.664</v>
      </c>
      <c r="Q174" s="27">
        <f t="shared" si="55"/>
        <v>251.96226415094338</v>
      </c>
      <c r="R174" s="25">
        <f t="shared" si="56"/>
        <v>115.61904761904762</v>
      </c>
      <c r="S174" s="25">
        <f t="shared" si="51"/>
        <v>115.61904761904762</v>
      </c>
    </row>
    <row r="175" spans="1:19" ht="12.75">
      <c r="A175" s="19" t="s">
        <v>10</v>
      </c>
      <c r="B175" s="19"/>
      <c r="C175" s="35" t="s">
        <v>21</v>
      </c>
      <c r="D175" s="44">
        <v>198.5</v>
      </c>
      <c r="E175" s="44">
        <v>116.5</v>
      </c>
      <c r="F175" s="62">
        <f t="shared" si="66"/>
        <v>87</v>
      </c>
      <c r="G175" s="44">
        <v>49</v>
      </c>
      <c r="H175" s="44">
        <v>19</v>
      </c>
      <c r="I175" s="24">
        <v>19</v>
      </c>
      <c r="J175" s="25">
        <v>29.5</v>
      </c>
      <c r="K175" s="25">
        <v>114</v>
      </c>
      <c r="L175" s="27" t="e">
        <f>K175/#REF!*100</f>
        <v>#REF!</v>
      </c>
      <c r="M175" s="27">
        <f>K175/I175*100</f>
        <v>600</v>
      </c>
      <c r="N175" s="55"/>
      <c r="O175" s="55"/>
      <c r="P175" s="24">
        <f t="shared" si="57"/>
        <v>386.4406779661017</v>
      </c>
      <c r="Q175" s="27">
        <f t="shared" si="55"/>
        <v>131.0344827586207</v>
      </c>
      <c r="R175" s="25">
        <f t="shared" si="56"/>
        <v>97.85407725321889</v>
      </c>
      <c r="S175" s="25">
        <f t="shared" si="51"/>
        <v>57.43073047858942</v>
      </c>
    </row>
    <row r="176" spans="1:19" ht="24">
      <c r="A176" s="20" t="s">
        <v>11</v>
      </c>
      <c r="B176" s="20"/>
      <c r="C176" s="35" t="s">
        <v>17</v>
      </c>
      <c r="D176" s="44">
        <v>884.8</v>
      </c>
      <c r="E176" s="44">
        <v>371.8</v>
      </c>
      <c r="F176" s="62">
        <f t="shared" si="66"/>
        <v>276</v>
      </c>
      <c r="G176" s="44">
        <v>96</v>
      </c>
      <c r="H176" s="44">
        <v>96</v>
      </c>
      <c r="I176" s="24">
        <v>84</v>
      </c>
      <c r="J176" s="25">
        <v>95.8</v>
      </c>
      <c r="K176" s="25">
        <v>433.9</v>
      </c>
      <c r="L176" s="27" t="e">
        <f>K176/#REF!*100</f>
        <v>#REF!</v>
      </c>
      <c r="M176" s="27">
        <f>K176/I176*100</f>
        <v>516.547619047619</v>
      </c>
      <c r="N176" s="55"/>
      <c r="O176" s="55"/>
      <c r="P176" s="24">
        <f t="shared" si="57"/>
        <v>452.9227557411274</v>
      </c>
      <c r="Q176" s="27">
        <f t="shared" si="55"/>
        <v>157.21014492753622</v>
      </c>
      <c r="R176" s="25">
        <f t="shared" si="56"/>
        <v>116.70252824098978</v>
      </c>
      <c r="S176" s="25">
        <f t="shared" si="51"/>
        <v>49.039330922242314</v>
      </c>
    </row>
    <row r="177" spans="1:19" ht="14.25" customHeight="1">
      <c r="A177" s="37" t="s">
        <v>42</v>
      </c>
      <c r="B177" s="37"/>
      <c r="C177" s="35" t="s">
        <v>43</v>
      </c>
      <c r="D177" s="44">
        <v>110</v>
      </c>
      <c r="E177" s="44">
        <v>100</v>
      </c>
      <c r="F177" s="62">
        <f t="shared" si="66"/>
        <v>74</v>
      </c>
      <c r="G177" s="44">
        <v>28</v>
      </c>
      <c r="H177" s="44">
        <v>28</v>
      </c>
      <c r="I177" s="24">
        <v>18</v>
      </c>
      <c r="J177" s="25">
        <v>26</v>
      </c>
      <c r="K177" s="25">
        <v>109.2</v>
      </c>
      <c r="L177" s="27" t="e">
        <f>K177/#REF!*100</f>
        <v>#REF!</v>
      </c>
      <c r="M177" s="27">
        <f>K177/I177*100</f>
        <v>606.6666666666666</v>
      </c>
      <c r="N177" s="55"/>
      <c r="O177" s="55"/>
      <c r="P177" s="24">
        <f t="shared" si="57"/>
        <v>420</v>
      </c>
      <c r="Q177" s="27">
        <f t="shared" si="55"/>
        <v>147.56756756756758</v>
      </c>
      <c r="R177" s="25">
        <f t="shared" si="56"/>
        <v>109.2</v>
      </c>
      <c r="S177" s="25">
        <f t="shared" si="51"/>
        <v>99.27272727272727</v>
      </c>
    </row>
    <row r="178" spans="1:19" ht="14.25" customHeight="1">
      <c r="A178" s="37" t="s">
        <v>18</v>
      </c>
      <c r="B178" s="37"/>
      <c r="C178" s="35" t="s">
        <v>15</v>
      </c>
      <c r="D178" s="44">
        <v>20</v>
      </c>
      <c r="E178" s="44">
        <v>82</v>
      </c>
      <c r="F178" s="62">
        <f t="shared" si="66"/>
        <v>82</v>
      </c>
      <c r="G178" s="44"/>
      <c r="H178" s="44"/>
      <c r="I178" s="24">
        <v>82</v>
      </c>
      <c r="J178" s="25"/>
      <c r="K178" s="25">
        <v>82</v>
      </c>
      <c r="L178" s="27" t="e">
        <f>K178/#REF!*100</f>
        <v>#REF!</v>
      </c>
      <c r="M178" s="27">
        <f>K178/I178*100</f>
        <v>100</v>
      </c>
      <c r="N178" s="55"/>
      <c r="O178" s="55"/>
      <c r="P178" s="24" t="e">
        <f t="shared" si="57"/>
        <v>#DIV/0!</v>
      </c>
      <c r="Q178" s="27">
        <f>K178*100/F178</f>
        <v>100</v>
      </c>
      <c r="R178" s="25">
        <f>K178*100/E178</f>
        <v>100</v>
      </c>
      <c r="S178" s="25">
        <f t="shared" si="51"/>
        <v>410</v>
      </c>
    </row>
    <row r="179" spans="1:19" ht="15" customHeight="1">
      <c r="A179" s="28" t="s">
        <v>12</v>
      </c>
      <c r="B179" s="28"/>
      <c r="C179" s="35" t="s">
        <v>7</v>
      </c>
      <c r="D179" s="44"/>
      <c r="E179" s="44">
        <f>G179+H179+I179+J179</f>
        <v>0</v>
      </c>
      <c r="F179" s="62">
        <f t="shared" si="66"/>
        <v>0</v>
      </c>
      <c r="G179" s="44"/>
      <c r="H179" s="44"/>
      <c r="I179" s="24"/>
      <c r="J179" s="25"/>
      <c r="K179" s="25">
        <v>76.1</v>
      </c>
      <c r="L179" s="27" t="e">
        <f>K179/#REF!*100</f>
        <v>#REF!</v>
      </c>
      <c r="M179" s="27"/>
      <c r="N179" s="55"/>
      <c r="O179" s="55"/>
      <c r="P179" s="24" t="e">
        <f t="shared" si="57"/>
        <v>#DIV/0!</v>
      </c>
      <c r="Q179" s="27" t="e">
        <f>K179*100/F179</f>
        <v>#DIV/0!</v>
      </c>
      <c r="R179" s="25"/>
      <c r="S179" s="25"/>
    </row>
    <row r="180" spans="1:19" ht="16.5" customHeight="1">
      <c r="A180" s="68" t="s">
        <v>39</v>
      </c>
      <c r="B180" s="64"/>
      <c r="C180" s="23" t="s">
        <v>40</v>
      </c>
      <c r="D180" s="78"/>
      <c r="E180" s="44"/>
      <c r="F180" s="62">
        <f t="shared" si="66"/>
        <v>0</v>
      </c>
      <c r="G180" s="78"/>
      <c r="H180" s="78"/>
      <c r="I180" s="24"/>
      <c r="J180" s="25"/>
      <c r="K180" s="25"/>
      <c r="L180" s="27" t="e">
        <f>K180/#REF!*100</f>
        <v>#REF!</v>
      </c>
      <c r="M180" s="27"/>
      <c r="N180" s="55"/>
      <c r="O180" s="55"/>
      <c r="P180" s="24" t="e">
        <f t="shared" si="57"/>
        <v>#DIV/0!</v>
      </c>
      <c r="Q180" s="34"/>
      <c r="R180" s="31"/>
      <c r="S180" s="25"/>
    </row>
    <row r="181" spans="1:19" ht="12.75">
      <c r="A181" s="32" t="s">
        <v>1</v>
      </c>
      <c r="B181" s="32"/>
      <c r="C181" s="39" t="s">
        <v>0</v>
      </c>
      <c r="D181" s="43">
        <f>D182+D183</f>
        <v>37509</v>
      </c>
      <c r="E181" s="43">
        <f>E182+E183</f>
        <v>71335.7</v>
      </c>
      <c r="F181" s="43">
        <f aca="true" t="shared" si="67" ref="F181:K181">F182+F183</f>
        <v>48110</v>
      </c>
      <c r="G181" s="43">
        <f t="shared" si="67"/>
        <v>10283.8</v>
      </c>
      <c r="H181" s="43">
        <f t="shared" si="67"/>
        <v>15120.7</v>
      </c>
      <c r="I181" s="43">
        <f t="shared" si="67"/>
        <v>22705.5</v>
      </c>
      <c r="J181" s="43">
        <f t="shared" si="67"/>
        <v>10642.599999999999</v>
      </c>
      <c r="K181" s="43">
        <f t="shared" si="67"/>
        <v>58156.100000000006</v>
      </c>
      <c r="L181" s="34" t="e">
        <f>K181/#REF!*100</f>
        <v>#REF!</v>
      </c>
      <c r="M181" s="34">
        <f>K181/I181*100</f>
        <v>256.1322146616459</v>
      </c>
      <c r="N181" s="55"/>
      <c r="O181" s="55"/>
      <c r="P181" s="43">
        <f t="shared" si="57"/>
        <v>546.4463570931916</v>
      </c>
      <c r="Q181" s="34">
        <f t="shared" si="55"/>
        <v>120.88152151319893</v>
      </c>
      <c r="R181" s="31">
        <f t="shared" si="56"/>
        <v>81.5245382045736</v>
      </c>
      <c r="S181" s="31">
        <f t="shared" si="51"/>
        <v>155.04572235996696</v>
      </c>
    </row>
    <row r="182" spans="1:19" ht="24">
      <c r="A182" s="21" t="s">
        <v>67</v>
      </c>
      <c r="B182" s="19"/>
      <c r="C182" s="41" t="s">
        <v>20</v>
      </c>
      <c r="D182" s="44">
        <v>37509</v>
      </c>
      <c r="E182" s="44">
        <v>71202.9</v>
      </c>
      <c r="F182" s="62">
        <f>G182+H182+I182</f>
        <v>47977.2</v>
      </c>
      <c r="G182" s="44">
        <v>10283.8</v>
      </c>
      <c r="H182" s="44">
        <v>15120.7</v>
      </c>
      <c r="I182" s="24">
        <f>22475.9+96.8</f>
        <v>22572.7</v>
      </c>
      <c r="J182" s="25">
        <f>9142.8+1499.8</f>
        <v>10642.599999999999</v>
      </c>
      <c r="K182" s="25">
        <v>57973.3</v>
      </c>
      <c r="L182" s="27" t="e">
        <f>K182/#REF!*100</f>
        <v>#REF!</v>
      </c>
      <c r="M182" s="27">
        <f>K182/I182*100</f>
        <v>256.82926721216336</v>
      </c>
      <c r="N182" s="55"/>
      <c r="O182" s="55"/>
      <c r="P182" s="24">
        <f t="shared" si="57"/>
        <v>544.7287317009002</v>
      </c>
      <c r="Q182" s="27">
        <f t="shared" si="55"/>
        <v>120.83510500821224</v>
      </c>
      <c r="R182" s="25">
        <f t="shared" si="56"/>
        <v>81.41985789904625</v>
      </c>
      <c r="S182" s="25">
        <f t="shared" si="51"/>
        <v>154.55837265722894</v>
      </c>
    </row>
    <row r="183" spans="1:19" ht="12.75">
      <c r="A183" s="21" t="s">
        <v>2</v>
      </c>
      <c r="B183" s="21"/>
      <c r="C183" s="42" t="s">
        <v>19</v>
      </c>
      <c r="D183" s="74"/>
      <c r="E183" s="44">
        <v>132.8</v>
      </c>
      <c r="F183" s="62">
        <f>G183+H183+I183</f>
        <v>132.8</v>
      </c>
      <c r="G183" s="44"/>
      <c r="H183" s="44"/>
      <c r="I183" s="24">
        <v>132.8</v>
      </c>
      <c r="J183" s="25"/>
      <c r="K183" s="25">
        <v>182.8</v>
      </c>
      <c r="L183" s="27"/>
      <c r="M183" s="27"/>
      <c r="N183" s="55"/>
      <c r="O183" s="55"/>
      <c r="P183" s="24"/>
      <c r="Q183" s="27">
        <f>K183*100/F183</f>
        <v>137.65060240963854</v>
      </c>
      <c r="R183" s="25">
        <f>K183*100/E183</f>
        <v>137.65060240963854</v>
      </c>
      <c r="S183" s="25"/>
    </row>
    <row r="184" spans="1:19" ht="12.75">
      <c r="A184" s="20"/>
      <c r="B184" s="70"/>
      <c r="C184" s="71" t="s">
        <v>4</v>
      </c>
      <c r="D184" s="94">
        <f aca="true" t="shared" si="68" ref="D184:K184">D181+D171</f>
        <v>53632.3</v>
      </c>
      <c r="E184" s="72">
        <f t="shared" si="68"/>
        <v>86938</v>
      </c>
      <c r="F184" s="72">
        <f t="shared" si="68"/>
        <v>58640</v>
      </c>
      <c r="G184" s="72">
        <f t="shared" si="68"/>
        <v>13848.8</v>
      </c>
      <c r="H184" s="72">
        <f t="shared" si="68"/>
        <v>18875.7</v>
      </c>
      <c r="I184" s="72">
        <f t="shared" si="68"/>
        <v>25915.5</v>
      </c>
      <c r="J184" s="72">
        <f t="shared" si="68"/>
        <v>15714.899999999998</v>
      </c>
      <c r="K184" s="72">
        <f t="shared" si="68"/>
        <v>73476.1</v>
      </c>
      <c r="L184" s="93" t="e">
        <f>K184/#REF!*100</f>
        <v>#REF!</v>
      </c>
      <c r="M184" s="93">
        <f>K184/I184*100</f>
        <v>283.52183056472</v>
      </c>
      <c r="N184" s="55"/>
      <c r="O184" s="56" t="e">
        <f>J184+#REF!+#REF!</f>
        <v>#REF!</v>
      </c>
      <c r="P184" s="94">
        <f t="shared" si="57"/>
        <v>467.55690459372966</v>
      </c>
      <c r="Q184" s="93">
        <f t="shared" si="55"/>
        <v>125.30030695770806</v>
      </c>
      <c r="R184" s="72">
        <f t="shared" si="56"/>
        <v>84.51551680507949</v>
      </c>
      <c r="S184" s="72">
        <f t="shared" si="51"/>
        <v>136.99971845324555</v>
      </c>
    </row>
    <row r="185" spans="1:19" ht="12.75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2"/>
      <c r="S185" s="172"/>
    </row>
    <row r="186" spans="1:19" ht="12.75">
      <c r="A186" s="171" t="s">
        <v>35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</row>
    <row r="187" spans="1:19" ht="12.75">
      <c r="A187" s="32" t="s">
        <v>3</v>
      </c>
      <c r="B187" s="32"/>
      <c r="C187" s="33" t="s">
        <v>68</v>
      </c>
      <c r="D187" s="34">
        <f aca="true" t="shared" si="69" ref="D187:K187">D188+D190+D192+D194+D191+D195+D196+D189+D193</f>
        <v>1471</v>
      </c>
      <c r="E187" s="34">
        <f t="shared" si="69"/>
        <v>1509.0000000000002</v>
      </c>
      <c r="F187" s="34">
        <f t="shared" si="69"/>
        <v>1002</v>
      </c>
      <c r="G187" s="34">
        <f t="shared" si="69"/>
        <v>147</v>
      </c>
      <c r="H187" s="34">
        <f t="shared" si="69"/>
        <v>431</v>
      </c>
      <c r="I187" s="34">
        <f t="shared" si="69"/>
        <v>423.99999999999994</v>
      </c>
      <c r="J187" s="34">
        <f t="shared" si="69"/>
        <v>507</v>
      </c>
      <c r="K187" s="34">
        <f t="shared" si="69"/>
        <v>1273.3</v>
      </c>
      <c r="L187" s="34" t="e">
        <f>K187/#REF!*100</f>
        <v>#REF!</v>
      </c>
      <c r="M187" s="34">
        <f aca="true" t="shared" si="70" ref="M187:M194">K187/I187*100</f>
        <v>300.306603773585</v>
      </c>
      <c r="N187" s="55"/>
      <c r="O187" s="55"/>
      <c r="P187" s="34">
        <f t="shared" si="57"/>
        <v>251.1439842209073</v>
      </c>
      <c r="Q187" s="34">
        <f t="shared" si="55"/>
        <v>127.07584830339322</v>
      </c>
      <c r="R187" s="31">
        <f t="shared" si="56"/>
        <v>84.38038436050363</v>
      </c>
      <c r="S187" s="31">
        <f t="shared" si="51"/>
        <v>86.5601631543168</v>
      </c>
    </row>
    <row r="188" spans="1:19" ht="12.75">
      <c r="A188" s="28" t="s">
        <v>23</v>
      </c>
      <c r="B188" s="28"/>
      <c r="C188" s="35" t="s">
        <v>22</v>
      </c>
      <c r="D188" s="44">
        <v>1155</v>
      </c>
      <c r="E188" s="44">
        <v>1155</v>
      </c>
      <c r="F188" s="62">
        <f>G188+H188+I188</f>
        <v>700</v>
      </c>
      <c r="G188" s="44">
        <v>120</v>
      </c>
      <c r="H188" s="44">
        <v>300</v>
      </c>
      <c r="I188" s="24">
        <v>280</v>
      </c>
      <c r="J188" s="24">
        <v>455</v>
      </c>
      <c r="K188" s="25">
        <v>922.9</v>
      </c>
      <c r="L188" s="27" t="e">
        <f>K188/#REF!*100</f>
        <v>#REF!</v>
      </c>
      <c r="M188" s="27">
        <f t="shared" si="70"/>
        <v>329.60714285714283</v>
      </c>
      <c r="N188" s="55"/>
      <c r="O188" s="55"/>
      <c r="P188" s="24">
        <f t="shared" si="57"/>
        <v>202.83516483516485</v>
      </c>
      <c r="Q188" s="27">
        <f t="shared" si="55"/>
        <v>131.84285714285716</v>
      </c>
      <c r="R188" s="25">
        <f t="shared" si="56"/>
        <v>79.9047619047619</v>
      </c>
      <c r="S188" s="25">
        <f t="shared" si="51"/>
        <v>79.9047619047619</v>
      </c>
    </row>
    <row r="189" spans="1:19" ht="12.75">
      <c r="A189" s="19" t="s">
        <v>8</v>
      </c>
      <c r="B189" s="45" t="s">
        <v>55</v>
      </c>
      <c r="C189" s="35" t="s">
        <v>5</v>
      </c>
      <c r="D189" s="44">
        <v>16</v>
      </c>
      <c r="E189" s="44">
        <v>0.4</v>
      </c>
      <c r="F189" s="62">
        <f>G189+H189+I189</f>
        <v>0.4</v>
      </c>
      <c r="G189" s="44"/>
      <c r="H189" s="44"/>
      <c r="I189" s="24">
        <v>0.4</v>
      </c>
      <c r="J189" s="24"/>
      <c r="K189" s="25">
        <v>0.4</v>
      </c>
      <c r="L189" s="27" t="e">
        <f>K189/#REF!*100</f>
        <v>#REF!</v>
      </c>
      <c r="M189" s="27"/>
      <c r="N189" s="55"/>
      <c r="O189" s="55"/>
      <c r="P189" s="24" t="e">
        <f t="shared" si="57"/>
        <v>#DIV/0!</v>
      </c>
      <c r="Q189" s="27">
        <f t="shared" si="55"/>
        <v>100</v>
      </c>
      <c r="R189" s="25">
        <f t="shared" si="56"/>
        <v>100</v>
      </c>
      <c r="S189" s="25">
        <f t="shared" si="51"/>
        <v>2.5</v>
      </c>
    </row>
    <row r="190" spans="1:19" ht="12.75">
      <c r="A190" s="19" t="s">
        <v>9</v>
      </c>
      <c r="B190" s="19"/>
      <c r="C190" s="35" t="s">
        <v>6</v>
      </c>
      <c r="D190" s="44">
        <v>87</v>
      </c>
      <c r="E190" s="44">
        <v>87</v>
      </c>
      <c r="F190" s="62">
        <f aca="true" t="shared" si="71" ref="F190:F196">G190+H190+I190</f>
        <v>62</v>
      </c>
      <c r="G190" s="44">
        <v>3</v>
      </c>
      <c r="H190" s="44">
        <v>5</v>
      </c>
      <c r="I190" s="24">
        <v>54</v>
      </c>
      <c r="J190" s="24">
        <v>25</v>
      </c>
      <c r="K190" s="25">
        <v>76.5</v>
      </c>
      <c r="L190" s="27" t="e">
        <f>K190/#REF!*100</f>
        <v>#REF!</v>
      </c>
      <c r="M190" s="27">
        <f t="shared" si="70"/>
        <v>141.66666666666669</v>
      </c>
      <c r="N190" s="55"/>
      <c r="O190" s="55"/>
      <c r="P190" s="24">
        <f t="shared" si="57"/>
        <v>306</v>
      </c>
      <c r="Q190" s="27">
        <f t="shared" si="55"/>
        <v>123.38709677419355</v>
      </c>
      <c r="R190" s="25">
        <f t="shared" si="56"/>
        <v>87.93103448275862</v>
      </c>
      <c r="S190" s="25">
        <f t="shared" si="51"/>
        <v>87.93103448275862</v>
      </c>
    </row>
    <row r="191" spans="1:19" ht="12.75">
      <c r="A191" s="19" t="s">
        <v>10</v>
      </c>
      <c r="B191" s="19"/>
      <c r="C191" s="35" t="s">
        <v>21</v>
      </c>
      <c r="D191" s="44">
        <v>35</v>
      </c>
      <c r="E191" s="44">
        <v>35</v>
      </c>
      <c r="F191" s="62">
        <f t="shared" si="71"/>
        <v>28</v>
      </c>
      <c r="G191" s="44">
        <v>4</v>
      </c>
      <c r="H191" s="44">
        <v>12</v>
      </c>
      <c r="I191" s="24">
        <v>12</v>
      </c>
      <c r="J191" s="24">
        <v>7</v>
      </c>
      <c r="K191" s="25">
        <v>31.8</v>
      </c>
      <c r="L191" s="27" t="e">
        <f>K191/#REF!*100</f>
        <v>#REF!</v>
      </c>
      <c r="M191" s="27">
        <f t="shared" si="70"/>
        <v>265</v>
      </c>
      <c r="N191" s="55"/>
      <c r="O191" s="55"/>
      <c r="P191" s="24">
        <f t="shared" si="57"/>
        <v>454.2857142857143</v>
      </c>
      <c r="Q191" s="27">
        <f t="shared" si="55"/>
        <v>113.57142857142857</v>
      </c>
      <c r="R191" s="25">
        <f t="shared" si="56"/>
        <v>90.85714285714286</v>
      </c>
      <c r="S191" s="25">
        <f t="shared" si="51"/>
        <v>90.85714285714286</v>
      </c>
    </row>
    <row r="192" spans="1:19" ht="24">
      <c r="A192" s="20" t="s">
        <v>11</v>
      </c>
      <c r="B192" s="20"/>
      <c r="C192" s="35" t="s">
        <v>17</v>
      </c>
      <c r="D192" s="44">
        <v>177</v>
      </c>
      <c r="E192" s="44">
        <v>137.2</v>
      </c>
      <c r="F192" s="62">
        <f t="shared" si="71"/>
        <v>117.2</v>
      </c>
      <c r="G192" s="44">
        <v>20</v>
      </c>
      <c r="H192" s="44">
        <v>20</v>
      </c>
      <c r="I192" s="24">
        <v>77.2</v>
      </c>
      <c r="J192" s="24">
        <v>20</v>
      </c>
      <c r="K192" s="25">
        <v>146.7</v>
      </c>
      <c r="L192" s="27" t="e">
        <f>K192/#REF!*100</f>
        <v>#REF!</v>
      </c>
      <c r="M192" s="27">
        <f t="shared" si="70"/>
        <v>190.02590673575128</v>
      </c>
      <c r="N192" s="55"/>
      <c r="O192" s="55"/>
      <c r="P192" s="24">
        <f t="shared" si="57"/>
        <v>733.4999999999999</v>
      </c>
      <c r="Q192" s="27">
        <f t="shared" si="55"/>
        <v>125.1706484641638</v>
      </c>
      <c r="R192" s="25">
        <f t="shared" si="56"/>
        <v>106.92419825072886</v>
      </c>
      <c r="S192" s="25">
        <f t="shared" si="51"/>
        <v>82.88135593220338</v>
      </c>
    </row>
    <row r="193" spans="1:19" ht="15" customHeight="1">
      <c r="A193" s="37" t="s">
        <v>42</v>
      </c>
      <c r="B193" s="37"/>
      <c r="C193" s="35" t="s">
        <v>43</v>
      </c>
      <c r="D193" s="44"/>
      <c r="E193" s="44">
        <v>94</v>
      </c>
      <c r="F193" s="62">
        <f t="shared" si="71"/>
        <v>94</v>
      </c>
      <c r="G193" s="44"/>
      <c r="H193" s="44">
        <v>94</v>
      </c>
      <c r="I193" s="24"/>
      <c r="J193" s="24"/>
      <c r="K193" s="25">
        <v>94</v>
      </c>
      <c r="L193" s="27"/>
      <c r="M193" s="27"/>
      <c r="N193" s="55"/>
      <c r="O193" s="55"/>
      <c r="P193" s="24"/>
      <c r="Q193" s="27">
        <f t="shared" si="55"/>
        <v>100</v>
      </c>
      <c r="R193" s="25">
        <f t="shared" si="56"/>
        <v>100</v>
      </c>
      <c r="S193" s="25"/>
    </row>
    <row r="194" spans="1:19" ht="12.75" customHeight="1">
      <c r="A194" s="36" t="s">
        <v>18</v>
      </c>
      <c r="B194" s="36"/>
      <c r="C194" s="35" t="s">
        <v>15</v>
      </c>
      <c r="D194" s="44">
        <v>1</v>
      </c>
      <c r="E194" s="44">
        <f>G194+H194+I194+J194</f>
        <v>0</v>
      </c>
      <c r="F194" s="62">
        <f t="shared" si="71"/>
        <v>0</v>
      </c>
      <c r="G194" s="44"/>
      <c r="H194" s="44"/>
      <c r="I194" s="24"/>
      <c r="J194" s="24"/>
      <c r="K194" s="25"/>
      <c r="L194" s="27" t="e">
        <f>K194/#REF!*100</f>
        <v>#REF!</v>
      </c>
      <c r="M194" s="27" t="e">
        <f t="shared" si="70"/>
        <v>#DIV/0!</v>
      </c>
      <c r="N194" s="55"/>
      <c r="O194" s="55"/>
      <c r="P194" s="24" t="e">
        <f t="shared" si="57"/>
        <v>#DIV/0!</v>
      </c>
      <c r="Q194" s="27"/>
      <c r="R194" s="25"/>
      <c r="S194" s="25">
        <f t="shared" si="51"/>
        <v>0</v>
      </c>
    </row>
    <row r="195" spans="1:19" ht="17.25" customHeight="1">
      <c r="A195" s="36" t="s">
        <v>12</v>
      </c>
      <c r="B195" s="77"/>
      <c r="C195" s="35" t="s">
        <v>7</v>
      </c>
      <c r="D195" s="44"/>
      <c r="E195" s="44">
        <f>G195+H195+I195+J195</f>
        <v>0.4</v>
      </c>
      <c r="F195" s="62">
        <f t="shared" si="71"/>
        <v>0.4</v>
      </c>
      <c r="G195" s="44"/>
      <c r="H195" s="44"/>
      <c r="I195" s="24">
        <v>0.4</v>
      </c>
      <c r="J195" s="24"/>
      <c r="K195" s="25">
        <v>0.4</v>
      </c>
      <c r="L195" s="27" t="e">
        <f>K195/#REF!*100</f>
        <v>#REF!</v>
      </c>
      <c r="M195" s="27"/>
      <c r="N195" s="55"/>
      <c r="O195" s="55"/>
      <c r="P195" s="24" t="e">
        <f t="shared" si="57"/>
        <v>#DIV/0!</v>
      </c>
      <c r="Q195" s="27"/>
      <c r="R195" s="25"/>
      <c r="S195" s="25"/>
    </row>
    <row r="196" spans="1:19" ht="14.25" customHeight="1">
      <c r="A196" s="68" t="s">
        <v>39</v>
      </c>
      <c r="B196" s="64"/>
      <c r="C196" s="23" t="s">
        <v>40</v>
      </c>
      <c r="D196" s="78"/>
      <c r="E196" s="44">
        <f>G196+H196+I196+J196</f>
        <v>0</v>
      </c>
      <c r="F196" s="62">
        <f t="shared" si="71"/>
        <v>0</v>
      </c>
      <c r="G196" s="44"/>
      <c r="H196" s="44"/>
      <c r="I196" s="24"/>
      <c r="J196" s="24"/>
      <c r="K196" s="25">
        <v>0.6</v>
      </c>
      <c r="L196" s="27" t="e">
        <f>K196/#REF!*100</f>
        <v>#REF!</v>
      </c>
      <c r="M196" s="27"/>
      <c r="N196" s="55"/>
      <c r="O196" s="55"/>
      <c r="P196" s="24"/>
      <c r="Q196" s="27"/>
      <c r="R196" s="25"/>
      <c r="S196" s="25"/>
    </row>
    <row r="197" spans="1:19" ht="12.75">
      <c r="A197" s="32" t="s">
        <v>1</v>
      </c>
      <c r="B197" s="32"/>
      <c r="C197" s="39" t="s">
        <v>0</v>
      </c>
      <c r="D197" s="40">
        <f>D198+D199+D200</f>
        <v>21779.4</v>
      </c>
      <c r="E197" s="40">
        <f>E198+E199+E200</f>
        <v>27108.6</v>
      </c>
      <c r="F197" s="40">
        <f aca="true" t="shared" si="72" ref="F197:K197">F198+F199+F200</f>
        <v>20011.5</v>
      </c>
      <c r="G197" s="40">
        <f t="shared" si="72"/>
        <v>5925.2</v>
      </c>
      <c r="H197" s="40">
        <f t="shared" si="72"/>
        <v>6470.1</v>
      </c>
      <c r="I197" s="40">
        <f t="shared" si="72"/>
        <v>7616.200000000001</v>
      </c>
      <c r="J197" s="40">
        <f t="shared" si="72"/>
        <v>6539.8</v>
      </c>
      <c r="K197" s="40">
        <f t="shared" si="72"/>
        <v>25170.1</v>
      </c>
      <c r="L197" s="40" t="e">
        <f>L198+L199</f>
        <v>#REF!</v>
      </c>
      <c r="M197" s="40">
        <f>M198+M199</f>
        <v>325.8935798020939</v>
      </c>
      <c r="N197" s="40">
        <f>N198+N199</f>
        <v>0</v>
      </c>
      <c r="O197" s="40">
        <f>O198+O199</f>
        <v>0</v>
      </c>
      <c r="P197" s="40">
        <f>P198+P199</f>
        <v>381.725740848344</v>
      </c>
      <c r="Q197" s="34">
        <f t="shared" si="55"/>
        <v>125.77817754790995</v>
      </c>
      <c r="R197" s="31">
        <f t="shared" si="56"/>
        <v>92.84913274754138</v>
      </c>
      <c r="S197" s="31">
        <f t="shared" si="51"/>
        <v>115.56838113079331</v>
      </c>
    </row>
    <row r="198" spans="1:19" ht="24">
      <c r="A198" s="21" t="s">
        <v>67</v>
      </c>
      <c r="B198" s="19"/>
      <c r="C198" s="41" t="s">
        <v>20</v>
      </c>
      <c r="D198" s="44">
        <v>21779.4</v>
      </c>
      <c r="E198" s="44">
        <v>26902.6</v>
      </c>
      <c r="F198" s="62">
        <f>G198+H198+I198</f>
        <v>19805.5</v>
      </c>
      <c r="G198" s="44">
        <f>5827.2+98</f>
        <v>5925.2</v>
      </c>
      <c r="H198" s="44">
        <f>5844.5+60.6+315</f>
        <v>6220.1</v>
      </c>
      <c r="I198" s="24">
        <f>5544.5+199.1+1711+205.6</f>
        <v>7660.200000000001</v>
      </c>
      <c r="J198" s="24">
        <f>5074.6+1465.2</f>
        <v>6539.8</v>
      </c>
      <c r="K198" s="25">
        <v>24964.1</v>
      </c>
      <c r="L198" s="27" t="e">
        <f>K198/#REF!*100</f>
        <v>#REF!</v>
      </c>
      <c r="M198" s="27">
        <f>K198/I198*100</f>
        <v>325.8935798020939</v>
      </c>
      <c r="N198" s="55"/>
      <c r="O198" s="55"/>
      <c r="P198" s="24">
        <f t="shared" si="57"/>
        <v>381.725740848344</v>
      </c>
      <c r="Q198" s="27">
        <f t="shared" si="55"/>
        <v>126.04630027012699</v>
      </c>
      <c r="R198" s="25">
        <f t="shared" si="56"/>
        <v>92.79437675168943</v>
      </c>
      <c r="S198" s="25">
        <f t="shared" si="51"/>
        <v>114.62253321946426</v>
      </c>
    </row>
    <row r="199" spans="1:19" ht="12.75">
      <c r="A199" s="21" t="s">
        <v>2</v>
      </c>
      <c r="B199" s="21"/>
      <c r="C199" s="42" t="s">
        <v>19</v>
      </c>
      <c r="D199" s="74"/>
      <c r="E199" s="44">
        <v>300</v>
      </c>
      <c r="F199" s="62">
        <f>G199+H199+I199</f>
        <v>300</v>
      </c>
      <c r="G199" s="44"/>
      <c r="H199" s="44">
        <v>250</v>
      </c>
      <c r="I199" s="24">
        <v>50</v>
      </c>
      <c r="J199" s="24"/>
      <c r="K199" s="25">
        <v>300</v>
      </c>
      <c r="L199" s="27"/>
      <c r="M199" s="27"/>
      <c r="N199" s="55"/>
      <c r="O199" s="55"/>
      <c r="P199" s="24"/>
      <c r="Q199" s="27">
        <f>K199*100/F199</f>
        <v>100</v>
      </c>
      <c r="R199" s="25">
        <f>K199*100/E199</f>
        <v>100</v>
      </c>
      <c r="S199" s="25"/>
    </row>
    <row r="200" spans="1:19" ht="24">
      <c r="A200" s="21" t="s">
        <v>66</v>
      </c>
      <c r="B200" s="66"/>
      <c r="C200" s="26" t="s">
        <v>63</v>
      </c>
      <c r="D200" s="90"/>
      <c r="E200" s="44">
        <v>-94</v>
      </c>
      <c r="F200" s="62">
        <f>G200+H200+I200</f>
        <v>-94</v>
      </c>
      <c r="G200" s="44"/>
      <c r="H200" s="44"/>
      <c r="I200" s="24">
        <v>-94</v>
      </c>
      <c r="J200" s="24"/>
      <c r="K200" s="25">
        <v>-94</v>
      </c>
      <c r="L200" s="27"/>
      <c r="M200" s="27"/>
      <c r="N200" s="55"/>
      <c r="O200" s="55"/>
      <c r="P200" s="24"/>
      <c r="Q200" s="27">
        <f>K200*100/F200</f>
        <v>100</v>
      </c>
      <c r="R200" s="25">
        <f>K200*100/E200</f>
        <v>100</v>
      </c>
      <c r="S200" s="25"/>
    </row>
    <row r="201" spans="1:19" ht="12.75">
      <c r="A201" s="20"/>
      <c r="B201" s="70"/>
      <c r="C201" s="71" t="s">
        <v>4</v>
      </c>
      <c r="D201" s="94">
        <f aca="true" t="shared" si="73" ref="D201:K201">D197+D187</f>
        <v>23250.4</v>
      </c>
      <c r="E201" s="72">
        <f t="shared" si="73"/>
        <v>28617.6</v>
      </c>
      <c r="F201" s="72">
        <f t="shared" si="73"/>
        <v>21013.5</v>
      </c>
      <c r="G201" s="94">
        <f t="shared" si="73"/>
        <v>6072.2</v>
      </c>
      <c r="H201" s="94">
        <f t="shared" si="73"/>
        <v>6901.1</v>
      </c>
      <c r="I201" s="94">
        <f t="shared" si="73"/>
        <v>8040.200000000001</v>
      </c>
      <c r="J201" s="94">
        <f t="shared" si="73"/>
        <v>7046.8</v>
      </c>
      <c r="K201" s="72">
        <f t="shared" si="73"/>
        <v>26443.399999999998</v>
      </c>
      <c r="L201" s="93" t="e">
        <f>K201/#REF!*100</f>
        <v>#REF!</v>
      </c>
      <c r="M201" s="93">
        <f>K201/I201*100</f>
        <v>328.8898286112285</v>
      </c>
      <c r="N201" s="55"/>
      <c r="O201" s="56" t="e">
        <f>J201+#REF!+#REF!</f>
        <v>#REF!</v>
      </c>
      <c r="P201" s="94">
        <f t="shared" si="57"/>
        <v>375.2540160072657</v>
      </c>
      <c r="Q201" s="93">
        <f t="shared" si="55"/>
        <v>125.84005520260784</v>
      </c>
      <c r="R201" s="72">
        <f t="shared" si="56"/>
        <v>92.40257743486526</v>
      </c>
      <c r="S201" s="72">
        <f aca="true" t="shared" si="74" ref="S201:S222">K201*100/D201</f>
        <v>113.73309706499673</v>
      </c>
    </row>
    <row r="202" spans="1:19" ht="12.75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</row>
    <row r="203" spans="1:19" ht="12.75">
      <c r="A203" s="171" t="s">
        <v>36</v>
      </c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</row>
    <row r="204" spans="1:19" ht="12.75">
      <c r="A204" s="32" t="s">
        <v>3</v>
      </c>
      <c r="B204" s="46"/>
      <c r="C204" s="33" t="s">
        <v>68</v>
      </c>
      <c r="D204" s="34">
        <f aca="true" t="shared" si="75" ref="D204:K204">D205+D207+D208+D209+D211+D212+D214+D216+D213+D210+D217+D215+D206</f>
        <v>781777.1</v>
      </c>
      <c r="E204" s="34">
        <f t="shared" si="75"/>
        <v>837602.5999999999</v>
      </c>
      <c r="F204" s="34">
        <f t="shared" si="75"/>
        <v>592849.5000000001</v>
      </c>
      <c r="G204" s="34">
        <f t="shared" si="75"/>
        <v>168981.5</v>
      </c>
      <c r="H204" s="34">
        <f t="shared" si="75"/>
        <v>221823.00000000003</v>
      </c>
      <c r="I204" s="34">
        <f t="shared" si="75"/>
        <v>202045</v>
      </c>
      <c r="J204" s="34">
        <f t="shared" si="75"/>
        <v>231611.10000000003</v>
      </c>
      <c r="K204" s="34">
        <f t="shared" si="75"/>
        <v>786709.9999999999</v>
      </c>
      <c r="L204" s="34" t="e">
        <f>K204/#REF!*100</f>
        <v>#REF!</v>
      </c>
      <c r="M204" s="34">
        <f aca="true" t="shared" si="76" ref="M204:M215">K204/I204*100</f>
        <v>389.3736543839243</v>
      </c>
      <c r="N204" s="55"/>
      <c r="O204" s="55"/>
      <c r="P204" s="34">
        <f t="shared" si="57"/>
        <v>339.6685219318071</v>
      </c>
      <c r="Q204" s="34">
        <f t="shared" si="55"/>
        <v>132.69978299720245</v>
      </c>
      <c r="R204" s="31">
        <f t="shared" si="56"/>
        <v>93.9240159951748</v>
      </c>
      <c r="S204" s="31">
        <f t="shared" si="74"/>
        <v>100.63098548166732</v>
      </c>
    </row>
    <row r="205" spans="1:19" ht="12.75">
      <c r="A205" s="28" t="s">
        <v>23</v>
      </c>
      <c r="B205" s="47" t="s">
        <v>54</v>
      </c>
      <c r="C205" s="35" t="s">
        <v>22</v>
      </c>
      <c r="D205" s="25">
        <f>D9+D31+D46+D62+D78+D95+D110+D126+D141+D157+D172+D188</f>
        <v>574720.1</v>
      </c>
      <c r="E205" s="25">
        <f aca="true" t="shared" si="77" ref="E205:J205">E9+E31+E46+E62+E78+E95+E110+E126+E141+E157+E172+E188</f>
        <v>582141.2</v>
      </c>
      <c r="F205" s="25">
        <f t="shared" si="77"/>
        <v>421996.9</v>
      </c>
      <c r="G205" s="25">
        <f t="shared" si="77"/>
        <v>132000.09999999998</v>
      </c>
      <c r="H205" s="25">
        <f t="shared" si="77"/>
        <v>154903.2</v>
      </c>
      <c r="I205" s="25">
        <f t="shared" si="77"/>
        <v>135093.6</v>
      </c>
      <c r="J205" s="25">
        <f t="shared" si="77"/>
        <v>159664.30000000002</v>
      </c>
      <c r="K205" s="25">
        <f>K9+K31+K46+K62+K78+K95+K110+K126+K141+K157+K172+K188-0.1</f>
        <v>512878.8000000001</v>
      </c>
      <c r="L205" s="27" t="e">
        <f>K205/#REF!*100</f>
        <v>#REF!</v>
      </c>
      <c r="M205" s="27">
        <f t="shared" si="76"/>
        <v>379.6470003020129</v>
      </c>
      <c r="N205" s="55"/>
      <c r="O205" s="55"/>
      <c r="P205" s="24">
        <f t="shared" si="57"/>
        <v>321.22321646103734</v>
      </c>
      <c r="Q205" s="27">
        <f t="shared" si="55"/>
        <v>121.53615346463447</v>
      </c>
      <c r="R205" s="25">
        <f t="shared" si="56"/>
        <v>88.10213054839618</v>
      </c>
      <c r="S205" s="25">
        <f t="shared" si="74"/>
        <v>89.23975340343937</v>
      </c>
    </row>
    <row r="206" spans="1:19" ht="12.75">
      <c r="A206" s="19" t="s">
        <v>70</v>
      </c>
      <c r="B206" s="19"/>
      <c r="C206" s="35" t="s">
        <v>71</v>
      </c>
      <c r="D206" s="25">
        <f>D10</f>
        <v>33926</v>
      </c>
      <c r="E206" s="25">
        <f aca="true" t="shared" si="78" ref="E206:J206">E10</f>
        <v>33926</v>
      </c>
      <c r="F206" s="25">
        <f t="shared" si="78"/>
        <v>25444.5</v>
      </c>
      <c r="G206" s="25">
        <f t="shared" si="78"/>
        <v>8482</v>
      </c>
      <c r="H206" s="25">
        <f t="shared" si="78"/>
        <v>8481.3</v>
      </c>
      <c r="I206" s="25">
        <f t="shared" si="78"/>
        <v>8481.2</v>
      </c>
      <c r="J206" s="25">
        <f t="shared" si="78"/>
        <v>8481.5</v>
      </c>
      <c r="K206" s="25">
        <f aca="true" t="shared" si="79" ref="K206:P206">K10</f>
        <v>32387.5</v>
      </c>
      <c r="L206" s="25">
        <f t="shared" si="79"/>
        <v>0</v>
      </c>
      <c r="M206" s="25">
        <f t="shared" si="79"/>
        <v>0</v>
      </c>
      <c r="N206" s="25">
        <f t="shared" si="79"/>
        <v>0</v>
      </c>
      <c r="O206" s="25">
        <f t="shared" si="79"/>
        <v>0</v>
      </c>
      <c r="P206" s="25">
        <f t="shared" si="79"/>
        <v>0</v>
      </c>
      <c r="Q206" s="27">
        <f t="shared" si="55"/>
        <v>127.28683998506554</v>
      </c>
      <c r="R206" s="25">
        <f t="shared" si="56"/>
        <v>95.46512998879915</v>
      </c>
      <c r="S206" s="25">
        <f t="shared" si="74"/>
        <v>95.46512998879915</v>
      </c>
    </row>
    <row r="207" spans="1:19" ht="12.75">
      <c r="A207" s="19" t="s">
        <v>8</v>
      </c>
      <c r="B207" s="45" t="s">
        <v>55</v>
      </c>
      <c r="C207" s="35" t="s">
        <v>5</v>
      </c>
      <c r="D207" s="25">
        <f>D11+D47+D63+D189+D142+D111+D173+D79+D96</f>
        <v>31307.6</v>
      </c>
      <c r="E207" s="25">
        <f aca="true" t="shared" si="80" ref="E207:J207">E11+E47+E63+E189+E142+E111+E173+E79+E96</f>
        <v>35747.1</v>
      </c>
      <c r="F207" s="25">
        <f t="shared" si="80"/>
        <v>25200.5</v>
      </c>
      <c r="G207" s="25">
        <f t="shared" si="80"/>
        <v>8113.5</v>
      </c>
      <c r="H207" s="25">
        <f t="shared" si="80"/>
        <v>9885.5</v>
      </c>
      <c r="I207" s="25">
        <f t="shared" si="80"/>
        <v>7201.499999999999</v>
      </c>
      <c r="J207" s="25">
        <f t="shared" si="80"/>
        <v>10541.9</v>
      </c>
      <c r="K207" s="25">
        <f>K11+K47+K63+K189+K142+K111+K173+K79+K96+0.1</f>
        <v>37364.59999999999</v>
      </c>
      <c r="L207" s="27" t="e">
        <f>K207/#REF!*100</f>
        <v>#REF!</v>
      </c>
      <c r="M207" s="27">
        <f t="shared" si="76"/>
        <v>518.8446851350412</v>
      </c>
      <c r="N207" s="55"/>
      <c r="O207" s="55"/>
      <c r="P207" s="24">
        <f t="shared" si="57"/>
        <v>354.4389531298911</v>
      </c>
      <c r="Q207" s="27">
        <f t="shared" si="55"/>
        <v>148.26928037142116</v>
      </c>
      <c r="R207" s="25">
        <f t="shared" si="56"/>
        <v>104.52484257464239</v>
      </c>
      <c r="S207" s="25">
        <f t="shared" si="74"/>
        <v>119.34674008866854</v>
      </c>
    </row>
    <row r="208" spans="1:19" ht="12.75">
      <c r="A208" s="19" t="s">
        <v>9</v>
      </c>
      <c r="B208" s="45" t="s">
        <v>56</v>
      </c>
      <c r="C208" s="35" t="s">
        <v>6</v>
      </c>
      <c r="D208" s="25">
        <f>D12+D32+D48+D64+D80+D97+D112+D127+D143+D158+D174+D190</f>
        <v>15760</v>
      </c>
      <c r="E208" s="25">
        <f aca="true" t="shared" si="81" ref="E208:J208">E12+E32+E48+E64+E80+E97+E112+E127+E143+E158+E174+E190-0.1</f>
        <v>17367.7</v>
      </c>
      <c r="F208" s="25">
        <f t="shared" si="81"/>
        <v>12073.2</v>
      </c>
      <c r="G208" s="25">
        <f t="shared" si="81"/>
        <v>4748.4</v>
      </c>
      <c r="H208" s="25">
        <f t="shared" si="81"/>
        <v>2496.2000000000003</v>
      </c>
      <c r="I208" s="25">
        <f t="shared" si="81"/>
        <v>4828.400000000001</v>
      </c>
      <c r="J208" s="25">
        <f t="shared" si="81"/>
        <v>4154.7</v>
      </c>
      <c r="K208" s="25">
        <f>K12+K32+K48+K64+K80+K97+K112+K127+K143+K158+K174+K190+0.1</f>
        <v>18246.199999999997</v>
      </c>
      <c r="L208" s="27" t="e">
        <f>K208/#REF!*100</f>
        <v>#REF!</v>
      </c>
      <c r="M208" s="27">
        <f t="shared" si="76"/>
        <v>377.8932979869107</v>
      </c>
      <c r="N208" s="55"/>
      <c r="O208" s="55"/>
      <c r="P208" s="24">
        <f t="shared" si="57"/>
        <v>439.17009651719735</v>
      </c>
      <c r="Q208" s="27">
        <f t="shared" si="55"/>
        <v>151.12977503892918</v>
      </c>
      <c r="R208" s="25">
        <f t="shared" si="56"/>
        <v>105.0582402966426</v>
      </c>
      <c r="S208" s="25">
        <f t="shared" si="74"/>
        <v>115.77538071065989</v>
      </c>
    </row>
    <row r="209" spans="1:19" ht="12.75">
      <c r="A209" s="19" t="s">
        <v>10</v>
      </c>
      <c r="B209" s="45" t="s">
        <v>49</v>
      </c>
      <c r="C209" s="35" t="s">
        <v>21</v>
      </c>
      <c r="D209" s="25">
        <f>D13+D33+D65+D81+D98+D113+D128+D144+D159+D175+D191</f>
        <v>2394.2</v>
      </c>
      <c r="E209" s="25">
        <f aca="true" t="shared" si="82" ref="E209:J209">E13+E33+E49+E65+E81+E98+E113+E128+E144+E159+E175+E191</f>
        <v>3338.2</v>
      </c>
      <c r="F209" s="25">
        <f t="shared" si="82"/>
        <v>2309.3</v>
      </c>
      <c r="G209" s="25">
        <f t="shared" si="82"/>
        <v>563.5</v>
      </c>
      <c r="H209" s="25">
        <f t="shared" si="82"/>
        <v>883.4</v>
      </c>
      <c r="I209" s="25">
        <f t="shared" si="82"/>
        <v>862.4</v>
      </c>
      <c r="J209" s="25">
        <f t="shared" si="82"/>
        <v>702.9000000000001</v>
      </c>
      <c r="K209" s="25">
        <f>K13+K33+K49+K65+K81+K98+K113+K128+K144+K159+K175+K191-0.1</f>
        <v>3646.600000000001</v>
      </c>
      <c r="L209" s="27" t="e">
        <f>K209/#REF!*100</f>
        <v>#REF!</v>
      </c>
      <c r="M209" s="27">
        <f t="shared" si="76"/>
        <v>422.8432282003712</v>
      </c>
      <c r="N209" s="55"/>
      <c r="O209" s="55"/>
      <c r="P209" s="24">
        <f t="shared" si="57"/>
        <v>518.7935694977949</v>
      </c>
      <c r="Q209" s="27">
        <f t="shared" si="55"/>
        <v>157.90932317152385</v>
      </c>
      <c r="R209" s="25">
        <f t="shared" si="56"/>
        <v>109.23851177281172</v>
      </c>
      <c r="S209" s="25">
        <f t="shared" si="74"/>
        <v>152.30974855901766</v>
      </c>
    </row>
    <row r="210" spans="1:19" ht="24" hidden="1">
      <c r="A210" s="19" t="s">
        <v>37</v>
      </c>
      <c r="B210" s="45" t="s">
        <v>57</v>
      </c>
      <c r="C210" s="35" t="s">
        <v>38</v>
      </c>
      <c r="D210" s="48">
        <f>D14</f>
        <v>0</v>
      </c>
      <c r="E210" s="48">
        <f aca="true" t="shared" si="83" ref="E210:J210">E14</f>
        <v>0</v>
      </c>
      <c r="F210" s="48">
        <f t="shared" si="83"/>
        <v>0</v>
      </c>
      <c r="G210" s="48">
        <f t="shared" si="83"/>
        <v>0</v>
      </c>
      <c r="H210" s="48">
        <f t="shared" si="83"/>
        <v>0</v>
      </c>
      <c r="I210" s="48">
        <f t="shared" si="83"/>
        <v>0</v>
      </c>
      <c r="J210" s="48">
        <f t="shared" si="83"/>
        <v>0</v>
      </c>
      <c r="K210" s="48">
        <f>K14</f>
        <v>0</v>
      </c>
      <c r="L210" s="27" t="e">
        <f>K210/#REF!*100</f>
        <v>#REF!</v>
      </c>
      <c r="M210" s="27"/>
      <c r="N210" s="55"/>
      <c r="O210" s="55"/>
      <c r="P210" s="24" t="e">
        <f t="shared" si="57"/>
        <v>#DIV/0!</v>
      </c>
      <c r="Q210" s="27"/>
      <c r="R210" s="25"/>
      <c r="S210" s="25" t="e">
        <f t="shared" si="74"/>
        <v>#DIV/0!</v>
      </c>
    </row>
    <row r="211" spans="1:19" ht="24">
      <c r="A211" s="20" t="s">
        <v>11</v>
      </c>
      <c r="B211" s="49" t="s">
        <v>48</v>
      </c>
      <c r="C211" s="35" t="s">
        <v>17</v>
      </c>
      <c r="D211" s="25">
        <f>D15+D34+D50+D66+D82+D99+D114+D129+D145+D160+D176+D192</f>
        <v>89497.80000000002</v>
      </c>
      <c r="E211" s="25">
        <f aca="true" t="shared" si="84" ref="E211:J211">E15+E34+E50+E66+E82+E99+E114+E129+E145+E160+E176+E192</f>
        <v>105806.90000000002</v>
      </c>
      <c r="F211" s="25">
        <f t="shared" si="84"/>
        <v>63926.099999999984</v>
      </c>
      <c r="G211" s="25">
        <f t="shared" si="84"/>
        <v>7888.599999999999</v>
      </c>
      <c r="H211" s="25">
        <f t="shared" si="84"/>
        <v>26993.600000000002</v>
      </c>
      <c r="I211" s="25">
        <f t="shared" si="84"/>
        <v>29043.9</v>
      </c>
      <c r="J211" s="25">
        <f t="shared" si="84"/>
        <v>34265.00000000001</v>
      </c>
      <c r="K211" s="25">
        <f>K15+K34+K50+K66+K82+K99+K114+K129+K145+K160+K176+K192</f>
        <v>117111.29999999997</v>
      </c>
      <c r="L211" s="27" t="e">
        <f>K211/#REF!*100</f>
        <v>#REF!</v>
      </c>
      <c r="M211" s="27">
        <f t="shared" si="76"/>
        <v>403.2216747750818</v>
      </c>
      <c r="N211" s="55"/>
      <c r="O211" s="55"/>
      <c r="P211" s="24">
        <f t="shared" si="57"/>
        <v>341.78111775864573</v>
      </c>
      <c r="Q211" s="27">
        <f aca="true" t="shared" si="85" ref="Q211:Q222">K211*100/F211</f>
        <v>183.1979426243741</v>
      </c>
      <c r="R211" s="25">
        <f aca="true" t="shared" si="86" ref="R211:R222">K211*100/E211</f>
        <v>110.68399130869533</v>
      </c>
      <c r="S211" s="25">
        <f t="shared" si="74"/>
        <v>130.85383104389155</v>
      </c>
    </row>
    <row r="212" spans="1:19" ht="12.75">
      <c r="A212" s="36" t="s">
        <v>14</v>
      </c>
      <c r="B212" s="50" t="s">
        <v>47</v>
      </c>
      <c r="C212" s="35" t="s">
        <v>13</v>
      </c>
      <c r="D212" s="25">
        <f>D16</f>
        <v>9202.4</v>
      </c>
      <c r="E212" s="25">
        <f aca="true" t="shared" si="87" ref="E212:J212">E16</f>
        <v>20451.9</v>
      </c>
      <c r="F212" s="25">
        <f t="shared" si="87"/>
        <v>17300.5</v>
      </c>
      <c r="G212" s="25">
        <f t="shared" si="87"/>
        <v>2300.6</v>
      </c>
      <c r="H212" s="25">
        <f t="shared" si="87"/>
        <v>10697.5</v>
      </c>
      <c r="I212" s="25">
        <f t="shared" si="87"/>
        <v>4302.4</v>
      </c>
      <c r="J212" s="25">
        <f t="shared" si="87"/>
        <v>3732.7</v>
      </c>
      <c r="K212" s="25">
        <f>K16</f>
        <v>23122.7</v>
      </c>
      <c r="L212" s="27" t="e">
        <f>K212/#REF!*100</f>
        <v>#REF!</v>
      </c>
      <c r="M212" s="27">
        <f t="shared" si="76"/>
        <v>537.4372443287468</v>
      </c>
      <c r="N212" s="55"/>
      <c r="O212" s="55"/>
      <c r="P212" s="24">
        <f t="shared" si="57"/>
        <v>619.4631232084015</v>
      </c>
      <c r="Q212" s="27">
        <f t="shared" si="85"/>
        <v>133.65336261957748</v>
      </c>
      <c r="R212" s="25">
        <f t="shared" si="86"/>
        <v>113.05893339983082</v>
      </c>
      <c r="S212" s="25">
        <f t="shared" si="74"/>
        <v>251.26814743979833</v>
      </c>
    </row>
    <row r="213" spans="1:19" ht="15.75" customHeight="1">
      <c r="A213" s="37" t="s">
        <v>42</v>
      </c>
      <c r="B213" s="51" t="s">
        <v>58</v>
      </c>
      <c r="C213" s="35" t="s">
        <v>43</v>
      </c>
      <c r="D213" s="52">
        <f>D17+D83+D100+D130+D146+D161+D177+D115+D67+D35+D193</f>
        <v>7607</v>
      </c>
      <c r="E213" s="52">
        <f aca="true" t="shared" si="88" ref="E213:J213">E17+E83+E100+E130+E146+E161+E177+E115+E67+E35+E193+0.1</f>
        <v>9209.2</v>
      </c>
      <c r="F213" s="52">
        <f t="shared" si="88"/>
        <v>6560.3</v>
      </c>
      <c r="G213" s="52">
        <f t="shared" si="88"/>
        <v>1855.6999999999998</v>
      </c>
      <c r="H213" s="52">
        <f t="shared" si="88"/>
        <v>1962.1999999999998</v>
      </c>
      <c r="I213" s="52">
        <f t="shared" si="88"/>
        <v>2742.5999999999995</v>
      </c>
      <c r="J213" s="52">
        <f t="shared" si="88"/>
        <v>2630.9</v>
      </c>
      <c r="K213" s="52">
        <f>K17+K83+K100+K130+K146+K161+K177+K115+K67+K35+K193-0.1</f>
        <v>9729.099999999999</v>
      </c>
      <c r="L213" s="27" t="e">
        <f>K213/#REF!*100</f>
        <v>#REF!</v>
      </c>
      <c r="M213" s="27">
        <f t="shared" si="76"/>
        <v>354.74002771093126</v>
      </c>
      <c r="N213" s="55"/>
      <c r="O213" s="55"/>
      <c r="P213" s="24">
        <f t="shared" si="57"/>
        <v>369.8012087118476</v>
      </c>
      <c r="Q213" s="27">
        <f t="shared" si="85"/>
        <v>148.30266908525522</v>
      </c>
      <c r="R213" s="25">
        <f t="shared" si="86"/>
        <v>105.64544151500671</v>
      </c>
      <c r="S213" s="25">
        <f t="shared" si="74"/>
        <v>127.89667411594583</v>
      </c>
    </row>
    <row r="214" spans="1:19" ht="12.75">
      <c r="A214" s="37" t="s">
        <v>18</v>
      </c>
      <c r="B214" s="51" t="s">
        <v>53</v>
      </c>
      <c r="C214" s="35" t="s">
        <v>15</v>
      </c>
      <c r="D214" s="25">
        <f>D18+D36+D51+D68+D84+D101+D116+D147+D162+D178+D194+D131</f>
        <v>16220</v>
      </c>
      <c r="E214" s="25">
        <f aca="true" t="shared" si="89" ref="E214:J214">E18+E36+E51+E68+E84+E101+E116+E147+E162+E178+E194+E131</f>
        <v>24331</v>
      </c>
      <c r="F214" s="25">
        <f t="shared" si="89"/>
        <v>14623.8</v>
      </c>
      <c r="G214" s="25">
        <f t="shared" si="89"/>
        <v>2388.7</v>
      </c>
      <c r="H214" s="25">
        <f t="shared" si="89"/>
        <v>4854.199999999999</v>
      </c>
      <c r="I214" s="25">
        <f t="shared" si="89"/>
        <v>7380.900000000001</v>
      </c>
      <c r="J214" s="25">
        <f t="shared" si="89"/>
        <v>5888.2</v>
      </c>
      <c r="K214" s="25">
        <f>K18+K36+K51+K68+K84+K101+K116+K147+K162+K178+K194+K131</f>
        <v>25306.800000000003</v>
      </c>
      <c r="L214" s="27" t="e">
        <f>K214/#REF!*100</f>
        <v>#REF!</v>
      </c>
      <c r="M214" s="27">
        <f t="shared" si="76"/>
        <v>342.8687558427834</v>
      </c>
      <c r="N214" s="55"/>
      <c r="O214" s="55"/>
      <c r="P214" s="24">
        <f aca="true" t="shared" si="90" ref="P214:P222">K214*100/J214</f>
        <v>429.78839034000214</v>
      </c>
      <c r="Q214" s="27">
        <f t="shared" si="85"/>
        <v>173.0521478685431</v>
      </c>
      <c r="R214" s="25">
        <f t="shared" si="86"/>
        <v>104.01052155686163</v>
      </c>
      <c r="S214" s="25">
        <f t="shared" si="74"/>
        <v>156.02219482120842</v>
      </c>
    </row>
    <row r="215" spans="1:19" ht="12.75">
      <c r="A215" s="37" t="s">
        <v>60</v>
      </c>
      <c r="B215" s="37"/>
      <c r="C215" s="35" t="s">
        <v>61</v>
      </c>
      <c r="D215" s="25">
        <f>D19</f>
        <v>7</v>
      </c>
      <c r="E215" s="25">
        <f aca="true" t="shared" si="91" ref="E215:J215">E19</f>
        <v>3</v>
      </c>
      <c r="F215" s="25">
        <f t="shared" si="91"/>
        <v>2</v>
      </c>
      <c r="G215" s="25">
        <f t="shared" si="91"/>
        <v>2</v>
      </c>
      <c r="H215" s="25">
        <f t="shared" si="91"/>
        <v>0</v>
      </c>
      <c r="I215" s="25">
        <f t="shared" si="91"/>
        <v>0</v>
      </c>
      <c r="J215" s="25">
        <f t="shared" si="91"/>
        <v>1</v>
      </c>
      <c r="K215" s="25">
        <f>K19</f>
        <v>3.2</v>
      </c>
      <c r="L215" s="27" t="e">
        <f>K215/#REF!*100</f>
        <v>#REF!</v>
      </c>
      <c r="M215" s="27" t="e">
        <f t="shared" si="76"/>
        <v>#DIV/0!</v>
      </c>
      <c r="N215" s="55"/>
      <c r="O215" s="55"/>
      <c r="P215" s="24">
        <f t="shared" si="90"/>
        <v>320</v>
      </c>
      <c r="Q215" s="27">
        <f t="shared" si="85"/>
        <v>160</v>
      </c>
      <c r="R215" s="25">
        <f t="shared" si="86"/>
        <v>106.66666666666667</v>
      </c>
      <c r="S215" s="25">
        <f t="shared" si="74"/>
        <v>45.714285714285715</v>
      </c>
    </row>
    <row r="216" spans="1:19" ht="12.75">
      <c r="A216" s="28" t="s">
        <v>12</v>
      </c>
      <c r="B216" s="47" t="s">
        <v>50</v>
      </c>
      <c r="C216" s="35" t="s">
        <v>7</v>
      </c>
      <c r="D216" s="25">
        <f aca="true" t="shared" si="92" ref="D216:J216">D20+D37+D69+D148+D195+D52+D179</f>
        <v>1135</v>
      </c>
      <c r="E216" s="25">
        <f t="shared" si="92"/>
        <v>5280.4</v>
      </c>
      <c r="F216" s="25">
        <f t="shared" si="92"/>
        <v>3412.4</v>
      </c>
      <c r="G216" s="25">
        <f t="shared" si="92"/>
        <v>638.4</v>
      </c>
      <c r="H216" s="25">
        <f t="shared" si="92"/>
        <v>665.9</v>
      </c>
      <c r="I216" s="25">
        <f t="shared" si="92"/>
        <v>2108.1</v>
      </c>
      <c r="J216" s="25">
        <f t="shared" si="92"/>
        <v>1548</v>
      </c>
      <c r="K216" s="25">
        <f>K20+K37+K69+K148+K195+K52+K179</f>
        <v>5115.200000000001</v>
      </c>
      <c r="L216" s="25" t="e">
        <f>L20+L179+L195+L69+L132+L52+L148+L85</f>
        <v>#REF!</v>
      </c>
      <c r="M216" s="25">
        <f>M20+M179+M195+M69+M132+M52+M148+M85</f>
        <v>234.54001992693458</v>
      </c>
      <c r="N216" s="25">
        <f>N20+N179+N195+N69+N132+N52+N148+N85</f>
        <v>0</v>
      </c>
      <c r="O216" s="25">
        <f>O20+O179+O195+O69+O132+O52+O148+O85</f>
        <v>0</v>
      </c>
      <c r="P216" s="25" t="e">
        <f>P20+P179+P195+P69+P132+P52+P148+P85</f>
        <v>#DIV/0!</v>
      </c>
      <c r="Q216" s="27">
        <f t="shared" si="85"/>
        <v>149.9003633806119</v>
      </c>
      <c r="R216" s="25">
        <f t="shared" si="86"/>
        <v>96.87144913264149</v>
      </c>
      <c r="S216" s="25">
        <f t="shared" si="74"/>
        <v>450.67841409691636</v>
      </c>
    </row>
    <row r="217" spans="1:19" ht="12.75">
      <c r="A217" s="38" t="s">
        <v>39</v>
      </c>
      <c r="B217" s="53" t="s">
        <v>57</v>
      </c>
      <c r="C217" s="23" t="s">
        <v>40</v>
      </c>
      <c r="D217" s="25">
        <f>D21+D38+D53+D70+D86+D102+D118+D133+D149+D164+D180+D196</f>
        <v>0</v>
      </c>
      <c r="E217" s="25">
        <f aca="true" t="shared" si="93" ref="E217:J217">E21+E38+E53+E70+E86+E102+E118+E133+E149+E164+E180+E196</f>
        <v>0</v>
      </c>
      <c r="F217" s="25">
        <f t="shared" si="93"/>
        <v>0</v>
      </c>
      <c r="G217" s="25">
        <f t="shared" si="93"/>
        <v>0</v>
      </c>
      <c r="H217" s="25">
        <f t="shared" si="93"/>
        <v>0</v>
      </c>
      <c r="I217" s="25">
        <f t="shared" si="93"/>
        <v>0</v>
      </c>
      <c r="J217" s="25">
        <f t="shared" si="93"/>
        <v>0</v>
      </c>
      <c r="K217" s="25">
        <f>K21+K38+K53+K70+K86+K102+K118+K133+K149+K164+K180+K196+0.1</f>
        <v>1797.9999999999998</v>
      </c>
      <c r="L217" s="27"/>
      <c r="M217" s="27"/>
      <c r="N217" s="55"/>
      <c r="O217" s="55"/>
      <c r="P217" s="24" t="e">
        <f t="shared" si="90"/>
        <v>#DIV/0!</v>
      </c>
      <c r="Q217" s="27"/>
      <c r="R217" s="25"/>
      <c r="S217" s="25"/>
    </row>
    <row r="218" spans="1:19" ht="12.75">
      <c r="A218" s="32" t="s">
        <v>1</v>
      </c>
      <c r="B218" s="46"/>
      <c r="C218" s="39" t="s">
        <v>0</v>
      </c>
      <c r="D218" s="40">
        <f>D219+D220+D221</f>
        <v>2668826</v>
      </c>
      <c r="E218" s="40">
        <f aca="true" t="shared" si="94" ref="E218:J218">E219+E220+E221</f>
        <v>3437085.1999999997</v>
      </c>
      <c r="F218" s="40">
        <f t="shared" si="94"/>
        <v>2537947.2</v>
      </c>
      <c r="G218" s="40">
        <f t="shared" si="94"/>
        <v>656683.2999999999</v>
      </c>
      <c r="H218" s="40">
        <f t="shared" si="94"/>
        <v>814898.2999999999</v>
      </c>
      <c r="I218" s="40">
        <f t="shared" si="94"/>
        <v>1041190.2000000001</v>
      </c>
      <c r="J218" s="40">
        <f t="shared" si="94"/>
        <v>805331.2</v>
      </c>
      <c r="K218" s="40">
        <f>K219+K220+K221</f>
        <v>3221536.6</v>
      </c>
      <c r="L218" s="34" t="e">
        <f>K218/#REF!*100</f>
        <v>#REF!</v>
      </c>
      <c r="M218" s="34">
        <f>K218/I218*100</f>
        <v>309.40903977006315</v>
      </c>
      <c r="N218" s="55"/>
      <c r="O218" s="55"/>
      <c r="P218" s="43">
        <f t="shared" si="90"/>
        <v>400.0262997385424</v>
      </c>
      <c r="Q218" s="34">
        <f t="shared" si="85"/>
        <v>126.93473686134999</v>
      </c>
      <c r="R218" s="31">
        <f t="shared" si="86"/>
        <v>93.72873852530627</v>
      </c>
      <c r="S218" s="31">
        <f t="shared" si="74"/>
        <v>120.70987767655141</v>
      </c>
    </row>
    <row r="219" spans="1:19" ht="24">
      <c r="A219" s="21" t="s">
        <v>67</v>
      </c>
      <c r="B219" s="45" t="s">
        <v>51</v>
      </c>
      <c r="C219" s="41" t="s">
        <v>20</v>
      </c>
      <c r="D219" s="25">
        <f>D23-16137.7</f>
        <v>2648826</v>
      </c>
      <c r="E219" s="24">
        <f>E23-16164.5</f>
        <v>3396479.3</v>
      </c>
      <c r="F219" s="24">
        <f>F23-12587.8</f>
        <v>2507596.3000000003</v>
      </c>
      <c r="G219" s="24">
        <f>G23-12587.8</f>
        <v>656098.2999999999</v>
      </c>
      <c r="H219" s="24">
        <f>H23-12587.8</f>
        <v>791336.2999999999</v>
      </c>
      <c r="I219" s="24">
        <f>I23-12587.8</f>
        <v>1034986.1</v>
      </c>
      <c r="J219" s="24">
        <f>J23-12587.8</f>
        <v>795331.1</v>
      </c>
      <c r="K219" s="24">
        <f>K23-16092.9</f>
        <v>3167200.3000000003</v>
      </c>
      <c r="L219" s="27" t="e">
        <f>K219/#REF!*100</f>
        <v>#REF!</v>
      </c>
      <c r="M219" s="27">
        <f>K219/I219*100</f>
        <v>306.0138005718145</v>
      </c>
      <c r="N219" s="55"/>
      <c r="O219" s="55"/>
      <c r="P219" s="24">
        <f t="shared" si="90"/>
        <v>398.2241232613688</v>
      </c>
      <c r="Q219" s="27">
        <f t="shared" si="85"/>
        <v>126.30423405872786</v>
      </c>
      <c r="R219" s="25">
        <f t="shared" si="86"/>
        <v>93.24950986746776</v>
      </c>
      <c r="S219" s="25">
        <f t="shared" si="74"/>
        <v>119.56996420300918</v>
      </c>
    </row>
    <row r="220" spans="1:19" ht="12.75">
      <c r="A220" s="21" t="s">
        <v>2</v>
      </c>
      <c r="B220" s="21" t="s">
        <v>52</v>
      </c>
      <c r="C220" s="42" t="s">
        <v>19</v>
      </c>
      <c r="D220" s="25">
        <v>20000</v>
      </c>
      <c r="E220" s="25">
        <f aca="true" t="shared" si="95" ref="E220:J220">E24+E90+E105+E167+E136+E56+E41+E152+E73+E199+E121+E183+0.1</f>
        <v>56338.50000000001</v>
      </c>
      <c r="F220" s="25">
        <f t="shared" si="95"/>
        <v>46083.50000000001</v>
      </c>
      <c r="G220" s="25">
        <f t="shared" si="95"/>
        <v>8800.1</v>
      </c>
      <c r="H220" s="25">
        <f t="shared" si="95"/>
        <v>25374.8</v>
      </c>
      <c r="I220" s="25">
        <f t="shared" si="95"/>
        <v>11908.8</v>
      </c>
      <c r="J220" s="25">
        <f t="shared" si="95"/>
        <v>10000.1</v>
      </c>
      <c r="K220" s="25">
        <f>K24+K90+K105+K167+K136+K56+K41+K152+K73+K199+K121+K183+0.1</f>
        <v>71501.4</v>
      </c>
      <c r="L220" s="27" t="e">
        <f>K220/#REF!*100</f>
        <v>#REF!</v>
      </c>
      <c r="M220" s="27">
        <f>K220/I220*100</f>
        <v>600.4081015719468</v>
      </c>
      <c r="N220" s="55"/>
      <c r="O220" s="55"/>
      <c r="P220" s="24">
        <f t="shared" si="90"/>
        <v>715.0068499315006</v>
      </c>
      <c r="Q220" s="27">
        <f t="shared" si="85"/>
        <v>155.15618388360255</v>
      </c>
      <c r="R220" s="25">
        <f t="shared" si="86"/>
        <v>126.91392209590241</v>
      </c>
      <c r="S220" s="25">
        <f t="shared" si="74"/>
        <v>357.50699999999995</v>
      </c>
    </row>
    <row r="221" spans="1:20" ht="24">
      <c r="A221" s="21" t="s">
        <v>66</v>
      </c>
      <c r="B221" s="22"/>
      <c r="C221" s="26" t="s">
        <v>63</v>
      </c>
      <c r="D221" s="25"/>
      <c r="E221" s="25">
        <f aca="true" t="shared" si="96" ref="E221:J221">E26</f>
        <v>-15732.6</v>
      </c>
      <c r="F221" s="25">
        <f t="shared" si="96"/>
        <v>-15732.599999999999</v>
      </c>
      <c r="G221" s="25">
        <f t="shared" si="96"/>
        <v>-8215.1</v>
      </c>
      <c r="H221" s="25">
        <f t="shared" si="96"/>
        <v>-1812.8</v>
      </c>
      <c r="I221" s="25">
        <f t="shared" si="96"/>
        <v>-5704.7</v>
      </c>
      <c r="J221" s="25">
        <f t="shared" si="96"/>
        <v>0</v>
      </c>
      <c r="K221" s="25">
        <f>K26</f>
        <v>-17165.1</v>
      </c>
      <c r="L221" s="27" t="e">
        <f>K221/#REF!*100</f>
        <v>#REF!</v>
      </c>
      <c r="M221" s="27"/>
      <c r="N221" s="55"/>
      <c r="O221" s="55"/>
      <c r="P221" s="24" t="e">
        <f t="shared" si="90"/>
        <v>#DIV/0!</v>
      </c>
      <c r="Q221" s="27">
        <f t="shared" si="85"/>
        <v>109.10529728080546</v>
      </c>
      <c r="R221" s="25">
        <f t="shared" si="86"/>
        <v>109.10529728080544</v>
      </c>
      <c r="S221" s="25"/>
      <c r="T221" s="2"/>
    </row>
    <row r="222" spans="1:19" ht="15.75" customHeight="1">
      <c r="A222" s="28"/>
      <c r="B222" s="29"/>
      <c r="C222" s="30" t="s">
        <v>4</v>
      </c>
      <c r="D222" s="31">
        <f>D218+D204</f>
        <v>3450603.1</v>
      </c>
      <c r="E222" s="31">
        <f aca="true" t="shared" si="97" ref="E222:J222">E218+E204</f>
        <v>4274687.8</v>
      </c>
      <c r="F222" s="31">
        <f t="shared" si="97"/>
        <v>3130796.7</v>
      </c>
      <c r="G222" s="31">
        <f t="shared" si="97"/>
        <v>825664.7999999999</v>
      </c>
      <c r="H222" s="31">
        <f t="shared" si="97"/>
        <v>1036721.2999999999</v>
      </c>
      <c r="I222" s="31">
        <f t="shared" si="97"/>
        <v>1243235.2000000002</v>
      </c>
      <c r="J222" s="31">
        <f t="shared" si="97"/>
        <v>1036942.3</v>
      </c>
      <c r="K222" s="31">
        <f>K218+K204</f>
        <v>4008246.6</v>
      </c>
      <c r="L222" s="34" t="e">
        <f>K222/#REF!*100</f>
        <v>#REF!</v>
      </c>
      <c r="M222" s="34">
        <f>K222/I222*100</f>
        <v>322.40452973017494</v>
      </c>
      <c r="N222" s="55"/>
      <c r="O222" s="56" t="e">
        <f>J222+#REF!+#REF!</f>
        <v>#REF!</v>
      </c>
      <c r="P222" s="43">
        <f t="shared" si="90"/>
        <v>386.5448058199574</v>
      </c>
      <c r="Q222" s="34">
        <f t="shared" si="85"/>
        <v>128.02640938007886</v>
      </c>
      <c r="R222" s="31">
        <f t="shared" si="86"/>
        <v>93.7670021188448</v>
      </c>
      <c r="S222" s="31">
        <f t="shared" si="74"/>
        <v>116.16075462286578</v>
      </c>
    </row>
    <row r="223" spans="3:9" ht="12.75">
      <c r="C223" s="8"/>
      <c r="D223" s="8"/>
      <c r="E223" s="8"/>
      <c r="F223" s="8"/>
      <c r="G223" s="8"/>
      <c r="H223" s="8"/>
      <c r="I223" s="2"/>
    </row>
    <row r="224" spans="3:12" ht="12.75">
      <c r="C224" s="9" t="s">
        <v>59</v>
      </c>
      <c r="D224" s="9"/>
      <c r="E224" s="9"/>
      <c r="F224" s="9"/>
      <c r="G224" s="9"/>
      <c r="H224" s="9"/>
      <c r="I224" s="3"/>
      <c r="J224" s="3"/>
      <c r="K224" s="5"/>
      <c r="L224" s="5"/>
    </row>
    <row r="225" spans="3:13" ht="12.75" hidden="1">
      <c r="C225" s="9"/>
      <c r="D225" s="9"/>
      <c r="E225" s="9"/>
      <c r="F225" s="9"/>
      <c r="G225" s="9"/>
      <c r="H225" s="9"/>
      <c r="I225" s="3" t="s">
        <v>62</v>
      </c>
      <c r="J225" s="3">
        <f>J224-J204</f>
        <v>-231611.10000000003</v>
      </c>
      <c r="K225" s="4"/>
      <c r="L225" s="5"/>
      <c r="M225" s="2" t="e">
        <f>O27+O42+O58+O74+O91+O106+O122+O137+O153+O168+O184+O201-#REF!-#REF!-#REF!-#REF!-#REF!-#REF!-#REF!-#REF!-#REF!-#REF!-#REF!-#REF!-5301.3-7951.9-535.1-7243.1</f>
        <v>#REF!</v>
      </c>
    </row>
    <row r="226" spans="1:13" ht="12.75" hidden="1">
      <c r="A226" s="2"/>
      <c r="C226" s="9"/>
      <c r="D226" s="9"/>
      <c r="E226" s="9"/>
      <c r="F226" s="9"/>
      <c r="G226" s="9"/>
      <c r="H226" s="9"/>
      <c r="I226" s="6"/>
      <c r="J226" s="3"/>
      <c r="K226" s="5"/>
      <c r="L226" s="5"/>
      <c r="M226" s="2" t="e">
        <f>O222-M225</f>
        <v>#REF!</v>
      </c>
    </row>
    <row r="227" spans="3:12" ht="12.75" hidden="1">
      <c r="C227" s="10"/>
      <c r="D227" s="10"/>
      <c r="E227" s="10"/>
      <c r="F227" s="10"/>
      <c r="G227" s="10"/>
      <c r="H227" s="10"/>
      <c r="I227" s="3"/>
      <c r="J227" s="3">
        <f>J226-J218</f>
        <v>-805331.2</v>
      </c>
      <c r="K227" s="5"/>
      <c r="L227" s="5"/>
    </row>
    <row r="228" spans="3:12" ht="12.75" hidden="1">
      <c r="C228" s="10"/>
      <c r="D228" s="10"/>
      <c r="E228" s="10"/>
      <c r="F228" s="10"/>
      <c r="G228" s="10"/>
      <c r="H228" s="10"/>
      <c r="I228" s="6"/>
      <c r="J228" s="3" t="e">
        <f>#REF!+#REF!+#REF!+#REF!+#REF!+#REF!+#REF!+#REF!+#REF!+#REF!</f>
        <v>#REF!</v>
      </c>
      <c r="K228" s="5"/>
      <c r="L228" s="5"/>
    </row>
    <row r="229" spans="1:12" ht="12.75" hidden="1">
      <c r="A229" s="2">
        <f>J204+J218</f>
        <v>1036942.3</v>
      </c>
      <c r="C229" s="18"/>
      <c r="D229" s="18"/>
      <c r="E229" s="18"/>
      <c r="F229" s="18"/>
      <c r="G229" s="18"/>
      <c r="H229" s="18"/>
      <c r="I229" s="6"/>
      <c r="J229" s="3" t="e">
        <f>J228-#REF!</f>
        <v>#REF!</v>
      </c>
      <c r="K229" s="5"/>
      <c r="L229" s="5"/>
    </row>
    <row r="230" spans="1:12" ht="12.75" hidden="1">
      <c r="A230" s="2" t="e">
        <f>#REF!+#REF!</f>
        <v>#REF!</v>
      </c>
      <c r="C230" s="10"/>
      <c r="D230" s="10"/>
      <c r="E230" s="10"/>
      <c r="F230" s="10"/>
      <c r="G230" s="10"/>
      <c r="H230" s="10"/>
      <c r="I230" s="6"/>
      <c r="J230" s="3" t="e">
        <f>J224+J226+J228</f>
        <v>#REF!</v>
      </c>
      <c r="K230" s="5"/>
      <c r="L230" s="5"/>
    </row>
    <row r="231" spans="1:12" ht="12.75" hidden="1">
      <c r="A231" s="2" t="e">
        <f>J204+#REF!</f>
        <v>#REF!</v>
      </c>
      <c r="C231" s="9"/>
      <c r="D231" s="9"/>
      <c r="E231" s="9"/>
      <c r="F231" s="9"/>
      <c r="G231" s="9"/>
      <c r="H231" s="9"/>
      <c r="I231" s="6"/>
      <c r="J231" s="3">
        <f>J27+J42+J58+J74+J91+J106+J122+J137+J153+J168+J184+J201-J197-J181-J165-J150-J134-J119-J103-J88-J71-J39-J54</f>
        <v>1049529.9999999993</v>
      </c>
      <c r="K231" s="5"/>
      <c r="L231" s="5"/>
    </row>
    <row r="232" spans="1:12" ht="12.75" hidden="1">
      <c r="A232" s="2" t="e">
        <f>J218+#REF!</f>
        <v>#REF!</v>
      </c>
      <c r="C232" s="9"/>
      <c r="D232" s="9"/>
      <c r="E232" s="9"/>
      <c r="F232" s="9"/>
      <c r="G232" s="9"/>
      <c r="H232" s="9"/>
      <c r="I232" s="6"/>
      <c r="J232" s="3">
        <f>J231-J222</f>
        <v>12587.699999999255</v>
      </c>
      <c r="K232" s="5"/>
      <c r="L232" s="5"/>
    </row>
    <row r="233" spans="3:12" ht="12.75" hidden="1">
      <c r="C233" s="9"/>
      <c r="D233" s="9"/>
      <c r="E233" s="9"/>
      <c r="F233" s="9"/>
      <c r="G233" s="9"/>
      <c r="H233" s="9"/>
      <c r="I233" s="6"/>
      <c r="J233" s="3"/>
      <c r="K233" s="5"/>
      <c r="L233" s="5"/>
    </row>
    <row r="234" spans="3:12" ht="12.75" hidden="1">
      <c r="C234" s="8"/>
      <c r="D234" s="8"/>
      <c r="E234" s="8"/>
      <c r="F234" s="8"/>
      <c r="G234" s="8"/>
      <c r="H234" s="8"/>
      <c r="I234" s="5"/>
      <c r="J234" s="4"/>
      <c r="K234" s="5"/>
      <c r="L234" s="5"/>
    </row>
    <row r="235" spans="3:12" ht="12.75">
      <c r="C235" s="8"/>
      <c r="D235" s="8"/>
      <c r="E235" s="8"/>
      <c r="F235" s="8"/>
      <c r="G235" s="8"/>
      <c r="H235" s="8"/>
      <c r="I235" s="5"/>
      <c r="J235" s="4"/>
      <c r="K235" s="5"/>
      <c r="L235" s="5"/>
    </row>
    <row r="236" spans="3:12" ht="12.75">
      <c r="C236" s="8"/>
      <c r="D236" s="8"/>
      <c r="E236" s="8"/>
      <c r="F236" s="8"/>
      <c r="G236" s="8"/>
      <c r="H236" s="8"/>
      <c r="I236" s="5"/>
      <c r="J236" s="4"/>
      <c r="K236" s="5"/>
      <c r="L236" s="5"/>
    </row>
    <row r="237" spans="3:12" ht="12.75">
      <c r="C237" s="8"/>
      <c r="D237" s="8"/>
      <c r="E237" s="8"/>
      <c r="F237" s="8"/>
      <c r="G237" s="8"/>
      <c r="H237" s="8"/>
      <c r="I237" s="5"/>
      <c r="J237" s="4"/>
      <c r="K237" s="5"/>
      <c r="L237" s="5"/>
    </row>
    <row r="238" spans="9:12" ht="12.75">
      <c r="I238" s="5"/>
      <c r="J238" s="4"/>
      <c r="K238" s="5"/>
      <c r="L238" s="5"/>
    </row>
    <row r="239" spans="9:12" ht="12.75">
      <c r="I239" s="5"/>
      <c r="J239" s="4"/>
      <c r="K239" s="5"/>
      <c r="L239" s="5"/>
    </row>
    <row r="240" spans="9:12" ht="12.75">
      <c r="I240" s="5"/>
      <c r="J240" s="4"/>
      <c r="K240" s="5"/>
      <c r="L240" s="5"/>
    </row>
    <row r="241" spans="3:12" ht="12.75">
      <c r="C241" s="8"/>
      <c r="D241" s="8"/>
      <c r="E241" s="8"/>
      <c r="F241" s="8"/>
      <c r="G241" s="8"/>
      <c r="H241" s="8"/>
      <c r="I241" s="5"/>
      <c r="J241" s="4"/>
      <c r="K241" s="5"/>
      <c r="L241" s="5"/>
    </row>
    <row r="242" spans="3:12" ht="12.75">
      <c r="C242" s="8"/>
      <c r="D242" s="8"/>
      <c r="E242" s="8"/>
      <c r="F242" s="8"/>
      <c r="G242" s="8"/>
      <c r="H242" s="8"/>
      <c r="I242" s="5"/>
      <c r="J242" s="4"/>
      <c r="K242" s="5"/>
      <c r="L242" s="5"/>
    </row>
    <row r="243" spans="3:12" ht="12.75">
      <c r="C243" s="8"/>
      <c r="D243" s="8"/>
      <c r="E243" s="8"/>
      <c r="F243" s="8"/>
      <c r="G243" s="8"/>
      <c r="H243" s="8"/>
      <c r="I243" s="5"/>
      <c r="J243" s="4"/>
      <c r="K243" s="5"/>
      <c r="L243" s="5"/>
    </row>
    <row r="244" spans="3:12" ht="12.75">
      <c r="C244" s="8"/>
      <c r="D244" s="8"/>
      <c r="E244" s="8"/>
      <c r="F244" s="8"/>
      <c r="G244" s="8"/>
      <c r="H244" s="8"/>
      <c r="I244" s="5"/>
      <c r="J244" s="4"/>
      <c r="K244" s="5"/>
      <c r="L244" s="5"/>
    </row>
    <row r="245" spans="3:12" ht="12.75">
      <c r="C245" s="8"/>
      <c r="D245" s="8"/>
      <c r="E245" s="8"/>
      <c r="F245" s="8"/>
      <c r="G245" s="8"/>
      <c r="H245" s="8"/>
      <c r="I245" s="4"/>
      <c r="J245" s="4"/>
      <c r="K245" s="4"/>
      <c r="L245" s="5"/>
    </row>
    <row r="246" spans="3:12" ht="12.75">
      <c r="C246" s="8"/>
      <c r="D246" s="8"/>
      <c r="E246" s="8"/>
      <c r="F246" s="8"/>
      <c r="G246" s="8"/>
      <c r="H246" s="8"/>
      <c r="I246" s="5"/>
      <c r="J246" s="5"/>
      <c r="K246" s="5"/>
      <c r="L246" s="5"/>
    </row>
    <row r="247" spans="3:12" ht="12.75">
      <c r="C247" s="8"/>
      <c r="D247" s="8"/>
      <c r="E247" s="8"/>
      <c r="F247" s="8"/>
      <c r="G247" s="8"/>
      <c r="H247" s="8"/>
      <c r="I247" s="7"/>
      <c r="J247" s="4"/>
      <c r="K247" s="5"/>
      <c r="L247" s="5"/>
    </row>
  </sheetData>
  <sheetProtection/>
  <mergeCells count="42">
    <mergeCell ref="A2:M2"/>
    <mergeCell ref="D4:D6"/>
    <mergeCell ref="A1:S1"/>
    <mergeCell ref="G4:G6"/>
    <mergeCell ref="H4:H6"/>
    <mergeCell ref="I4:I6"/>
    <mergeCell ref="S4:S6"/>
    <mergeCell ref="A202:S202"/>
    <mergeCell ref="A203:S203"/>
    <mergeCell ref="R4:R6"/>
    <mergeCell ref="Q4:Q6"/>
    <mergeCell ref="K4:K6"/>
    <mergeCell ref="L4:L6"/>
    <mergeCell ref="M4:M6"/>
    <mergeCell ref="A7:R7"/>
    <mergeCell ref="A154:S154"/>
    <mergeCell ref="A155:S155"/>
    <mergeCell ref="A169:S169"/>
    <mergeCell ref="A170:S170"/>
    <mergeCell ref="A185:S185"/>
    <mergeCell ref="A186:S186"/>
    <mergeCell ref="J4:J6"/>
    <mergeCell ref="E4:E6"/>
    <mergeCell ref="A123:S123"/>
    <mergeCell ref="A124:S124"/>
    <mergeCell ref="A139:S139"/>
    <mergeCell ref="A138:S138"/>
    <mergeCell ref="A29:S29"/>
    <mergeCell ref="A43:S43"/>
    <mergeCell ref="A44:S44"/>
    <mergeCell ref="A59:S59"/>
    <mergeCell ref="A60:S60"/>
    <mergeCell ref="N4:N6"/>
    <mergeCell ref="O4:O6"/>
    <mergeCell ref="P4:P6"/>
    <mergeCell ref="F4:F6"/>
    <mergeCell ref="A75:S75"/>
    <mergeCell ref="A76:S76"/>
    <mergeCell ref="A92:S92"/>
    <mergeCell ref="A93:S93"/>
    <mergeCell ref="A107:S107"/>
    <mergeCell ref="A108:S108"/>
  </mergeCells>
  <printOptions/>
  <pageMargins left="0" right="0" top="0.15748031496062992" bottom="0.15748031496062992" header="0.15748031496062992" footer="0.196850393700787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06">
      <selection activeCell="G122" sqref="G122"/>
    </sheetView>
  </sheetViews>
  <sheetFormatPr defaultColWidth="9.00390625" defaultRowHeight="12.75"/>
  <cols>
    <col min="2" max="2" width="46.25390625" style="0" customWidth="1"/>
    <col min="3" max="3" width="15.125" style="0" customWidth="1"/>
    <col min="4" max="4" width="15.25390625" style="0" customWidth="1"/>
    <col min="6" max="6" width="13.375" style="0" customWidth="1"/>
    <col min="7" max="7" width="12.75390625" style="0" customWidth="1"/>
    <col min="9" max="9" width="15.375" style="0" customWidth="1"/>
    <col min="10" max="10" width="14.375" style="0" customWidth="1"/>
  </cols>
  <sheetData>
    <row r="1" spans="1:11" ht="15.75">
      <c r="A1" s="192" t="s">
        <v>89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3.5" thickBot="1">
      <c r="A2" s="102"/>
      <c r="B2" s="103"/>
      <c r="C2" s="104"/>
      <c r="D2" s="105"/>
      <c r="E2" s="106"/>
      <c r="F2" s="107"/>
      <c r="G2" s="108"/>
      <c r="H2" s="108"/>
      <c r="I2" s="109"/>
      <c r="J2" s="110"/>
      <c r="K2" s="110"/>
    </row>
    <row r="3" spans="1:11" ht="15">
      <c r="A3" s="193" t="s">
        <v>90</v>
      </c>
      <c r="B3" s="195" t="s">
        <v>91</v>
      </c>
      <c r="C3" s="197" t="s">
        <v>92</v>
      </c>
      <c r="D3" s="197"/>
      <c r="E3" s="197"/>
      <c r="F3" s="198" t="s">
        <v>93</v>
      </c>
      <c r="G3" s="198"/>
      <c r="H3" s="198"/>
      <c r="I3" s="199" t="s">
        <v>94</v>
      </c>
      <c r="J3" s="199"/>
      <c r="K3" s="200"/>
    </row>
    <row r="4" spans="1:11" ht="12.75">
      <c r="A4" s="194"/>
      <c r="B4" s="196"/>
      <c r="C4" s="201" t="s">
        <v>95</v>
      </c>
      <c r="D4" s="201" t="s">
        <v>96</v>
      </c>
      <c r="E4" s="201" t="s">
        <v>97</v>
      </c>
      <c r="F4" s="201" t="s">
        <v>95</v>
      </c>
      <c r="G4" s="204" t="s">
        <v>96</v>
      </c>
      <c r="H4" s="204" t="s">
        <v>97</v>
      </c>
      <c r="I4" s="205" t="s">
        <v>95</v>
      </c>
      <c r="J4" s="207" t="s">
        <v>98</v>
      </c>
      <c r="K4" s="188" t="s">
        <v>97</v>
      </c>
    </row>
    <row r="5" spans="1:11" ht="12.75">
      <c r="A5" s="194"/>
      <c r="B5" s="196"/>
      <c r="C5" s="202"/>
      <c r="D5" s="201"/>
      <c r="E5" s="208"/>
      <c r="F5" s="202"/>
      <c r="G5" s="204"/>
      <c r="H5" s="202"/>
      <c r="I5" s="206"/>
      <c r="J5" s="207"/>
      <c r="K5" s="189"/>
    </row>
    <row r="6" spans="1:11" ht="12.75">
      <c r="A6" s="194"/>
      <c r="B6" s="190" t="s">
        <v>99</v>
      </c>
      <c r="C6" s="190"/>
      <c r="D6" s="190"/>
      <c r="E6" s="190"/>
      <c r="F6" s="190"/>
      <c r="G6" s="190"/>
      <c r="H6" s="190"/>
      <c r="I6" s="190"/>
      <c r="J6" s="190"/>
      <c r="K6" s="191"/>
    </row>
    <row r="7" spans="1:11" ht="12.75">
      <c r="A7" s="194"/>
      <c r="B7" s="190"/>
      <c r="C7" s="190"/>
      <c r="D7" s="190"/>
      <c r="E7" s="190"/>
      <c r="F7" s="190"/>
      <c r="G7" s="190"/>
      <c r="H7" s="190"/>
      <c r="I7" s="190"/>
      <c r="J7" s="190"/>
      <c r="K7" s="191"/>
    </row>
    <row r="8" spans="1:11" ht="12.75">
      <c r="A8" s="194"/>
      <c r="B8" s="190"/>
      <c r="C8" s="190"/>
      <c r="D8" s="190"/>
      <c r="E8" s="190"/>
      <c r="F8" s="190"/>
      <c r="G8" s="190"/>
      <c r="H8" s="190"/>
      <c r="I8" s="190"/>
      <c r="J8" s="190"/>
      <c r="K8" s="191"/>
    </row>
    <row r="9" spans="1:11" ht="15">
      <c r="A9" s="113" t="s">
        <v>100</v>
      </c>
      <c r="B9" s="114" t="s">
        <v>101</v>
      </c>
      <c r="C9" s="115">
        <f>SUM(C10:C17)</f>
        <v>280174.5</v>
      </c>
      <c r="D9" s="115">
        <f>SUM(D10:D17)</f>
        <v>229689.40000000002</v>
      </c>
      <c r="E9" s="115">
        <f>D9/C9*100</f>
        <v>81.98083694269108</v>
      </c>
      <c r="F9" s="115">
        <f>F10+F11+F12+F13+F14+F16+F17+F15</f>
        <v>197751.19999999998</v>
      </c>
      <c r="G9" s="115">
        <f>SUM(G10:G17)</f>
        <v>165289.19999999998</v>
      </c>
      <c r="H9" s="116">
        <f>G9/F9*100</f>
        <v>83.58442325508013</v>
      </c>
      <c r="I9" s="115">
        <f>SUM(I10:I17)</f>
        <v>477392.5</v>
      </c>
      <c r="J9" s="115">
        <f>SUM(J10:J17)</f>
        <v>394517</v>
      </c>
      <c r="K9" s="117">
        <f>J9/I9*100</f>
        <v>82.63996606565877</v>
      </c>
    </row>
    <row r="10" spans="1:11" ht="30">
      <c r="A10" s="118" t="s">
        <v>102</v>
      </c>
      <c r="B10" s="119" t="s">
        <v>103</v>
      </c>
      <c r="C10" s="111">
        <v>12553.9</v>
      </c>
      <c r="D10" s="111">
        <v>11768.2</v>
      </c>
      <c r="E10" s="111">
        <f>D10/C10*100</f>
        <v>93.74138713865811</v>
      </c>
      <c r="F10" s="120">
        <v>39980.2</v>
      </c>
      <c r="G10" s="120">
        <v>35389.8</v>
      </c>
      <c r="H10" s="120">
        <f>G10/F10*100</f>
        <v>88.51831656670053</v>
      </c>
      <c r="I10" s="121">
        <f aca="true" t="shared" si="0" ref="I10:J82">C10+F10</f>
        <v>52534.1</v>
      </c>
      <c r="J10" s="112">
        <f t="shared" si="0"/>
        <v>47158</v>
      </c>
      <c r="K10" s="122">
        <f aca="true" t="shared" si="1" ref="K10:K84">J10/I10*100</f>
        <v>89.76645645399846</v>
      </c>
    </row>
    <row r="11" spans="1:11" ht="30">
      <c r="A11" s="118" t="s">
        <v>104</v>
      </c>
      <c r="B11" s="119" t="s">
        <v>105</v>
      </c>
      <c r="C11" s="111">
        <v>24822.9</v>
      </c>
      <c r="D11" s="111">
        <v>22165.6</v>
      </c>
      <c r="E11" s="111">
        <f aca="true" t="shared" si="2" ref="E11:E19">D11/C11*100</f>
        <v>89.294965535856</v>
      </c>
      <c r="F11" s="120">
        <v>0</v>
      </c>
      <c r="G11" s="120">
        <v>0</v>
      </c>
      <c r="H11" s="120">
        <v>0</v>
      </c>
      <c r="I11" s="121">
        <f t="shared" si="0"/>
        <v>24822.9</v>
      </c>
      <c r="J11" s="112">
        <f t="shared" si="0"/>
        <v>22165.6</v>
      </c>
      <c r="K11" s="122">
        <f t="shared" si="1"/>
        <v>89.294965535856</v>
      </c>
    </row>
    <row r="12" spans="1:11" ht="30">
      <c r="A12" s="118" t="s">
        <v>106</v>
      </c>
      <c r="B12" s="119" t="s">
        <v>107</v>
      </c>
      <c r="C12" s="111">
        <v>123842.8</v>
      </c>
      <c r="D12" s="111">
        <v>110248.9</v>
      </c>
      <c r="E12" s="111">
        <f t="shared" si="2"/>
        <v>89.02326174795789</v>
      </c>
      <c r="F12" s="120">
        <v>117822.1</v>
      </c>
      <c r="G12" s="120">
        <v>101180</v>
      </c>
      <c r="H12" s="120">
        <f aca="true" t="shared" si="3" ref="H12:H19">G12/F12*100</f>
        <v>85.87523053824367</v>
      </c>
      <c r="I12" s="121">
        <f t="shared" si="0"/>
        <v>241664.90000000002</v>
      </c>
      <c r="J12" s="112">
        <f t="shared" si="0"/>
        <v>211428.9</v>
      </c>
      <c r="K12" s="122">
        <f t="shared" si="1"/>
        <v>87.4884602604681</v>
      </c>
    </row>
    <row r="13" spans="1:11" ht="15">
      <c r="A13" s="118" t="s">
        <v>108</v>
      </c>
      <c r="B13" s="119" t="s">
        <v>109</v>
      </c>
      <c r="C13" s="111">
        <v>5.1</v>
      </c>
      <c r="D13" s="111">
        <v>5.1</v>
      </c>
      <c r="E13" s="111">
        <f t="shared" si="2"/>
        <v>100</v>
      </c>
      <c r="F13" s="120">
        <v>0</v>
      </c>
      <c r="G13" s="120">
        <v>0</v>
      </c>
      <c r="H13" s="120">
        <v>0</v>
      </c>
      <c r="I13" s="121">
        <f t="shared" si="0"/>
        <v>5.1</v>
      </c>
      <c r="J13" s="112">
        <f t="shared" si="0"/>
        <v>5.1</v>
      </c>
      <c r="K13" s="122"/>
    </row>
    <row r="14" spans="1:11" ht="30">
      <c r="A14" s="118" t="s">
        <v>110</v>
      </c>
      <c r="B14" s="119" t="s">
        <v>111</v>
      </c>
      <c r="C14" s="111">
        <v>30763.9</v>
      </c>
      <c r="D14" s="111">
        <v>26471.8</v>
      </c>
      <c r="E14" s="111">
        <f t="shared" si="2"/>
        <v>86.04825786067435</v>
      </c>
      <c r="F14" s="120">
        <v>0</v>
      </c>
      <c r="G14" s="120">
        <v>0</v>
      </c>
      <c r="H14" s="120">
        <v>0</v>
      </c>
      <c r="I14" s="121">
        <f>C14+F14</f>
        <v>30763.9</v>
      </c>
      <c r="J14" s="112">
        <f>D14+G14</f>
        <v>26471.8</v>
      </c>
      <c r="K14" s="122">
        <f t="shared" si="1"/>
        <v>86.04825786067435</v>
      </c>
    </row>
    <row r="15" spans="1:11" ht="30">
      <c r="A15" s="123" t="s">
        <v>112</v>
      </c>
      <c r="B15" s="119" t="s">
        <v>113</v>
      </c>
      <c r="C15" s="111">
        <v>0</v>
      </c>
      <c r="D15" s="111">
        <v>0</v>
      </c>
      <c r="E15" s="111">
        <v>0</v>
      </c>
      <c r="F15" s="120">
        <v>913</v>
      </c>
      <c r="G15" s="120">
        <v>913</v>
      </c>
      <c r="H15" s="120">
        <f t="shared" si="3"/>
        <v>100</v>
      </c>
      <c r="I15" s="121">
        <f>C15+F15</f>
        <v>913</v>
      </c>
      <c r="J15" s="112">
        <f t="shared" si="0"/>
        <v>913</v>
      </c>
      <c r="K15" s="122">
        <f t="shared" si="1"/>
        <v>100</v>
      </c>
    </row>
    <row r="16" spans="1:11" ht="15">
      <c r="A16" s="123" t="s">
        <v>114</v>
      </c>
      <c r="B16" s="119" t="s">
        <v>115</v>
      </c>
      <c r="C16" s="111">
        <v>4036</v>
      </c>
      <c r="D16" s="111">
        <v>0</v>
      </c>
      <c r="E16" s="111">
        <f t="shared" si="2"/>
        <v>0</v>
      </c>
      <c r="F16" s="120">
        <v>834.3</v>
      </c>
      <c r="G16" s="120">
        <v>0</v>
      </c>
      <c r="H16" s="120">
        <f t="shared" si="3"/>
        <v>0</v>
      </c>
      <c r="I16" s="121">
        <f t="shared" si="0"/>
        <v>4870.3</v>
      </c>
      <c r="J16" s="112">
        <f t="shared" si="0"/>
        <v>0</v>
      </c>
      <c r="K16" s="122">
        <f t="shared" si="1"/>
        <v>0</v>
      </c>
    </row>
    <row r="17" spans="1:11" ht="15">
      <c r="A17" s="118" t="s">
        <v>116</v>
      </c>
      <c r="B17" s="119" t="s">
        <v>117</v>
      </c>
      <c r="C17" s="111">
        <v>84149.9</v>
      </c>
      <c r="D17" s="111">
        <v>59029.8</v>
      </c>
      <c r="E17" s="111">
        <f t="shared" si="2"/>
        <v>70.14838995649431</v>
      </c>
      <c r="F17" s="120">
        <v>38201.6</v>
      </c>
      <c r="G17" s="120">
        <v>27806.4</v>
      </c>
      <c r="H17" s="120">
        <f t="shared" si="3"/>
        <v>72.78857430055287</v>
      </c>
      <c r="I17" s="121">
        <f>C17+F17-305.8-227.4</f>
        <v>121818.3</v>
      </c>
      <c r="J17" s="112">
        <f>D17+G17-305.8-155.8</f>
        <v>86374.6</v>
      </c>
      <c r="K17" s="122">
        <f t="shared" si="1"/>
        <v>70.90445360015696</v>
      </c>
    </row>
    <row r="18" spans="1:11" ht="15">
      <c r="A18" s="113" t="s">
        <v>118</v>
      </c>
      <c r="B18" s="114" t="s">
        <v>119</v>
      </c>
      <c r="C18" s="115">
        <f aca="true" t="shared" si="4" ref="C18:J18">C19</f>
        <v>4496</v>
      </c>
      <c r="D18" s="115">
        <f t="shared" si="4"/>
        <v>4496</v>
      </c>
      <c r="E18" s="115">
        <f t="shared" si="4"/>
        <v>100</v>
      </c>
      <c r="F18" s="115">
        <f t="shared" si="4"/>
        <v>4496</v>
      </c>
      <c r="G18" s="115">
        <f t="shared" si="4"/>
        <v>3557.9</v>
      </c>
      <c r="H18" s="124">
        <f t="shared" si="4"/>
        <v>79.13478647686833</v>
      </c>
      <c r="I18" s="115">
        <f t="shared" si="4"/>
        <v>4496</v>
      </c>
      <c r="J18" s="115">
        <f t="shared" si="4"/>
        <v>3557.8999999999996</v>
      </c>
      <c r="K18" s="125">
        <f t="shared" si="1"/>
        <v>79.13478647686833</v>
      </c>
    </row>
    <row r="19" spans="1:11" ht="15">
      <c r="A19" s="118" t="s">
        <v>120</v>
      </c>
      <c r="B19" s="119" t="s">
        <v>121</v>
      </c>
      <c r="C19" s="111">
        <v>4496</v>
      </c>
      <c r="D19" s="111">
        <v>4496</v>
      </c>
      <c r="E19" s="111">
        <f t="shared" si="2"/>
        <v>100</v>
      </c>
      <c r="F19" s="120">
        <v>4496</v>
      </c>
      <c r="G19" s="120">
        <v>3557.9</v>
      </c>
      <c r="H19" s="120">
        <f t="shared" si="3"/>
        <v>79.13478647686833</v>
      </c>
      <c r="I19" s="121">
        <f>C19+F19-4496</f>
        <v>4496</v>
      </c>
      <c r="J19" s="112">
        <f>D19+G19-4496</f>
        <v>3557.8999999999996</v>
      </c>
      <c r="K19" s="122">
        <f t="shared" si="1"/>
        <v>79.13478647686833</v>
      </c>
    </row>
    <row r="20" spans="1:11" ht="12.75">
      <c r="A20" s="211" t="s">
        <v>122</v>
      </c>
      <c r="B20" s="212" t="s">
        <v>123</v>
      </c>
      <c r="C20" s="203">
        <f>C23+C24+C22</f>
        <v>15335.699999999999</v>
      </c>
      <c r="D20" s="203">
        <f>D23+D24+D22</f>
        <v>4957.5</v>
      </c>
      <c r="E20" s="203">
        <f>D20/C20*100</f>
        <v>32.326532209159026</v>
      </c>
      <c r="F20" s="203">
        <f>F23+F24+F22</f>
        <v>11203.8</v>
      </c>
      <c r="G20" s="203">
        <f>G23+G24+G22</f>
        <v>7433.3</v>
      </c>
      <c r="H20" s="203">
        <f>G20/F20*100</f>
        <v>66.34623966868385</v>
      </c>
      <c r="I20" s="203">
        <f>I23+I24+I22</f>
        <v>25222</v>
      </c>
      <c r="J20" s="203">
        <f>SUM(J22:J24)</f>
        <v>11073.3</v>
      </c>
      <c r="K20" s="203">
        <f>J20/I20*100</f>
        <v>43.90333835540401</v>
      </c>
    </row>
    <row r="21" spans="1:11" ht="12.75">
      <c r="A21" s="211"/>
      <c r="B21" s="212"/>
      <c r="C21" s="203"/>
      <c r="D21" s="203"/>
      <c r="E21" s="203"/>
      <c r="F21" s="203"/>
      <c r="G21" s="203"/>
      <c r="H21" s="203"/>
      <c r="I21" s="203"/>
      <c r="J21" s="203"/>
      <c r="K21" s="203"/>
    </row>
    <row r="22" spans="1:11" ht="15">
      <c r="A22" s="123" t="s">
        <v>124</v>
      </c>
      <c r="B22" s="119" t="s">
        <v>125</v>
      </c>
      <c r="C22" s="111">
        <v>5013.9</v>
      </c>
      <c r="D22" s="111">
        <v>4000</v>
      </c>
      <c r="E22" s="111">
        <f aca="true" t="shared" si="5" ref="E22:E97">D22/C22*100</f>
        <v>79.77821655796885</v>
      </c>
      <c r="F22" s="120">
        <v>759</v>
      </c>
      <c r="G22" s="120">
        <v>590.1</v>
      </c>
      <c r="H22" s="120">
        <f>G22/F22*100</f>
        <v>77.74703557312253</v>
      </c>
      <c r="I22" s="121">
        <f>C22+F22-759</f>
        <v>5013.9</v>
      </c>
      <c r="J22" s="112">
        <f>D22+G22-759</f>
        <v>3831.1000000000004</v>
      </c>
      <c r="K22" s="122">
        <f>J22/I22*100</f>
        <v>76.40958136380863</v>
      </c>
    </row>
    <row r="23" spans="1:11" ht="15">
      <c r="A23" s="118" t="s">
        <v>126</v>
      </c>
      <c r="B23" s="119" t="s">
        <v>127</v>
      </c>
      <c r="C23" s="111">
        <v>5812.4</v>
      </c>
      <c r="D23" s="111">
        <v>651.7</v>
      </c>
      <c r="E23" s="111">
        <f t="shared" si="5"/>
        <v>11.212235909435002</v>
      </c>
      <c r="F23" s="120">
        <v>10344.8</v>
      </c>
      <c r="G23" s="120">
        <v>6843.2</v>
      </c>
      <c r="H23" s="120">
        <f>G23/F23*100</f>
        <v>66.15110973629264</v>
      </c>
      <c r="I23" s="121">
        <f>C23+F23-458.5</f>
        <v>15698.699999999999</v>
      </c>
      <c r="J23" s="112">
        <f>D23+G23-458.5</f>
        <v>7036.4</v>
      </c>
      <c r="K23" s="122">
        <f>J23/I23*100</f>
        <v>44.82154573308618</v>
      </c>
    </row>
    <row r="24" spans="1:11" ht="45">
      <c r="A24" s="123" t="s">
        <v>128</v>
      </c>
      <c r="B24" s="119" t="s">
        <v>129</v>
      </c>
      <c r="C24" s="111">
        <v>4509.4</v>
      </c>
      <c r="D24" s="111">
        <v>305.8</v>
      </c>
      <c r="E24" s="111">
        <f t="shared" si="5"/>
        <v>6.781389985363908</v>
      </c>
      <c r="F24" s="120">
        <v>100</v>
      </c>
      <c r="G24" s="120">
        <v>0</v>
      </c>
      <c r="H24" s="120">
        <v>0</v>
      </c>
      <c r="I24" s="121">
        <f>C24+F24-100</f>
        <v>4509.4</v>
      </c>
      <c r="J24" s="112">
        <f>D24+G24-100</f>
        <v>205.8</v>
      </c>
      <c r="K24" s="122">
        <f>J24/I24*100</f>
        <v>4.563800062092518</v>
      </c>
    </row>
    <row r="25" spans="1:11" ht="15">
      <c r="A25" s="113" t="s">
        <v>130</v>
      </c>
      <c r="B25" s="114" t="s">
        <v>131</v>
      </c>
      <c r="C25" s="115">
        <f>SUM(C26:C46)</f>
        <v>222564.6</v>
      </c>
      <c r="D25" s="115">
        <f>SUM(D26:D46)</f>
        <v>193530.89999999997</v>
      </c>
      <c r="E25" s="115">
        <f>D25/C25*100</f>
        <v>86.9549335339043</v>
      </c>
      <c r="F25" s="115">
        <f>SUM(F26:F46)</f>
        <v>99817</v>
      </c>
      <c r="G25" s="115">
        <f>SUM(G26:G46)</f>
        <v>76679.8</v>
      </c>
      <c r="H25" s="116">
        <f>G25/F25*100</f>
        <v>76.82038129777493</v>
      </c>
      <c r="I25" s="115">
        <f>SUM(I26:I46)</f>
        <v>257231.79999999996</v>
      </c>
      <c r="J25" s="115">
        <f>SUM(J26:J46)</f>
        <v>217051.8</v>
      </c>
      <c r="K25" s="117">
        <f t="shared" si="1"/>
        <v>84.37984728171246</v>
      </c>
    </row>
    <row r="26" spans="1:11" ht="45">
      <c r="A26" s="123" t="s">
        <v>132</v>
      </c>
      <c r="B26" s="126" t="s">
        <v>133</v>
      </c>
      <c r="C26" s="111">
        <v>15267.4</v>
      </c>
      <c r="D26" s="111">
        <v>13203.8</v>
      </c>
      <c r="E26" s="111">
        <f t="shared" si="5"/>
        <v>86.48361869080524</v>
      </c>
      <c r="F26" s="111">
        <v>13435.8</v>
      </c>
      <c r="G26" s="120">
        <v>12546.6</v>
      </c>
      <c r="H26" s="120">
        <f>G26/F26*100</f>
        <v>93.38186040280445</v>
      </c>
      <c r="I26" s="121">
        <f>C26+F26-10993.7</f>
        <v>17709.499999999996</v>
      </c>
      <c r="J26" s="121">
        <f>D26+G26-10993.7</f>
        <v>14756.7</v>
      </c>
      <c r="K26" s="122">
        <f t="shared" si="1"/>
        <v>83.32646319771875</v>
      </c>
    </row>
    <row r="27" spans="1:11" ht="15">
      <c r="A27" s="118" t="s">
        <v>134</v>
      </c>
      <c r="B27" s="119" t="s">
        <v>135</v>
      </c>
      <c r="C27" s="111">
        <v>54119.2</v>
      </c>
      <c r="D27" s="111">
        <v>51901.4</v>
      </c>
      <c r="E27" s="111">
        <f t="shared" si="5"/>
        <v>95.90200889887508</v>
      </c>
      <c r="F27" s="120">
        <v>0</v>
      </c>
      <c r="G27" s="120">
        <v>0</v>
      </c>
      <c r="H27" s="120">
        <v>0</v>
      </c>
      <c r="I27" s="121">
        <f t="shared" si="0"/>
        <v>54119.2</v>
      </c>
      <c r="J27" s="112">
        <f t="shared" si="0"/>
        <v>51901.4</v>
      </c>
      <c r="K27" s="122">
        <f t="shared" si="1"/>
        <v>95.90200889887508</v>
      </c>
    </row>
    <row r="28" spans="1:11" ht="15">
      <c r="A28" s="118" t="s">
        <v>136</v>
      </c>
      <c r="B28" s="119" t="s">
        <v>137</v>
      </c>
      <c r="C28" s="111">
        <v>12350</v>
      </c>
      <c r="D28" s="111">
        <v>10362.4</v>
      </c>
      <c r="E28" s="111">
        <f t="shared" si="5"/>
        <v>83.90607287449392</v>
      </c>
      <c r="F28" s="120">
        <v>0</v>
      </c>
      <c r="G28" s="120">
        <v>0</v>
      </c>
      <c r="H28" s="120">
        <v>0</v>
      </c>
      <c r="I28" s="121">
        <f t="shared" si="0"/>
        <v>12350</v>
      </c>
      <c r="J28" s="112">
        <f t="shared" si="0"/>
        <v>10362.4</v>
      </c>
      <c r="K28" s="122">
        <f t="shared" si="1"/>
        <v>83.90607287449392</v>
      </c>
    </row>
    <row r="29" spans="1:11" ht="15">
      <c r="A29" s="118" t="s">
        <v>136</v>
      </c>
      <c r="B29" s="119" t="s">
        <v>138</v>
      </c>
      <c r="C29" s="111">
        <v>17896</v>
      </c>
      <c r="D29" s="111">
        <v>17759.8</v>
      </c>
      <c r="E29" s="111">
        <f t="shared" si="5"/>
        <v>99.23893607510058</v>
      </c>
      <c r="F29" s="120">
        <v>12871.8</v>
      </c>
      <c r="G29" s="120">
        <v>9281.9</v>
      </c>
      <c r="H29" s="120">
        <f>G29/F29*100</f>
        <v>72.11034975683278</v>
      </c>
      <c r="I29" s="121">
        <f t="shared" si="0"/>
        <v>30767.8</v>
      </c>
      <c r="J29" s="112">
        <f t="shared" si="0"/>
        <v>27041.699999999997</v>
      </c>
      <c r="K29" s="122">
        <f t="shared" si="1"/>
        <v>87.88961186695181</v>
      </c>
    </row>
    <row r="30" spans="1:11" ht="15">
      <c r="A30" s="118" t="s">
        <v>136</v>
      </c>
      <c r="B30" s="119" t="s">
        <v>139</v>
      </c>
      <c r="C30" s="111">
        <v>8931</v>
      </c>
      <c r="D30" s="111">
        <v>8931</v>
      </c>
      <c r="E30" s="111">
        <f t="shared" si="5"/>
        <v>100</v>
      </c>
      <c r="F30" s="120">
        <v>0</v>
      </c>
      <c r="G30" s="120">
        <v>0</v>
      </c>
      <c r="H30" s="120">
        <v>0</v>
      </c>
      <c r="I30" s="121">
        <f>C30+F30</f>
        <v>8931</v>
      </c>
      <c r="J30" s="112">
        <f t="shared" si="0"/>
        <v>8931</v>
      </c>
      <c r="K30" s="122">
        <f t="shared" si="1"/>
        <v>100</v>
      </c>
    </row>
    <row r="31" spans="1:11" ht="75">
      <c r="A31" s="118" t="s">
        <v>136</v>
      </c>
      <c r="B31" s="119" t="s">
        <v>140</v>
      </c>
      <c r="C31" s="111">
        <v>18777.9</v>
      </c>
      <c r="D31" s="111">
        <v>11302.4</v>
      </c>
      <c r="E31" s="111">
        <f t="shared" si="5"/>
        <v>60.18990408938166</v>
      </c>
      <c r="F31" s="120">
        <v>14492.2</v>
      </c>
      <c r="G31" s="120">
        <v>7070.7</v>
      </c>
      <c r="H31" s="120">
        <f>G31/F31*100</f>
        <v>48.789693766301866</v>
      </c>
      <c r="I31" s="121">
        <f>C31+F31-14492.2</f>
        <v>18777.900000000005</v>
      </c>
      <c r="J31" s="112">
        <f>D31+G31-7070.7</f>
        <v>11302.399999999998</v>
      </c>
      <c r="K31" s="122">
        <f t="shared" si="1"/>
        <v>60.18990408938164</v>
      </c>
    </row>
    <row r="32" spans="1:11" ht="60">
      <c r="A32" s="118" t="s">
        <v>141</v>
      </c>
      <c r="B32" s="127" t="s">
        <v>142</v>
      </c>
      <c r="C32" s="111">
        <v>2471.8</v>
      </c>
      <c r="D32" s="111">
        <v>1609.2</v>
      </c>
      <c r="E32" s="111">
        <f t="shared" si="5"/>
        <v>65.10235455943038</v>
      </c>
      <c r="F32" s="120">
        <v>0</v>
      </c>
      <c r="G32" s="120">
        <v>0</v>
      </c>
      <c r="H32" s="120">
        <v>0</v>
      </c>
      <c r="I32" s="121">
        <f t="shared" si="0"/>
        <v>2471.8</v>
      </c>
      <c r="J32" s="112">
        <f t="shared" si="0"/>
        <v>1609.2</v>
      </c>
      <c r="K32" s="122">
        <f t="shared" si="1"/>
        <v>65.10235455943038</v>
      </c>
    </row>
    <row r="33" spans="1:11" ht="60">
      <c r="A33" s="123" t="s">
        <v>141</v>
      </c>
      <c r="B33" s="127" t="s">
        <v>143</v>
      </c>
      <c r="C33" s="111">
        <v>11660.9</v>
      </c>
      <c r="D33" s="111">
        <v>11623.2</v>
      </c>
      <c r="E33" s="111">
        <f t="shared" si="5"/>
        <v>99.67669733897041</v>
      </c>
      <c r="F33" s="120">
        <v>10981.8</v>
      </c>
      <c r="G33" s="120">
        <v>10180.3</v>
      </c>
      <c r="H33" s="120">
        <f aca="true" t="shared" si="6" ref="H33:H38">G33/F33*100</f>
        <v>92.70156076417345</v>
      </c>
      <c r="I33" s="121">
        <f>C33+F33-10981.8</f>
        <v>11660.899999999998</v>
      </c>
      <c r="J33" s="121">
        <f>D33+G33-10944.2</f>
        <v>10859.3</v>
      </c>
      <c r="K33" s="122">
        <f>J33/I33*100</f>
        <v>93.1257450111055</v>
      </c>
    </row>
    <row r="34" spans="1:11" ht="60">
      <c r="A34" s="123" t="s">
        <v>141</v>
      </c>
      <c r="B34" s="127" t="s">
        <v>144</v>
      </c>
      <c r="C34" s="111">
        <v>98.4</v>
      </c>
      <c r="D34" s="111">
        <v>98.4</v>
      </c>
      <c r="E34" s="111">
        <f t="shared" si="5"/>
        <v>100</v>
      </c>
      <c r="F34" s="120">
        <v>3515</v>
      </c>
      <c r="G34" s="120">
        <v>3473.8</v>
      </c>
      <c r="H34" s="120">
        <f t="shared" si="6"/>
        <v>98.82788051209104</v>
      </c>
      <c r="I34" s="121">
        <f>C34+F34</f>
        <v>3613.4</v>
      </c>
      <c r="J34" s="112">
        <f>D34+G34</f>
        <v>3572.2000000000003</v>
      </c>
      <c r="K34" s="122">
        <f>J34/I34*100</f>
        <v>98.85979963469309</v>
      </c>
    </row>
    <row r="35" spans="1:11" ht="120">
      <c r="A35" s="123" t="s">
        <v>141</v>
      </c>
      <c r="B35" s="119" t="s">
        <v>145</v>
      </c>
      <c r="C35" s="111">
        <v>2500</v>
      </c>
      <c r="D35" s="111">
        <v>1031.7</v>
      </c>
      <c r="E35" s="111">
        <f t="shared" si="5"/>
        <v>41.268</v>
      </c>
      <c r="F35" s="120">
        <v>2500</v>
      </c>
      <c r="G35" s="120">
        <v>1031.7</v>
      </c>
      <c r="H35" s="120">
        <f t="shared" si="6"/>
        <v>41.268</v>
      </c>
      <c r="I35" s="121">
        <f>C35+F35-2500</f>
        <v>2500</v>
      </c>
      <c r="J35" s="112">
        <f>D35+G35-1031.7</f>
        <v>1031.7</v>
      </c>
      <c r="K35" s="122">
        <f>J35/I35*100</f>
        <v>41.268</v>
      </c>
    </row>
    <row r="36" spans="1:11" ht="30">
      <c r="A36" s="123" t="s">
        <v>141</v>
      </c>
      <c r="B36" s="119" t="s">
        <v>146</v>
      </c>
      <c r="C36" s="111">
        <v>25182.1</v>
      </c>
      <c r="D36" s="111">
        <v>23118.6</v>
      </c>
      <c r="E36" s="111">
        <f t="shared" si="5"/>
        <v>91.80568737317381</v>
      </c>
      <c r="F36" s="120">
        <v>33979.2</v>
      </c>
      <c r="G36" s="120">
        <v>27598.1</v>
      </c>
      <c r="H36" s="120">
        <f t="shared" si="6"/>
        <v>81.22057023120026</v>
      </c>
      <c r="I36" s="121">
        <f>C36+F36-25182.1</f>
        <v>33979.2</v>
      </c>
      <c r="J36" s="112">
        <f>D36+G36-23118.6</f>
        <v>27598.1</v>
      </c>
      <c r="K36" s="122">
        <f>J36/I36*100</f>
        <v>81.22057023120026</v>
      </c>
    </row>
    <row r="37" spans="1:11" ht="15">
      <c r="A37" s="118" t="s">
        <v>147</v>
      </c>
      <c r="B37" s="119" t="s">
        <v>148</v>
      </c>
      <c r="C37" s="111">
        <v>6090.8</v>
      </c>
      <c r="D37" s="111">
        <v>4996.5</v>
      </c>
      <c r="E37" s="111">
        <f t="shared" si="5"/>
        <v>82.03355881000853</v>
      </c>
      <c r="F37" s="120">
        <v>4749.3</v>
      </c>
      <c r="G37" s="120">
        <v>4125.3</v>
      </c>
      <c r="H37" s="120">
        <f t="shared" si="6"/>
        <v>86.8612216537174</v>
      </c>
      <c r="I37" s="121">
        <f t="shared" si="0"/>
        <v>10840.1</v>
      </c>
      <c r="J37" s="121">
        <f t="shared" si="0"/>
        <v>9121.8</v>
      </c>
      <c r="K37" s="122">
        <f t="shared" si="1"/>
        <v>84.14867021521941</v>
      </c>
    </row>
    <row r="38" spans="1:11" ht="30">
      <c r="A38" s="118" t="s">
        <v>149</v>
      </c>
      <c r="B38" s="119" t="s">
        <v>150</v>
      </c>
      <c r="C38" s="111">
        <v>0</v>
      </c>
      <c r="D38" s="111">
        <v>0</v>
      </c>
      <c r="E38" s="111">
        <v>0</v>
      </c>
      <c r="F38" s="120">
        <v>2291.9</v>
      </c>
      <c r="G38" s="120">
        <v>1371.4</v>
      </c>
      <c r="H38" s="120">
        <f t="shared" si="6"/>
        <v>59.83681661503556</v>
      </c>
      <c r="I38" s="121">
        <f t="shared" si="0"/>
        <v>2291.9</v>
      </c>
      <c r="J38" s="112">
        <f t="shared" si="0"/>
        <v>1371.4</v>
      </c>
      <c r="K38" s="122">
        <f t="shared" si="1"/>
        <v>59.83681661503556</v>
      </c>
    </row>
    <row r="39" spans="1:11" ht="60">
      <c r="A39" s="118" t="s">
        <v>149</v>
      </c>
      <c r="B39" s="127" t="s">
        <v>151</v>
      </c>
      <c r="C39" s="128">
        <v>3120</v>
      </c>
      <c r="D39" s="111">
        <v>2766.9</v>
      </c>
      <c r="E39" s="111">
        <f t="shared" si="5"/>
        <v>88.6826923076923</v>
      </c>
      <c r="F39" s="120">
        <v>0</v>
      </c>
      <c r="G39" s="120">
        <v>0</v>
      </c>
      <c r="H39" s="120">
        <v>0</v>
      </c>
      <c r="I39" s="121">
        <f t="shared" si="0"/>
        <v>3120</v>
      </c>
      <c r="J39" s="112">
        <f t="shared" si="0"/>
        <v>2766.9</v>
      </c>
      <c r="K39" s="122">
        <f t="shared" si="1"/>
        <v>88.6826923076923</v>
      </c>
    </row>
    <row r="40" spans="1:11" ht="135">
      <c r="A40" s="123" t="s">
        <v>149</v>
      </c>
      <c r="B40" s="127" t="s">
        <v>152</v>
      </c>
      <c r="C40" s="128">
        <v>7701.7</v>
      </c>
      <c r="D40" s="111">
        <v>6077.1</v>
      </c>
      <c r="E40" s="111">
        <f t="shared" si="5"/>
        <v>78.90595582793411</v>
      </c>
      <c r="F40" s="120"/>
      <c r="G40" s="120"/>
      <c r="H40" s="120"/>
      <c r="I40" s="121">
        <f t="shared" si="0"/>
        <v>7701.7</v>
      </c>
      <c r="J40" s="112">
        <f t="shared" si="0"/>
        <v>6077.1</v>
      </c>
      <c r="K40" s="122">
        <f t="shared" si="1"/>
        <v>78.90595582793411</v>
      </c>
    </row>
    <row r="41" spans="1:11" ht="90">
      <c r="A41" s="123" t="s">
        <v>149</v>
      </c>
      <c r="B41" s="127" t="s">
        <v>153</v>
      </c>
      <c r="C41" s="128">
        <v>4208.3</v>
      </c>
      <c r="D41" s="111">
        <v>1274.4</v>
      </c>
      <c r="E41" s="111">
        <f t="shared" si="5"/>
        <v>30.28301214267044</v>
      </c>
      <c r="F41" s="120"/>
      <c r="G41" s="120"/>
      <c r="H41" s="120"/>
      <c r="I41" s="121">
        <f t="shared" si="0"/>
        <v>4208.3</v>
      </c>
      <c r="J41" s="112">
        <f t="shared" si="0"/>
        <v>1274.4</v>
      </c>
      <c r="K41" s="122">
        <f t="shared" si="1"/>
        <v>30.28301214267044</v>
      </c>
    </row>
    <row r="42" spans="1:11" ht="90">
      <c r="A42" s="118" t="s">
        <v>149</v>
      </c>
      <c r="B42" s="127" t="s">
        <v>154</v>
      </c>
      <c r="C42" s="128">
        <f>937+2800</f>
        <v>3737</v>
      </c>
      <c r="D42" s="111">
        <v>2711.1</v>
      </c>
      <c r="E42" s="111">
        <f t="shared" si="5"/>
        <v>72.54749799304254</v>
      </c>
      <c r="F42" s="120"/>
      <c r="G42" s="120"/>
      <c r="H42" s="120"/>
      <c r="I42" s="121">
        <f t="shared" si="0"/>
        <v>3737</v>
      </c>
      <c r="J42" s="112">
        <f t="shared" si="0"/>
        <v>2711.1</v>
      </c>
      <c r="K42" s="122">
        <f t="shared" si="1"/>
        <v>72.54749799304254</v>
      </c>
    </row>
    <row r="43" spans="1:11" ht="60">
      <c r="A43" s="118" t="s">
        <v>149</v>
      </c>
      <c r="B43" s="127" t="s">
        <v>155</v>
      </c>
      <c r="C43" s="128">
        <v>4500</v>
      </c>
      <c r="D43" s="120">
        <v>4303.8</v>
      </c>
      <c r="E43" s="111">
        <f t="shared" si="5"/>
        <v>95.64</v>
      </c>
      <c r="F43" s="120">
        <v>0</v>
      </c>
      <c r="G43" s="120">
        <v>0</v>
      </c>
      <c r="H43" s="120">
        <v>0</v>
      </c>
      <c r="I43" s="121">
        <f t="shared" si="0"/>
        <v>4500</v>
      </c>
      <c r="J43" s="112">
        <f t="shared" si="0"/>
        <v>4303.8</v>
      </c>
      <c r="K43" s="122">
        <f t="shared" si="1"/>
        <v>95.64</v>
      </c>
    </row>
    <row r="44" spans="1:11" ht="75">
      <c r="A44" s="123" t="s">
        <v>149</v>
      </c>
      <c r="B44" s="127" t="s">
        <v>156</v>
      </c>
      <c r="C44" s="128">
        <v>21538.7</v>
      </c>
      <c r="D44" s="120">
        <v>19341</v>
      </c>
      <c r="E44" s="111">
        <f t="shared" si="5"/>
        <v>89.7965058243998</v>
      </c>
      <c r="F44" s="120"/>
      <c r="G44" s="120"/>
      <c r="H44" s="120"/>
      <c r="I44" s="121">
        <f t="shared" si="0"/>
        <v>21538.7</v>
      </c>
      <c r="J44" s="112">
        <f t="shared" si="0"/>
        <v>19341</v>
      </c>
      <c r="K44" s="122">
        <f t="shared" si="1"/>
        <v>89.7965058243998</v>
      </c>
    </row>
    <row r="45" spans="1:11" ht="45">
      <c r="A45" s="123" t="s">
        <v>149</v>
      </c>
      <c r="B45" s="127" t="s">
        <v>157</v>
      </c>
      <c r="C45" s="128">
        <v>1413.4</v>
      </c>
      <c r="D45" s="120">
        <v>1118.2</v>
      </c>
      <c r="E45" s="111">
        <f t="shared" si="5"/>
        <v>79.11419272675818</v>
      </c>
      <c r="F45" s="120">
        <v>0</v>
      </c>
      <c r="G45" s="120">
        <v>0</v>
      </c>
      <c r="H45" s="120">
        <v>0</v>
      </c>
      <c r="I45" s="121">
        <f t="shared" si="0"/>
        <v>1413.4</v>
      </c>
      <c r="J45" s="112">
        <f t="shared" si="0"/>
        <v>1118.2</v>
      </c>
      <c r="K45" s="122">
        <f t="shared" si="1"/>
        <v>79.11419272675818</v>
      </c>
    </row>
    <row r="46" spans="1:11" ht="90">
      <c r="A46" s="123" t="s">
        <v>149</v>
      </c>
      <c r="B46" s="127" t="s">
        <v>158</v>
      </c>
      <c r="C46" s="128">
        <v>1000</v>
      </c>
      <c r="D46" s="120">
        <v>0</v>
      </c>
      <c r="E46" s="111">
        <f t="shared" si="5"/>
        <v>0</v>
      </c>
      <c r="F46" s="120">
        <v>1000</v>
      </c>
      <c r="G46" s="120">
        <v>0</v>
      </c>
      <c r="H46" s="120"/>
      <c r="I46" s="121">
        <f>C46+F46-1000</f>
        <v>1000</v>
      </c>
      <c r="J46" s="112">
        <f t="shared" si="0"/>
        <v>0</v>
      </c>
      <c r="K46" s="122">
        <f t="shared" si="1"/>
        <v>0</v>
      </c>
    </row>
    <row r="47" spans="1:11" ht="14.25">
      <c r="A47" s="113" t="s">
        <v>159</v>
      </c>
      <c r="B47" s="114" t="s">
        <v>160</v>
      </c>
      <c r="C47" s="129">
        <f>SUM(C48:C74)</f>
        <v>713968.1999999998</v>
      </c>
      <c r="D47" s="129">
        <f>SUM(D48:D74)</f>
        <v>438241.5</v>
      </c>
      <c r="E47" s="115">
        <f t="shared" si="5"/>
        <v>61.381095124404716</v>
      </c>
      <c r="F47" s="130">
        <f>SUM(F48:F74)</f>
        <v>205284.2</v>
      </c>
      <c r="G47" s="130">
        <f>SUM(G48:G74)</f>
        <v>141214.30000000002</v>
      </c>
      <c r="H47" s="130">
        <f>G47/F47*100</f>
        <v>68.78965843450202</v>
      </c>
      <c r="I47" s="129">
        <f>SUM(I48:I74)</f>
        <v>819753.8999999998</v>
      </c>
      <c r="J47" s="129">
        <f>SUM(J48:J74)</f>
        <v>521337.80000000005</v>
      </c>
      <c r="K47" s="117">
        <f t="shared" si="1"/>
        <v>63.596867303711534</v>
      </c>
    </row>
    <row r="48" spans="1:11" ht="15">
      <c r="A48" s="131" t="s">
        <v>161</v>
      </c>
      <c r="B48" s="132" t="s">
        <v>162</v>
      </c>
      <c r="C48" s="111">
        <v>664.2</v>
      </c>
      <c r="D48" s="111">
        <v>0</v>
      </c>
      <c r="E48" s="111">
        <f t="shared" si="5"/>
        <v>0</v>
      </c>
      <c r="F48" s="120">
        <v>27275.3</v>
      </c>
      <c r="G48" s="120">
        <v>20915.2</v>
      </c>
      <c r="H48" s="120">
        <f>G48/F48*100</f>
        <v>76.68183301375238</v>
      </c>
      <c r="I48" s="121">
        <f t="shared" si="0"/>
        <v>27939.5</v>
      </c>
      <c r="J48" s="112">
        <f t="shared" si="0"/>
        <v>20915.2</v>
      </c>
      <c r="K48" s="122">
        <f t="shared" si="1"/>
        <v>74.85889153349201</v>
      </c>
    </row>
    <row r="49" spans="1:11" ht="90">
      <c r="A49" s="118" t="s">
        <v>161</v>
      </c>
      <c r="B49" s="119" t="s">
        <v>163</v>
      </c>
      <c r="C49" s="111">
        <v>483652.3</v>
      </c>
      <c r="D49" s="111">
        <v>293652.3</v>
      </c>
      <c r="E49" s="111">
        <f t="shared" si="5"/>
        <v>60.715580180224514</v>
      </c>
      <c r="F49" s="120">
        <v>0</v>
      </c>
      <c r="G49" s="120">
        <v>0</v>
      </c>
      <c r="H49" s="120">
        <v>0</v>
      </c>
      <c r="I49" s="121">
        <f t="shared" si="0"/>
        <v>483652.3</v>
      </c>
      <c r="J49" s="112">
        <f t="shared" si="0"/>
        <v>293652.3</v>
      </c>
      <c r="K49" s="122">
        <f t="shared" si="1"/>
        <v>60.715580180224514</v>
      </c>
    </row>
    <row r="50" spans="1:11" ht="120">
      <c r="A50" s="123" t="s">
        <v>161</v>
      </c>
      <c r="B50" s="119" t="s">
        <v>164</v>
      </c>
      <c r="C50" s="111">
        <v>2115.3</v>
      </c>
      <c r="D50" s="111">
        <v>2115.3</v>
      </c>
      <c r="E50" s="111">
        <f t="shared" si="5"/>
        <v>100</v>
      </c>
      <c r="F50" s="120"/>
      <c r="G50" s="120"/>
      <c r="H50" s="120"/>
      <c r="I50" s="121">
        <f t="shared" si="0"/>
        <v>2115.3</v>
      </c>
      <c r="J50" s="112">
        <f t="shared" si="0"/>
        <v>2115.3</v>
      </c>
      <c r="K50" s="122">
        <f t="shared" si="1"/>
        <v>100</v>
      </c>
    </row>
    <row r="51" spans="1:11" ht="45">
      <c r="A51" s="123" t="s">
        <v>161</v>
      </c>
      <c r="B51" s="119" t="s">
        <v>165</v>
      </c>
      <c r="C51" s="111">
        <v>1580.8</v>
      </c>
      <c r="D51" s="111">
        <v>1071.3</v>
      </c>
      <c r="E51" s="111">
        <f t="shared" si="5"/>
        <v>67.76948380566802</v>
      </c>
      <c r="F51" s="120">
        <v>6927.2</v>
      </c>
      <c r="G51" s="120">
        <v>6839.6</v>
      </c>
      <c r="H51" s="120">
        <f>G51/F51*100</f>
        <v>98.73541979443354</v>
      </c>
      <c r="I51" s="121">
        <f t="shared" si="0"/>
        <v>8508</v>
      </c>
      <c r="J51" s="121">
        <f t="shared" si="0"/>
        <v>7910.900000000001</v>
      </c>
      <c r="K51" s="122">
        <f t="shared" si="1"/>
        <v>92.98189938881055</v>
      </c>
    </row>
    <row r="52" spans="1:11" ht="150">
      <c r="A52" s="118" t="s">
        <v>166</v>
      </c>
      <c r="B52" s="119" t="s">
        <v>167</v>
      </c>
      <c r="C52" s="111">
        <v>9423</v>
      </c>
      <c r="D52" s="111">
        <v>8918</v>
      </c>
      <c r="E52" s="111">
        <f t="shared" si="5"/>
        <v>94.64077257773533</v>
      </c>
      <c r="F52" s="120"/>
      <c r="G52" s="120"/>
      <c r="H52" s="120"/>
      <c r="I52" s="121">
        <f t="shared" si="0"/>
        <v>9423</v>
      </c>
      <c r="J52" s="121">
        <f t="shared" si="0"/>
        <v>8918</v>
      </c>
      <c r="K52" s="122">
        <f t="shared" si="1"/>
        <v>94.64077257773533</v>
      </c>
    </row>
    <row r="53" spans="1:11" ht="135">
      <c r="A53" s="118" t="s">
        <v>166</v>
      </c>
      <c r="B53" s="119" t="s">
        <v>168</v>
      </c>
      <c r="C53" s="111">
        <v>9923</v>
      </c>
      <c r="D53" s="133">
        <v>9429.5</v>
      </c>
      <c r="E53" s="111">
        <f t="shared" si="5"/>
        <v>95.026705633377</v>
      </c>
      <c r="F53" s="120"/>
      <c r="G53" s="120"/>
      <c r="H53" s="120"/>
      <c r="I53" s="121">
        <f t="shared" si="0"/>
        <v>9923</v>
      </c>
      <c r="J53" s="121">
        <f t="shared" si="0"/>
        <v>9429.5</v>
      </c>
      <c r="K53" s="122">
        <f t="shared" si="1"/>
        <v>95.026705633377</v>
      </c>
    </row>
    <row r="54" spans="1:11" ht="204">
      <c r="A54" s="118" t="s">
        <v>166</v>
      </c>
      <c r="B54" s="134" t="s">
        <v>169</v>
      </c>
      <c r="C54" s="111">
        <v>5448.4</v>
      </c>
      <c r="D54" s="133">
        <v>3371</v>
      </c>
      <c r="E54" s="111">
        <f>D54/C54*100</f>
        <v>61.87137508259306</v>
      </c>
      <c r="F54" s="120"/>
      <c r="G54" s="120"/>
      <c r="H54" s="120"/>
      <c r="I54" s="121">
        <f t="shared" si="0"/>
        <v>5448.4</v>
      </c>
      <c r="J54" s="121">
        <f t="shared" si="0"/>
        <v>3371</v>
      </c>
      <c r="K54" s="122">
        <f>J54/I54*100</f>
        <v>61.87137508259306</v>
      </c>
    </row>
    <row r="55" spans="1:11" ht="204">
      <c r="A55" s="118" t="s">
        <v>166</v>
      </c>
      <c r="B55" s="134" t="s">
        <v>170</v>
      </c>
      <c r="C55" s="111">
        <v>3632.3</v>
      </c>
      <c r="D55" s="133">
        <v>1998.2</v>
      </c>
      <c r="E55" s="111">
        <f>D55/C55*100</f>
        <v>55.0119758830493</v>
      </c>
      <c r="F55" s="120"/>
      <c r="G55" s="120"/>
      <c r="H55" s="120"/>
      <c r="I55" s="121">
        <f t="shared" si="0"/>
        <v>3632.3</v>
      </c>
      <c r="J55" s="121">
        <f t="shared" si="0"/>
        <v>1998.2</v>
      </c>
      <c r="K55" s="122">
        <f>J55/I55*100</f>
        <v>55.0119758830493</v>
      </c>
    </row>
    <row r="56" spans="1:11" ht="191.25">
      <c r="A56" s="118" t="s">
        <v>166</v>
      </c>
      <c r="B56" s="134" t="s">
        <v>171</v>
      </c>
      <c r="C56" s="111">
        <v>39664.4</v>
      </c>
      <c r="D56" s="133">
        <v>30337.5</v>
      </c>
      <c r="E56" s="111">
        <f>D56/C56*100</f>
        <v>76.48546303486249</v>
      </c>
      <c r="F56" s="120"/>
      <c r="G56" s="120"/>
      <c r="H56" s="120"/>
      <c r="I56" s="121">
        <f t="shared" si="0"/>
        <v>39664.4</v>
      </c>
      <c r="J56" s="121">
        <f t="shared" si="0"/>
        <v>30337.5</v>
      </c>
      <c r="K56" s="122">
        <f>J56/I56*100</f>
        <v>76.48546303486249</v>
      </c>
    </row>
    <row r="57" spans="1:11" ht="180">
      <c r="A57" s="123" t="s">
        <v>166</v>
      </c>
      <c r="B57" s="127" t="s">
        <v>172</v>
      </c>
      <c r="C57" s="111">
        <v>120866.4</v>
      </c>
      <c r="D57" s="133">
        <v>57229.2</v>
      </c>
      <c r="E57" s="111">
        <f t="shared" si="5"/>
        <v>47.34913921486864</v>
      </c>
      <c r="F57" s="120">
        <v>77855.8</v>
      </c>
      <c r="G57" s="120">
        <v>34210.2</v>
      </c>
      <c r="H57" s="120">
        <f>G57/F57*100</f>
        <v>43.94046429424654</v>
      </c>
      <c r="I57" s="121">
        <f>C57+F57-75824.4</f>
        <v>122897.80000000002</v>
      </c>
      <c r="J57" s="121">
        <f>D57+G57-34806.7</f>
        <v>56632.7</v>
      </c>
      <c r="K57" s="122">
        <f t="shared" si="1"/>
        <v>46.08113408051241</v>
      </c>
    </row>
    <row r="58" spans="1:11" ht="150">
      <c r="A58" s="123" t="s">
        <v>166</v>
      </c>
      <c r="B58" s="127" t="s">
        <v>173</v>
      </c>
      <c r="C58" s="111">
        <v>2769.9</v>
      </c>
      <c r="D58" s="133">
        <v>1589.9</v>
      </c>
      <c r="E58" s="111">
        <f t="shared" si="5"/>
        <v>57.39918408606809</v>
      </c>
      <c r="F58" s="120"/>
      <c r="G58" s="120"/>
      <c r="H58" s="120"/>
      <c r="I58" s="121">
        <f>C58+F58</f>
        <v>2769.9</v>
      </c>
      <c r="J58" s="121">
        <f t="shared" si="0"/>
        <v>1589.9</v>
      </c>
      <c r="K58" s="122">
        <f t="shared" si="1"/>
        <v>57.39918408606809</v>
      </c>
    </row>
    <row r="59" spans="1:11" ht="90">
      <c r="A59" s="123" t="s">
        <v>166</v>
      </c>
      <c r="B59" s="127" t="s">
        <v>174</v>
      </c>
      <c r="C59" s="111">
        <v>264.6</v>
      </c>
      <c r="D59" s="133">
        <v>261.8</v>
      </c>
      <c r="E59" s="111">
        <f t="shared" si="5"/>
        <v>98.94179894179894</v>
      </c>
      <c r="F59" s="120">
        <v>38.2</v>
      </c>
      <c r="G59" s="120"/>
      <c r="H59" s="120"/>
      <c r="I59" s="121">
        <f>C59+F59-261.8</f>
        <v>41</v>
      </c>
      <c r="J59" s="121">
        <f>D59+G59-261.8</f>
        <v>0</v>
      </c>
      <c r="K59" s="122">
        <f t="shared" si="1"/>
        <v>0</v>
      </c>
    </row>
    <row r="60" spans="1:11" ht="45">
      <c r="A60" s="123" t="s">
        <v>166</v>
      </c>
      <c r="B60" s="119" t="s">
        <v>175</v>
      </c>
      <c r="C60" s="111">
        <v>2652</v>
      </c>
      <c r="D60" s="133">
        <v>2652</v>
      </c>
      <c r="E60" s="111">
        <f t="shared" si="5"/>
        <v>100</v>
      </c>
      <c r="F60" s="120"/>
      <c r="G60" s="120"/>
      <c r="H60" s="120"/>
      <c r="I60" s="121">
        <f>C60+F60</f>
        <v>2652</v>
      </c>
      <c r="J60" s="121">
        <f t="shared" si="0"/>
        <v>2652</v>
      </c>
      <c r="K60" s="122">
        <f t="shared" si="1"/>
        <v>100</v>
      </c>
    </row>
    <row r="61" spans="1:11" ht="30">
      <c r="A61" s="123" t="s">
        <v>166</v>
      </c>
      <c r="B61" s="119" t="s">
        <v>176</v>
      </c>
      <c r="C61" s="111"/>
      <c r="D61" s="133"/>
      <c r="E61" s="111"/>
      <c r="F61" s="120">
        <v>8151.2</v>
      </c>
      <c r="G61" s="120">
        <v>7197.3</v>
      </c>
      <c r="H61" s="120">
        <f>G61/F61*100</f>
        <v>88.29742859947002</v>
      </c>
      <c r="I61" s="121">
        <f>C61+F61</f>
        <v>8151.2</v>
      </c>
      <c r="J61" s="121">
        <f t="shared" si="0"/>
        <v>7197.3</v>
      </c>
      <c r="K61" s="122">
        <f t="shared" si="1"/>
        <v>88.29742859947002</v>
      </c>
    </row>
    <row r="62" spans="1:11" ht="60">
      <c r="A62" s="123" t="s">
        <v>166</v>
      </c>
      <c r="B62" s="127" t="s">
        <v>177</v>
      </c>
      <c r="C62" s="111">
        <v>3686</v>
      </c>
      <c r="D62" s="133">
        <v>3295.3</v>
      </c>
      <c r="E62" s="111">
        <f t="shared" si="5"/>
        <v>89.40043407487792</v>
      </c>
      <c r="F62" s="120"/>
      <c r="G62" s="120"/>
      <c r="H62" s="120"/>
      <c r="I62" s="121">
        <f>C62+F62</f>
        <v>3686</v>
      </c>
      <c r="J62" s="121">
        <f t="shared" si="0"/>
        <v>3295.3</v>
      </c>
      <c r="K62" s="122">
        <f t="shared" si="1"/>
        <v>89.40043407487792</v>
      </c>
    </row>
    <row r="63" spans="1:11" ht="105">
      <c r="A63" s="123" t="s">
        <v>166</v>
      </c>
      <c r="B63" s="127" t="s">
        <v>178</v>
      </c>
      <c r="C63" s="111">
        <v>6080.2</v>
      </c>
      <c r="D63" s="133">
        <v>6080.2</v>
      </c>
      <c r="E63" s="111">
        <f t="shared" si="5"/>
        <v>100</v>
      </c>
      <c r="F63" s="120"/>
      <c r="G63" s="120"/>
      <c r="H63" s="120"/>
      <c r="I63" s="121">
        <f>C63+F63</f>
        <v>6080.2</v>
      </c>
      <c r="J63" s="121">
        <f t="shared" si="0"/>
        <v>6080.2</v>
      </c>
      <c r="K63" s="122">
        <f t="shared" si="1"/>
        <v>100</v>
      </c>
    </row>
    <row r="64" spans="1:11" ht="75">
      <c r="A64" s="123" t="s">
        <v>166</v>
      </c>
      <c r="B64" s="127" t="s">
        <v>179</v>
      </c>
      <c r="C64" s="111"/>
      <c r="D64" s="133"/>
      <c r="E64" s="111"/>
      <c r="F64" s="120">
        <v>14216.2</v>
      </c>
      <c r="G64" s="120">
        <v>14216.3</v>
      </c>
      <c r="H64" s="120">
        <f aca="true" t="shared" si="7" ref="H64:H73">G64/F64*100</f>
        <v>100.00070342285561</v>
      </c>
      <c r="I64" s="121">
        <f t="shared" si="0"/>
        <v>14216.2</v>
      </c>
      <c r="J64" s="121">
        <f t="shared" si="0"/>
        <v>14216.3</v>
      </c>
      <c r="K64" s="122">
        <f t="shared" si="1"/>
        <v>100.00070342285561</v>
      </c>
    </row>
    <row r="65" spans="1:11" ht="45">
      <c r="A65" s="123" t="s">
        <v>166</v>
      </c>
      <c r="B65" s="127" t="s">
        <v>180</v>
      </c>
      <c r="C65" s="111"/>
      <c r="D65" s="133"/>
      <c r="E65" s="111"/>
      <c r="F65" s="120">
        <v>0</v>
      </c>
      <c r="G65" s="120">
        <v>0</v>
      </c>
      <c r="H65" s="120">
        <v>0</v>
      </c>
      <c r="I65" s="121">
        <f t="shared" si="0"/>
        <v>0</v>
      </c>
      <c r="J65" s="121">
        <f t="shared" si="0"/>
        <v>0</v>
      </c>
      <c r="K65" s="122">
        <v>0</v>
      </c>
    </row>
    <row r="66" spans="1:11" ht="30">
      <c r="A66" s="123" t="s">
        <v>166</v>
      </c>
      <c r="B66" s="127" t="s">
        <v>181</v>
      </c>
      <c r="C66" s="111"/>
      <c r="D66" s="133"/>
      <c r="E66" s="111"/>
      <c r="F66" s="120">
        <v>4493.6</v>
      </c>
      <c r="G66" s="120">
        <v>4310</v>
      </c>
      <c r="H66" s="120">
        <f t="shared" si="7"/>
        <v>95.91418906889798</v>
      </c>
      <c r="I66" s="121">
        <f t="shared" si="0"/>
        <v>4493.6</v>
      </c>
      <c r="J66" s="121">
        <f t="shared" si="0"/>
        <v>4310</v>
      </c>
      <c r="K66" s="122">
        <f t="shared" si="1"/>
        <v>95.91418906889798</v>
      </c>
    </row>
    <row r="67" spans="1:11" ht="75">
      <c r="A67" s="123" t="s">
        <v>166</v>
      </c>
      <c r="B67" s="127" t="s">
        <v>182</v>
      </c>
      <c r="C67" s="111"/>
      <c r="D67" s="133"/>
      <c r="E67" s="111"/>
      <c r="F67" s="120">
        <v>15432.6</v>
      </c>
      <c r="G67" s="120">
        <v>15432.6</v>
      </c>
      <c r="H67" s="120">
        <f t="shared" si="7"/>
        <v>100</v>
      </c>
      <c r="I67" s="121">
        <f>C67+F67-15432.6</f>
        <v>0</v>
      </c>
      <c r="J67" s="121">
        <f>D67+G67-15432.6</f>
        <v>0</v>
      </c>
      <c r="K67" s="122"/>
    </row>
    <row r="68" spans="1:11" ht="60">
      <c r="A68" s="123" t="s">
        <v>183</v>
      </c>
      <c r="B68" s="127" t="s">
        <v>184</v>
      </c>
      <c r="C68" s="111">
        <v>16288.6</v>
      </c>
      <c r="D68" s="133">
        <v>11392.5</v>
      </c>
      <c r="E68" s="111">
        <f>D68/C68*100</f>
        <v>69.94155421583193</v>
      </c>
      <c r="F68" s="120">
        <v>2978.5</v>
      </c>
      <c r="G68" s="120">
        <v>2801.6</v>
      </c>
      <c r="H68" s="120">
        <f t="shared" si="7"/>
        <v>94.06076884337755</v>
      </c>
      <c r="I68" s="121">
        <f>C68+F68-2978.5</f>
        <v>16288.599999999999</v>
      </c>
      <c r="J68" s="121">
        <f>D68+G68-2819</f>
        <v>11375.1</v>
      </c>
      <c r="K68" s="122">
        <f t="shared" si="1"/>
        <v>69.8347310388861</v>
      </c>
    </row>
    <row r="69" spans="1:11" ht="45">
      <c r="A69" s="123" t="s">
        <v>183</v>
      </c>
      <c r="B69" s="127" t="s">
        <v>185</v>
      </c>
      <c r="C69" s="111">
        <v>3501.2</v>
      </c>
      <c r="D69" s="133">
        <v>3501.2</v>
      </c>
      <c r="E69" s="111">
        <f>D69/C69*100</f>
        <v>100</v>
      </c>
      <c r="F69" s="120">
        <v>3501.2</v>
      </c>
      <c r="G69" s="120">
        <v>3049.9</v>
      </c>
      <c r="H69" s="120">
        <f t="shared" si="7"/>
        <v>87.11013366845654</v>
      </c>
      <c r="I69" s="121">
        <f>C69+F69-3501.2</f>
        <v>3501.2</v>
      </c>
      <c r="J69" s="121">
        <f>D69+G69-3501.2</f>
        <v>3049.9000000000005</v>
      </c>
      <c r="K69" s="122">
        <f t="shared" si="1"/>
        <v>87.11013366845654</v>
      </c>
    </row>
    <row r="70" spans="1:11" ht="60">
      <c r="A70" s="123" t="s">
        <v>183</v>
      </c>
      <c r="B70" s="127" t="s">
        <v>186</v>
      </c>
      <c r="C70" s="111">
        <v>200</v>
      </c>
      <c r="D70" s="133">
        <v>0</v>
      </c>
      <c r="E70" s="111">
        <f>D70/C70*100</f>
        <v>0</v>
      </c>
      <c r="F70" s="120"/>
      <c r="G70" s="120"/>
      <c r="H70" s="120"/>
      <c r="I70" s="121">
        <f t="shared" si="0"/>
        <v>200</v>
      </c>
      <c r="J70" s="112">
        <f t="shared" si="0"/>
        <v>0</v>
      </c>
      <c r="K70" s="122">
        <f t="shared" si="1"/>
        <v>0</v>
      </c>
    </row>
    <row r="71" spans="1:11" ht="90">
      <c r="A71" s="123" t="s">
        <v>183</v>
      </c>
      <c r="B71" s="119" t="s">
        <v>187</v>
      </c>
      <c r="C71" s="111">
        <v>1500</v>
      </c>
      <c r="D71" s="111">
        <v>1290.7</v>
      </c>
      <c r="E71" s="111">
        <f t="shared" si="5"/>
        <v>86.04666666666667</v>
      </c>
      <c r="F71" s="111">
        <v>1500</v>
      </c>
      <c r="G71" s="120">
        <v>970</v>
      </c>
      <c r="H71" s="120">
        <f t="shared" si="7"/>
        <v>64.66666666666666</v>
      </c>
      <c r="I71" s="121">
        <f>C71+F71-1500</f>
        <v>1500</v>
      </c>
      <c r="J71" s="121">
        <f>D71+G71-1296.7</f>
        <v>963.9999999999998</v>
      </c>
      <c r="K71" s="122">
        <f t="shared" si="1"/>
        <v>64.26666666666665</v>
      </c>
    </row>
    <row r="72" spans="1:11" ht="75">
      <c r="A72" s="123" t="s">
        <v>183</v>
      </c>
      <c r="B72" s="119" t="s">
        <v>188</v>
      </c>
      <c r="C72" s="111"/>
      <c r="D72" s="111"/>
      <c r="E72" s="111"/>
      <c r="F72" s="111">
        <v>2960.7</v>
      </c>
      <c r="G72" s="120">
        <v>2893.7</v>
      </c>
      <c r="H72" s="120">
        <f t="shared" si="7"/>
        <v>97.7370216502854</v>
      </c>
      <c r="I72" s="121">
        <f aca="true" t="shared" si="8" ref="I72:J74">C72+F72</f>
        <v>2960.7</v>
      </c>
      <c r="J72" s="112">
        <f t="shared" si="8"/>
        <v>2893.7</v>
      </c>
      <c r="K72" s="122">
        <f t="shared" si="1"/>
        <v>97.7370216502854</v>
      </c>
    </row>
    <row r="73" spans="1:11" ht="15">
      <c r="A73" s="118" t="s">
        <v>183</v>
      </c>
      <c r="B73" s="119" t="s">
        <v>189</v>
      </c>
      <c r="C73" s="111">
        <v>0</v>
      </c>
      <c r="D73" s="111">
        <v>0</v>
      </c>
      <c r="E73" s="111">
        <v>0</v>
      </c>
      <c r="F73" s="111">
        <v>39953.7</v>
      </c>
      <c r="G73" s="120">
        <v>28377.9</v>
      </c>
      <c r="H73" s="120">
        <f t="shared" si="7"/>
        <v>71.02696371049491</v>
      </c>
      <c r="I73" s="121">
        <f t="shared" si="8"/>
        <v>39953.7</v>
      </c>
      <c r="J73" s="112">
        <f t="shared" si="8"/>
        <v>28377.9</v>
      </c>
      <c r="K73" s="122">
        <f t="shared" si="1"/>
        <v>71.02696371049491</v>
      </c>
    </row>
    <row r="74" spans="1:11" ht="30">
      <c r="A74" s="123" t="s">
        <v>190</v>
      </c>
      <c r="B74" s="119" t="s">
        <v>191</v>
      </c>
      <c r="C74" s="111">
        <v>55.6</v>
      </c>
      <c r="D74" s="111">
        <v>55.6</v>
      </c>
      <c r="E74" s="111">
        <f>D74/C74*100</f>
        <v>100</v>
      </c>
      <c r="F74" s="111">
        <v>0</v>
      </c>
      <c r="G74" s="120">
        <v>0</v>
      </c>
      <c r="H74" s="120">
        <v>0</v>
      </c>
      <c r="I74" s="121">
        <f t="shared" si="8"/>
        <v>55.6</v>
      </c>
      <c r="J74" s="112">
        <f t="shared" si="8"/>
        <v>55.6</v>
      </c>
      <c r="K74" s="122">
        <f t="shared" si="1"/>
        <v>100</v>
      </c>
    </row>
    <row r="75" spans="1:11" ht="15">
      <c r="A75" s="113" t="s">
        <v>192</v>
      </c>
      <c r="B75" s="114" t="s">
        <v>193</v>
      </c>
      <c r="C75" s="115">
        <f>SUM(C76:C82)</f>
        <v>2004285.0999999999</v>
      </c>
      <c r="D75" s="115">
        <f>SUM(D76:D82)</f>
        <v>1732813.9</v>
      </c>
      <c r="E75" s="115">
        <f>D75/C75*100</f>
        <v>86.45545985448877</v>
      </c>
      <c r="F75" s="130">
        <f>F76+F78+F79+F81+F82</f>
        <v>0</v>
      </c>
      <c r="G75" s="130">
        <f>SUM(G76:G82)</f>
        <v>0</v>
      </c>
      <c r="H75" s="116">
        <v>0</v>
      </c>
      <c r="I75" s="115">
        <f>SUM(I76:I82)</f>
        <v>2004285.0999999999</v>
      </c>
      <c r="J75" s="115">
        <f>SUM(J76:J82)</f>
        <v>1732813.9</v>
      </c>
      <c r="K75" s="117">
        <f t="shared" si="1"/>
        <v>86.45545985448877</v>
      </c>
    </row>
    <row r="76" spans="1:11" ht="15">
      <c r="A76" s="118" t="s">
        <v>194</v>
      </c>
      <c r="B76" s="119" t="s">
        <v>195</v>
      </c>
      <c r="C76" s="111">
        <f>522341.1-C77</f>
        <v>356554.6</v>
      </c>
      <c r="D76" s="111">
        <f>480993.6-D77</f>
        <v>341550.3</v>
      </c>
      <c r="E76" s="111">
        <f t="shared" si="5"/>
        <v>95.79186469617838</v>
      </c>
      <c r="F76" s="120">
        <v>0</v>
      </c>
      <c r="G76" s="120">
        <v>0</v>
      </c>
      <c r="H76" s="120">
        <v>0</v>
      </c>
      <c r="I76" s="121">
        <f t="shared" si="0"/>
        <v>356554.6</v>
      </c>
      <c r="J76" s="112">
        <f t="shared" si="0"/>
        <v>341550.3</v>
      </c>
      <c r="K76" s="122">
        <f t="shared" si="1"/>
        <v>95.79186469617838</v>
      </c>
    </row>
    <row r="77" spans="1:11" ht="120">
      <c r="A77" s="118" t="s">
        <v>194</v>
      </c>
      <c r="B77" s="119" t="s">
        <v>196</v>
      </c>
      <c r="C77" s="111">
        <v>165786.5</v>
      </c>
      <c r="D77" s="111">
        <v>139443.3</v>
      </c>
      <c r="E77" s="111">
        <f t="shared" si="5"/>
        <v>84.11016578551329</v>
      </c>
      <c r="F77" s="120"/>
      <c r="G77" s="120"/>
      <c r="H77" s="120"/>
      <c r="I77" s="121">
        <f t="shared" si="0"/>
        <v>165786.5</v>
      </c>
      <c r="J77" s="112">
        <f t="shared" si="0"/>
        <v>139443.3</v>
      </c>
      <c r="K77" s="122">
        <f t="shared" si="1"/>
        <v>84.11016578551329</v>
      </c>
    </row>
    <row r="78" spans="1:11" ht="15">
      <c r="A78" s="118" t="s">
        <v>197</v>
      </c>
      <c r="B78" s="119" t="s">
        <v>198</v>
      </c>
      <c r="C78" s="111">
        <f>1411788.7-C79-C80</f>
        <v>1151772.8</v>
      </c>
      <c r="D78" s="111">
        <f>1185585.7-D79-D80</f>
        <v>963043.7999999998</v>
      </c>
      <c r="E78" s="111">
        <f t="shared" si="5"/>
        <v>83.61404263062991</v>
      </c>
      <c r="F78" s="120">
        <v>0</v>
      </c>
      <c r="G78" s="120">
        <v>0</v>
      </c>
      <c r="H78" s="120">
        <v>0</v>
      </c>
      <c r="I78" s="121">
        <f t="shared" si="0"/>
        <v>1151772.8</v>
      </c>
      <c r="J78" s="112">
        <f t="shared" si="0"/>
        <v>963043.7999999998</v>
      </c>
      <c r="K78" s="122">
        <f t="shared" si="1"/>
        <v>83.61404263062991</v>
      </c>
    </row>
    <row r="79" spans="1:11" ht="15">
      <c r="A79" s="118" t="s">
        <v>197</v>
      </c>
      <c r="B79" s="119" t="s">
        <v>199</v>
      </c>
      <c r="C79" s="111">
        <v>44764.2</v>
      </c>
      <c r="D79" s="111">
        <v>34608.6</v>
      </c>
      <c r="E79" s="111">
        <f t="shared" si="5"/>
        <v>77.31312075274438</v>
      </c>
      <c r="F79" s="120">
        <v>0</v>
      </c>
      <c r="G79" s="120">
        <v>0</v>
      </c>
      <c r="H79" s="120">
        <v>0</v>
      </c>
      <c r="I79" s="121">
        <f t="shared" si="0"/>
        <v>44764.2</v>
      </c>
      <c r="J79" s="112">
        <f t="shared" si="0"/>
        <v>34608.6</v>
      </c>
      <c r="K79" s="122">
        <f t="shared" si="1"/>
        <v>77.31312075274438</v>
      </c>
    </row>
    <row r="80" spans="1:11" ht="120">
      <c r="A80" s="118" t="s">
        <v>197</v>
      </c>
      <c r="B80" s="119" t="s">
        <v>196</v>
      </c>
      <c r="C80" s="111">
        <v>215251.7</v>
      </c>
      <c r="D80" s="111">
        <v>187933.3</v>
      </c>
      <c r="E80" s="111">
        <f t="shared" si="5"/>
        <v>87.30862520481834</v>
      </c>
      <c r="F80" s="120">
        <v>0</v>
      </c>
      <c r="G80" s="120">
        <v>0</v>
      </c>
      <c r="H80" s="120">
        <v>0</v>
      </c>
      <c r="I80" s="121">
        <f t="shared" si="0"/>
        <v>215251.7</v>
      </c>
      <c r="J80" s="112">
        <f t="shared" si="0"/>
        <v>187933.3</v>
      </c>
      <c r="K80" s="122">
        <f t="shared" si="1"/>
        <v>87.30862520481834</v>
      </c>
    </row>
    <row r="81" spans="1:11" ht="15">
      <c r="A81" s="118" t="s">
        <v>200</v>
      </c>
      <c r="B81" s="119" t="s">
        <v>201</v>
      </c>
      <c r="C81" s="111">
        <v>22020.3</v>
      </c>
      <c r="D81" s="111">
        <v>21650.9</v>
      </c>
      <c r="E81" s="111">
        <f t="shared" si="5"/>
        <v>98.32245700558121</v>
      </c>
      <c r="F81" s="120">
        <v>0</v>
      </c>
      <c r="G81" s="120">
        <v>0</v>
      </c>
      <c r="H81" s="120">
        <v>0</v>
      </c>
      <c r="I81" s="121">
        <f t="shared" si="0"/>
        <v>22020.3</v>
      </c>
      <c r="J81" s="112">
        <f t="shared" si="0"/>
        <v>21650.9</v>
      </c>
      <c r="K81" s="122">
        <f t="shared" si="1"/>
        <v>98.32245700558121</v>
      </c>
    </row>
    <row r="82" spans="1:11" ht="15">
      <c r="A82" s="118" t="s">
        <v>202</v>
      </c>
      <c r="B82" s="119" t="s">
        <v>203</v>
      </c>
      <c r="C82" s="111">
        <v>48135</v>
      </c>
      <c r="D82" s="111">
        <v>44583.7</v>
      </c>
      <c r="E82" s="111">
        <f t="shared" si="5"/>
        <v>92.62220837228628</v>
      </c>
      <c r="F82" s="120">
        <v>0</v>
      </c>
      <c r="G82" s="120">
        <v>0</v>
      </c>
      <c r="H82" s="120">
        <v>0</v>
      </c>
      <c r="I82" s="121">
        <f t="shared" si="0"/>
        <v>48135</v>
      </c>
      <c r="J82" s="112">
        <f t="shared" si="0"/>
        <v>44583.7</v>
      </c>
      <c r="K82" s="122">
        <f t="shared" si="1"/>
        <v>92.62220837228628</v>
      </c>
    </row>
    <row r="83" spans="1:11" ht="15">
      <c r="A83" s="113" t="s">
        <v>204</v>
      </c>
      <c r="B83" s="114" t="s">
        <v>205</v>
      </c>
      <c r="C83" s="115">
        <f>SUM(C84:C88)</f>
        <v>233370.80000000002</v>
      </c>
      <c r="D83" s="115">
        <f>SUM(D84:D88)</f>
        <v>144588.90000000002</v>
      </c>
      <c r="E83" s="115">
        <f>D83/C83*100</f>
        <v>61.9567229490579</v>
      </c>
      <c r="F83" s="130">
        <f>SUM(F84:F88)</f>
        <v>106254.6</v>
      </c>
      <c r="G83" s="130">
        <f>SUM(G84:G88)</f>
        <v>85833.5</v>
      </c>
      <c r="H83" s="116">
        <f>G83/F83*100</f>
        <v>80.78097324727588</v>
      </c>
      <c r="I83" s="130">
        <f>SUM(I84:I88)</f>
        <v>337693.3</v>
      </c>
      <c r="J83" s="130">
        <f>SUM(J84:J88)</f>
        <v>228490.30000000002</v>
      </c>
      <c r="K83" s="117">
        <f t="shared" si="1"/>
        <v>67.66207680164221</v>
      </c>
    </row>
    <row r="84" spans="1:11" ht="15">
      <c r="A84" s="118" t="s">
        <v>206</v>
      </c>
      <c r="B84" s="119" t="s">
        <v>207</v>
      </c>
      <c r="C84" s="111">
        <f>224522.7-C85-C86</f>
        <v>64938.40000000001</v>
      </c>
      <c r="D84" s="111">
        <f>136969.2-D85-D86</f>
        <v>57785.000000000015</v>
      </c>
      <c r="E84" s="111">
        <f t="shared" si="5"/>
        <v>88.98432976482329</v>
      </c>
      <c r="F84" s="120">
        <f>105387.1-F86</f>
        <v>105102.6</v>
      </c>
      <c r="G84" s="120">
        <f>85552.4-G85-G86</f>
        <v>85453</v>
      </c>
      <c r="H84" s="120">
        <f>G84/F84*100</f>
        <v>81.30436354571627</v>
      </c>
      <c r="I84" s="121">
        <f>C84+F84-1314.6</f>
        <v>168726.4</v>
      </c>
      <c r="J84" s="112">
        <f>D84+G84-1314.6</f>
        <v>141923.4</v>
      </c>
      <c r="K84" s="122">
        <f t="shared" si="1"/>
        <v>84.11451912682307</v>
      </c>
    </row>
    <row r="85" spans="1:11" ht="90">
      <c r="A85" s="135" t="s">
        <v>206</v>
      </c>
      <c r="B85" s="136" t="s">
        <v>208</v>
      </c>
      <c r="C85" s="111">
        <f>68783.9+89629.6</f>
        <v>158413.5</v>
      </c>
      <c r="D85" s="111">
        <v>78627.9</v>
      </c>
      <c r="E85" s="111">
        <f t="shared" si="5"/>
        <v>49.63459553636527</v>
      </c>
      <c r="F85" s="120">
        <v>0</v>
      </c>
      <c r="G85" s="120">
        <v>0</v>
      </c>
      <c r="H85" s="120">
        <v>0</v>
      </c>
      <c r="I85" s="121">
        <f aca="true" t="shared" si="9" ref="I85:J99">C85+F85</f>
        <v>158413.5</v>
      </c>
      <c r="J85" s="112">
        <f t="shared" si="9"/>
        <v>78627.9</v>
      </c>
      <c r="K85" s="122">
        <f>J85/I85*100</f>
        <v>49.63459553636527</v>
      </c>
    </row>
    <row r="86" spans="1:11" ht="15">
      <c r="A86" s="135" t="s">
        <v>206</v>
      </c>
      <c r="B86" s="136" t="s">
        <v>209</v>
      </c>
      <c r="C86" s="111">
        <v>1170.8</v>
      </c>
      <c r="D86" s="111">
        <v>556.3</v>
      </c>
      <c r="E86" s="111">
        <f t="shared" si="5"/>
        <v>47.51451998633413</v>
      </c>
      <c r="F86" s="120">
        <v>284.5</v>
      </c>
      <c r="G86" s="120">
        <v>99.4</v>
      </c>
      <c r="H86" s="120">
        <f>G86/F86*100</f>
        <v>34.93848857644991</v>
      </c>
      <c r="I86" s="121">
        <f>C86+F86-247.5</f>
        <v>1207.8</v>
      </c>
      <c r="J86" s="112">
        <f>D86+G86-247.5</f>
        <v>408.19999999999993</v>
      </c>
      <c r="K86" s="122">
        <f>J86/I86*100</f>
        <v>33.79698625600264</v>
      </c>
    </row>
    <row r="87" spans="1:11" ht="15">
      <c r="A87" s="118" t="s">
        <v>210</v>
      </c>
      <c r="B87" s="119" t="s">
        <v>211</v>
      </c>
      <c r="C87" s="111">
        <v>267</v>
      </c>
      <c r="D87" s="111">
        <v>267</v>
      </c>
      <c r="E87" s="111">
        <f t="shared" si="5"/>
        <v>100</v>
      </c>
      <c r="F87" s="120">
        <v>497.5</v>
      </c>
      <c r="G87" s="120">
        <v>196.1</v>
      </c>
      <c r="H87" s="120">
        <f>G87/F87*100</f>
        <v>39.41708542713568</v>
      </c>
      <c r="I87" s="121">
        <f t="shared" si="9"/>
        <v>764.5</v>
      </c>
      <c r="J87" s="112">
        <f t="shared" si="9"/>
        <v>463.1</v>
      </c>
      <c r="K87" s="122">
        <f aca="true" t="shared" si="10" ref="K87:K114">J87/I87*100</f>
        <v>60.57553956834533</v>
      </c>
    </row>
    <row r="88" spans="1:11" ht="30">
      <c r="A88" s="118" t="s">
        <v>212</v>
      </c>
      <c r="B88" s="119" t="s">
        <v>213</v>
      </c>
      <c r="C88" s="111">
        <v>8581.1</v>
      </c>
      <c r="D88" s="111">
        <v>7352.7</v>
      </c>
      <c r="E88" s="111">
        <f t="shared" si="5"/>
        <v>85.68481896260386</v>
      </c>
      <c r="F88" s="120">
        <v>370</v>
      </c>
      <c r="G88" s="120">
        <v>85</v>
      </c>
      <c r="H88" s="120">
        <f>G88/F88*100</f>
        <v>22.972972972972975</v>
      </c>
      <c r="I88" s="121">
        <f>C88+F88-370</f>
        <v>8581.1</v>
      </c>
      <c r="J88" s="112">
        <f>D88+G88-370</f>
        <v>7067.7</v>
      </c>
      <c r="K88" s="122">
        <f t="shared" si="10"/>
        <v>82.36356644253067</v>
      </c>
    </row>
    <row r="89" spans="1:11" ht="15">
      <c r="A89" s="113" t="s">
        <v>214</v>
      </c>
      <c r="B89" s="114" t="s">
        <v>215</v>
      </c>
      <c r="C89" s="115">
        <f>C90</f>
        <v>90760</v>
      </c>
      <c r="D89" s="115">
        <f>D90</f>
        <v>68926.5</v>
      </c>
      <c r="E89" s="115">
        <f>D89/C89*100</f>
        <v>75.94369766416924</v>
      </c>
      <c r="F89" s="130">
        <v>0</v>
      </c>
      <c r="G89" s="130">
        <v>0</v>
      </c>
      <c r="H89" s="116"/>
      <c r="I89" s="130">
        <f>C89+F89</f>
        <v>90760</v>
      </c>
      <c r="J89" s="130">
        <f t="shared" si="9"/>
        <v>68926.5</v>
      </c>
      <c r="K89" s="117">
        <f t="shared" si="10"/>
        <v>75.94369766416924</v>
      </c>
    </row>
    <row r="90" spans="1:11" ht="45">
      <c r="A90" s="123" t="s">
        <v>216</v>
      </c>
      <c r="B90" s="136" t="s">
        <v>217</v>
      </c>
      <c r="C90" s="111">
        <v>90760</v>
      </c>
      <c r="D90" s="120">
        <v>68926.5</v>
      </c>
      <c r="E90" s="111">
        <f t="shared" si="5"/>
        <v>75.94369766416924</v>
      </c>
      <c r="F90" s="120">
        <v>0</v>
      </c>
      <c r="G90" s="120">
        <v>0</v>
      </c>
      <c r="H90" s="120">
        <v>0</v>
      </c>
      <c r="I90" s="121">
        <f t="shared" si="9"/>
        <v>90760</v>
      </c>
      <c r="J90" s="112">
        <f t="shared" si="9"/>
        <v>68926.5</v>
      </c>
      <c r="K90" s="122">
        <f t="shared" si="10"/>
        <v>75.94369766416924</v>
      </c>
    </row>
    <row r="91" spans="1:11" ht="15">
      <c r="A91" s="113">
        <v>10</v>
      </c>
      <c r="B91" s="114" t="s">
        <v>218</v>
      </c>
      <c r="C91" s="115">
        <f>SUM(C92:C101)</f>
        <v>176001.9</v>
      </c>
      <c r="D91" s="115">
        <f>SUM(D92:D101)</f>
        <v>129511.9</v>
      </c>
      <c r="E91" s="115">
        <f>D91/C91*100</f>
        <v>73.58551242912719</v>
      </c>
      <c r="F91" s="115">
        <f>SUM(F92:F99)</f>
        <v>479.6</v>
      </c>
      <c r="G91" s="115">
        <f>SUM(G92:G99)</f>
        <v>403</v>
      </c>
      <c r="H91" s="116">
        <f>G91/F91*100</f>
        <v>84.02835696413678</v>
      </c>
      <c r="I91" s="115">
        <f>SUM(I92:I101)</f>
        <v>176481.5</v>
      </c>
      <c r="J91" s="115">
        <f>SUM(J92:J101)</f>
        <v>129914.9</v>
      </c>
      <c r="K91" s="117">
        <f t="shared" si="10"/>
        <v>73.6138915410397</v>
      </c>
    </row>
    <row r="92" spans="1:11" ht="15">
      <c r="A92" s="123">
        <v>1001</v>
      </c>
      <c r="B92" s="119" t="s">
        <v>219</v>
      </c>
      <c r="C92" s="111">
        <v>3246</v>
      </c>
      <c r="D92" s="111">
        <v>2952.5</v>
      </c>
      <c r="E92" s="111">
        <f t="shared" si="5"/>
        <v>90.95810227972889</v>
      </c>
      <c r="F92" s="120">
        <v>479.6</v>
      </c>
      <c r="G92" s="120">
        <v>403</v>
      </c>
      <c r="H92" s="120">
        <f>G92/F92*100</f>
        <v>84.02835696413678</v>
      </c>
      <c r="I92" s="121">
        <f t="shared" si="9"/>
        <v>3725.6</v>
      </c>
      <c r="J92" s="112">
        <f t="shared" si="9"/>
        <v>3355.5</v>
      </c>
      <c r="K92" s="122">
        <f t="shared" si="10"/>
        <v>90.06602963281082</v>
      </c>
    </row>
    <row r="93" spans="1:11" ht="75">
      <c r="A93" s="123">
        <v>1003</v>
      </c>
      <c r="B93" s="119" t="s">
        <v>220</v>
      </c>
      <c r="C93" s="111">
        <f>1481+545.4</f>
        <v>2026.4</v>
      </c>
      <c r="D93" s="111">
        <v>2026.4</v>
      </c>
      <c r="E93" s="111">
        <f t="shared" si="5"/>
        <v>100</v>
      </c>
      <c r="F93" s="120">
        <v>0</v>
      </c>
      <c r="G93" s="120">
        <v>0</v>
      </c>
      <c r="H93" s="120">
        <v>0</v>
      </c>
      <c r="I93" s="121">
        <f t="shared" si="9"/>
        <v>2026.4</v>
      </c>
      <c r="J93" s="112">
        <f t="shared" si="9"/>
        <v>2026.4</v>
      </c>
      <c r="K93" s="122">
        <v>0</v>
      </c>
    </row>
    <row r="94" spans="1:11" ht="75">
      <c r="A94" s="123">
        <v>1003</v>
      </c>
      <c r="B94" s="119" t="s">
        <v>221</v>
      </c>
      <c r="C94" s="111">
        <v>3707.9</v>
      </c>
      <c r="D94" s="111">
        <v>3707.9</v>
      </c>
      <c r="E94" s="111">
        <f t="shared" si="5"/>
        <v>100</v>
      </c>
      <c r="F94" s="120">
        <v>0</v>
      </c>
      <c r="G94" s="120">
        <v>0</v>
      </c>
      <c r="H94" s="120">
        <v>0</v>
      </c>
      <c r="I94" s="121">
        <f t="shared" si="9"/>
        <v>3707.9</v>
      </c>
      <c r="J94" s="112">
        <f t="shared" si="9"/>
        <v>3707.9</v>
      </c>
      <c r="K94" s="122">
        <f t="shared" si="10"/>
        <v>100</v>
      </c>
    </row>
    <row r="95" spans="1:11" ht="120">
      <c r="A95" s="123" t="s">
        <v>222</v>
      </c>
      <c r="B95" s="119" t="s">
        <v>223</v>
      </c>
      <c r="C95" s="111">
        <v>1658.6</v>
      </c>
      <c r="D95" s="111">
        <f>1269.1+231.5</f>
        <v>1500.6</v>
      </c>
      <c r="E95" s="111">
        <f t="shared" si="5"/>
        <v>90.47389364524298</v>
      </c>
      <c r="F95" s="120"/>
      <c r="G95" s="120"/>
      <c r="H95" s="120"/>
      <c r="I95" s="121">
        <f t="shared" si="9"/>
        <v>1658.6</v>
      </c>
      <c r="J95" s="112">
        <f t="shared" si="9"/>
        <v>1500.6</v>
      </c>
      <c r="K95" s="122">
        <f t="shared" si="10"/>
        <v>90.47389364524298</v>
      </c>
    </row>
    <row r="96" spans="1:11" ht="180">
      <c r="A96" s="123" t="s">
        <v>222</v>
      </c>
      <c r="B96" s="119" t="s">
        <v>224</v>
      </c>
      <c r="C96" s="111">
        <v>3373.6</v>
      </c>
      <c r="D96" s="111">
        <v>1298.1</v>
      </c>
      <c r="E96" s="111">
        <f t="shared" si="5"/>
        <v>38.47818354280294</v>
      </c>
      <c r="F96" s="120"/>
      <c r="G96" s="120"/>
      <c r="H96" s="120"/>
      <c r="I96" s="121">
        <f t="shared" si="9"/>
        <v>3373.6</v>
      </c>
      <c r="J96" s="112">
        <f t="shared" si="9"/>
        <v>1298.1</v>
      </c>
      <c r="K96" s="122">
        <f t="shared" si="10"/>
        <v>38.47818354280294</v>
      </c>
    </row>
    <row r="97" spans="1:11" ht="75">
      <c r="A97" s="123">
        <v>1004</v>
      </c>
      <c r="B97" s="119" t="s">
        <v>225</v>
      </c>
      <c r="C97" s="111">
        <v>16062</v>
      </c>
      <c r="D97" s="111">
        <v>12625.3</v>
      </c>
      <c r="E97" s="111">
        <f t="shared" si="5"/>
        <v>78.60353629684971</v>
      </c>
      <c r="F97" s="120">
        <v>0</v>
      </c>
      <c r="G97" s="120">
        <v>0</v>
      </c>
      <c r="H97" s="120">
        <v>0</v>
      </c>
      <c r="I97" s="121">
        <f t="shared" si="9"/>
        <v>16062</v>
      </c>
      <c r="J97" s="112">
        <f t="shared" si="9"/>
        <v>12625.3</v>
      </c>
      <c r="K97" s="122">
        <f t="shared" si="10"/>
        <v>78.60353629684971</v>
      </c>
    </row>
    <row r="98" spans="1:11" ht="60">
      <c r="A98" s="123">
        <v>1004</v>
      </c>
      <c r="B98" s="119" t="s">
        <v>226</v>
      </c>
      <c r="C98" s="111">
        <v>1664.9</v>
      </c>
      <c r="D98" s="111">
        <v>1664.9</v>
      </c>
      <c r="E98" s="111">
        <f aca="true" t="shared" si="11" ref="E98:E113">D98/C98*100</f>
        <v>100</v>
      </c>
      <c r="F98" s="120">
        <v>0</v>
      </c>
      <c r="G98" s="120">
        <v>0</v>
      </c>
      <c r="H98" s="120">
        <v>0</v>
      </c>
      <c r="I98" s="121">
        <f t="shared" si="9"/>
        <v>1664.9</v>
      </c>
      <c r="J98" s="121">
        <f t="shared" si="9"/>
        <v>1664.9</v>
      </c>
      <c r="K98" s="122">
        <f t="shared" si="10"/>
        <v>100</v>
      </c>
    </row>
    <row r="99" spans="1:11" ht="165">
      <c r="A99" s="123">
        <v>1004</v>
      </c>
      <c r="B99" s="119" t="s">
        <v>227</v>
      </c>
      <c r="C99" s="111">
        <v>98408.9</v>
      </c>
      <c r="D99" s="111">
        <v>86980.2</v>
      </c>
      <c r="E99" s="111">
        <f t="shared" si="11"/>
        <v>88.38651788608551</v>
      </c>
      <c r="F99" s="120">
        <v>0</v>
      </c>
      <c r="G99" s="120">
        <v>0</v>
      </c>
      <c r="H99" s="120">
        <v>0</v>
      </c>
      <c r="I99" s="121">
        <f t="shared" si="9"/>
        <v>98408.9</v>
      </c>
      <c r="J99" s="112">
        <f t="shared" si="9"/>
        <v>86980.2</v>
      </c>
      <c r="K99" s="122">
        <f t="shared" si="10"/>
        <v>88.38651788608551</v>
      </c>
    </row>
    <row r="100" spans="1:11" ht="165">
      <c r="A100" s="123" t="s">
        <v>228</v>
      </c>
      <c r="B100" s="119" t="s">
        <v>229</v>
      </c>
      <c r="C100" s="111">
        <v>31170.5</v>
      </c>
      <c r="D100" s="111">
        <v>6988.6</v>
      </c>
      <c r="E100" s="111">
        <f>D100/C100*100</f>
        <v>22.420557899295808</v>
      </c>
      <c r="F100" s="120">
        <v>0</v>
      </c>
      <c r="G100" s="120">
        <v>0</v>
      </c>
      <c r="H100" s="120">
        <v>0</v>
      </c>
      <c r="I100" s="121">
        <f>C100+F100</f>
        <v>31170.5</v>
      </c>
      <c r="J100" s="112">
        <f>D100+G100</f>
        <v>6988.6</v>
      </c>
      <c r="K100" s="122">
        <f>J100/I100*100</f>
        <v>22.420557899295808</v>
      </c>
    </row>
    <row r="101" spans="1:11" ht="30">
      <c r="A101" s="123">
        <v>1006</v>
      </c>
      <c r="B101" s="119" t="s">
        <v>230</v>
      </c>
      <c r="C101" s="111">
        <v>14683.1</v>
      </c>
      <c r="D101" s="111">
        <v>9767.4</v>
      </c>
      <c r="E101" s="111">
        <f t="shared" si="11"/>
        <v>66.52137491401679</v>
      </c>
      <c r="F101" s="120">
        <v>0</v>
      </c>
      <c r="G101" s="120">
        <v>0</v>
      </c>
      <c r="H101" s="120">
        <v>0</v>
      </c>
      <c r="I101" s="121">
        <f>C101+F101</f>
        <v>14683.1</v>
      </c>
      <c r="J101" s="112">
        <f>D101+G101</f>
        <v>9767.4</v>
      </c>
      <c r="K101" s="122">
        <f t="shared" si="10"/>
        <v>66.52137491401679</v>
      </c>
    </row>
    <row r="102" spans="1:11" ht="15">
      <c r="A102" s="137">
        <v>1100</v>
      </c>
      <c r="B102" s="114" t="s">
        <v>231</v>
      </c>
      <c r="C102" s="115">
        <f>SUM(C103:C105)</f>
        <v>124565.2</v>
      </c>
      <c r="D102" s="115">
        <f>SUM(D103:D105)</f>
        <v>106565.79999999999</v>
      </c>
      <c r="E102" s="115">
        <f>D102/C102*100</f>
        <v>85.55021787786636</v>
      </c>
      <c r="F102" s="130">
        <f>F103+F104</f>
        <v>29595</v>
      </c>
      <c r="G102" s="130">
        <f>G103+G104</f>
        <v>22048.3</v>
      </c>
      <c r="H102" s="116">
        <f>G102/F102*100</f>
        <v>74.50008447372866</v>
      </c>
      <c r="I102" s="130">
        <f>SUM(I103:I105)</f>
        <v>153235.2</v>
      </c>
      <c r="J102" s="130">
        <f>SUM(J103:J105)</f>
        <v>127689.09999999999</v>
      </c>
      <c r="K102" s="117">
        <f t="shared" si="10"/>
        <v>83.32883045148894</v>
      </c>
    </row>
    <row r="103" spans="1:11" ht="15">
      <c r="A103" s="123">
        <v>1101</v>
      </c>
      <c r="B103" s="119" t="s">
        <v>232</v>
      </c>
      <c r="C103" s="111">
        <v>15151.4</v>
      </c>
      <c r="D103" s="111">
        <v>12187.7</v>
      </c>
      <c r="E103" s="111">
        <f t="shared" si="11"/>
        <v>80.4394313396782</v>
      </c>
      <c r="F103" s="120">
        <v>29595</v>
      </c>
      <c r="G103" s="120">
        <v>22048.3</v>
      </c>
      <c r="H103" s="120">
        <f>G103/F103*100</f>
        <v>74.50008447372866</v>
      </c>
      <c r="I103" s="121">
        <f>C103+F103-925</f>
        <v>43821.4</v>
      </c>
      <c r="J103" s="121">
        <f>D103+G103-925</f>
        <v>33311</v>
      </c>
      <c r="K103" s="122">
        <f t="shared" si="10"/>
        <v>76.01537148516478</v>
      </c>
    </row>
    <row r="104" spans="1:11" ht="15">
      <c r="A104" s="123">
        <v>1102</v>
      </c>
      <c r="B104" s="119" t="s">
        <v>233</v>
      </c>
      <c r="C104" s="111">
        <v>109393.6</v>
      </c>
      <c r="D104" s="111">
        <v>94364.7</v>
      </c>
      <c r="E104" s="111">
        <f t="shared" si="11"/>
        <v>86.261627736906</v>
      </c>
      <c r="F104" s="120">
        <v>0</v>
      </c>
      <c r="G104" s="120">
        <v>0</v>
      </c>
      <c r="H104" s="120">
        <v>0</v>
      </c>
      <c r="I104" s="121">
        <f>C104+F104</f>
        <v>109393.6</v>
      </c>
      <c r="J104" s="121">
        <f>D104+G104</f>
        <v>94364.7</v>
      </c>
      <c r="K104" s="122">
        <f t="shared" si="10"/>
        <v>86.261627736906</v>
      </c>
    </row>
    <row r="105" spans="1:11" ht="30">
      <c r="A105" s="123" t="s">
        <v>234</v>
      </c>
      <c r="B105" s="119" t="s">
        <v>235</v>
      </c>
      <c r="C105" s="111">
        <v>20.2</v>
      </c>
      <c r="D105" s="111">
        <v>13.4</v>
      </c>
      <c r="E105" s="111">
        <f t="shared" si="11"/>
        <v>66.33663366336634</v>
      </c>
      <c r="F105" s="120"/>
      <c r="G105" s="120"/>
      <c r="H105" s="120"/>
      <c r="I105" s="121">
        <f>C105+F105</f>
        <v>20.2</v>
      </c>
      <c r="J105" s="121">
        <f>D105+G105</f>
        <v>13.4</v>
      </c>
      <c r="K105" s="122">
        <f t="shared" si="10"/>
        <v>66.33663366336634</v>
      </c>
    </row>
    <row r="106" spans="1:11" ht="15">
      <c r="A106" s="137">
        <v>1200</v>
      </c>
      <c r="B106" s="114" t="s">
        <v>236</v>
      </c>
      <c r="C106" s="115">
        <f>C107</f>
        <v>6758.3</v>
      </c>
      <c r="D106" s="115">
        <f>D107</f>
        <v>6758.3</v>
      </c>
      <c r="E106" s="138">
        <f>D106/C106*100</f>
        <v>100</v>
      </c>
      <c r="F106" s="115">
        <f>F107</f>
        <v>0</v>
      </c>
      <c r="G106" s="115">
        <f>G107</f>
        <v>0</v>
      </c>
      <c r="H106" s="139"/>
      <c r="I106" s="115">
        <f aca="true" t="shared" si="12" ref="I106:J109">C106+F106</f>
        <v>6758.3</v>
      </c>
      <c r="J106" s="115">
        <f t="shared" si="12"/>
        <v>6758.3</v>
      </c>
      <c r="K106" s="125">
        <f t="shared" si="10"/>
        <v>100</v>
      </c>
    </row>
    <row r="107" spans="1:11" ht="15">
      <c r="A107" s="123" t="s">
        <v>237</v>
      </c>
      <c r="B107" s="119" t="s">
        <v>238</v>
      </c>
      <c r="C107" s="111">
        <v>6758.3</v>
      </c>
      <c r="D107" s="111">
        <v>6758.3</v>
      </c>
      <c r="E107" s="111">
        <f>D107/C107*100</f>
        <v>100</v>
      </c>
      <c r="F107" s="120">
        <v>0</v>
      </c>
      <c r="G107" s="120">
        <v>0</v>
      </c>
      <c r="H107" s="120">
        <v>0</v>
      </c>
      <c r="I107" s="121">
        <f t="shared" si="12"/>
        <v>6758.3</v>
      </c>
      <c r="J107" s="121">
        <f t="shared" si="12"/>
        <v>6758.3</v>
      </c>
      <c r="K107" s="122">
        <f>J107/I107*100</f>
        <v>100</v>
      </c>
    </row>
    <row r="108" spans="1:11" ht="28.5">
      <c r="A108" s="137">
        <v>1300</v>
      </c>
      <c r="B108" s="114" t="s">
        <v>239</v>
      </c>
      <c r="C108" s="115">
        <f aca="true" t="shared" si="13" ref="C108:H108">C109</f>
        <v>117</v>
      </c>
      <c r="D108" s="115">
        <f t="shared" si="13"/>
        <v>112</v>
      </c>
      <c r="E108" s="115">
        <f t="shared" si="13"/>
        <v>95.72649572649573</v>
      </c>
      <c r="F108" s="115">
        <f t="shared" si="13"/>
        <v>0</v>
      </c>
      <c r="G108" s="115">
        <f t="shared" si="13"/>
        <v>0</v>
      </c>
      <c r="H108" s="124">
        <f t="shared" si="13"/>
        <v>0</v>
      </c>
      <c r="I108" s="115">
        <f t="shared" si="12"/>
        <v>117</v>
      </c>
      <c r="J108" s="115">
        <f t="shared" si="12"/>
        <v>112</v>
      </c>
      <c r="K108" s="125">
        <f t="shared" si="10"/>
        <v>95.72649572649573</v>
      </c>
    </row>
    <row r="109" spans="1:11" ht="30">
      <c r="A109" s="123">
        <v>1301</v>
      </c>
      <c r="B109" s="119" t="s">
        <v>240</v>
      </c>
      <c r="C109" s="111">
        <v>117</v>
      </c>
      <c r="D109" s="111">
        <v>112</v>
      </c>
      <c r="E109" s="111">
        <f t="shared" si="11"/>
        <v>95.72649572649573</v>
      </c>
      <c r="F109" s="120"/>
      <c r="G109" s="120">
        <v>0</v>
      </c>
      <c r="H109" s="120">
        <v>0</v>
      </c>
      <c r="I109" s="121">
        <f t="shared" si="12"/>
        <v>117</v>
      </c>
      <c r="J109" s="121">
        <f t="shared" si="12"/>
        <v>112</v>
      </c>
      <c r="K109" s="122">
        <f t="shared" si="10"/>
        <v>95.72649572649573</v>
      </c>
    </row>
    <row r="110" spans="1:11" ht="14.25">
      <c r="A110" s="137">
        <v>1400</v>
      </c>
      <c r="B110" s="114" t="s">
        <v>241</v>
      </c>
      <c r="C110" s="115">
        <f>SUM(C111:C113)</f>
        <v>326914.7</v>
      </c>
      <c r="D110" s="115">
        <f>SUM(D111:D113)</f>
        <v>301237.6</v>
      </c>
      <c r="E110" s="115">
        <f>D110/C110*100</f>
        <v>92.14562697853597</v>
      </c>
      <c r="F110" s="130">
        <f>F111+F112+F113</f>
        <v>46</v>
      </c>
      <c r="G110" s="130">
        <f>SUM(G111:G113)</f>
        <v>46</v>
      </c>
      <c r="H110" s="130"/>
      <c r="I110" s="130">
        <v>0</v>
      </c>
      <c r="J110" s="130">
        <v>0</v>
      </c>
      <c r="K110" s="117">
        <v>0</v>
      </c>
    </row>
    <row r="111" spans="1:11" ht="45">
      <c r="A111" s="123">
        <v>1401</v>
      </c>
      <c r="B111" s="119" t="s">
        <v>242</v>
      </c>
      <c r="C111" s="111">
        <v>125336.3</v>
      </c>
      <c r="D111" s="111">
        <v>116980.6</v>
      </c>
      <c r="E111" s="111">
        <f t="shared" si="11"/>
        <v>93.33337588551761</v>
      </c>
      <c r="F111" s="120">
        <v>0</v>
      </c>
      <c r="G111" s="120">
        <v>0</v>
      </c>
      <c r="H111" s="120">
        <v>0</v>
      </c>
      <c r="I111" s="121">
        <v>0</v>
      </c>
      <c r="J111" s="112">
        <v>0</v>
      </c>
      <c r="K111" s="122">
        <v>0</v>
      </c>
    </row>
    <row r="112" spans="1:11" ht="15">
      <c r="A112" s="123">
        <v>1402</v>
      </c>
      <c r="B112" s="119" t="s">
        <v>243</v>
      </c>
      <c r="C112" s="111">
        <v>171346.4</v>
      </c>
      <c r="D112" s="111">
        <v>157614.4</v>
      </c>
      <c r="E112" s="111">
        <f t="shared" si="11"/>
        <v>91.98582520554852</v>
      </c>
      <c r="F112" s="120">
        <v>0</v>
      </c>
      <c r="G112" s="120">
        <v>0</v>
      </c>
      <c r="H112" s="120">
        <v>0</v>
      </c>
      <c r="I112" s="121">
        <v>0</v>
      </c>
      <c r="J112" s="112">
        <v>0</v>
      </c>
      <c r="K112" s="122">
        <v>0</v>
      </c>
    </row>
    <row r="113" spans="1:11" ht="15">
      <c r="A113" s="123">
        <v>1403</v>
      </c>
      <c r="B113" s="119" t="s">
        <v>244</v>
      </c>
      <c r="C113" s="111">
        <v>30232</v>
      </c>
      <c r="D113" s="111">
        <v>26642.6</v>
      </c>
      <c r="E113" s="111">
        <f t="shared" si="11"/>
        <v>88.12715003969303</v>
      </c>
      <c r="F113" s="120">
        <v>46</v>
      </c>
      <c r="G113" s="120">
        <v>46</v>
      </c>
      <c r="H113" s="120">
        <v>0</v>
      </c>
      <c r="I113" s="121">
        <v>0</v>
      </c>
      <c r="J113" s="112">
        <v>0</v>
      </c>
      <c r="K113" s="122">
        <v>0</v>
      </c>
    </row>
    <row r="114" spans="1:11" ht="15" thickBot="1">
      <c r="A114" s="209" t="s">
        <v>245</v>
      </c>
      <c r="B114" s="210"/>
      <c r="C114" s="140">
        <f>C9+C18+C20+C25+C47+C75+C83+C89+C91+C102+C106+C108+C110</f>
        <v>4199311.999999999</v>
      </c>
      <c r="D114" s="140">
        <f>D9+D18+D20+D25+D47+D75+D83+D89+D91+D102+D106+D108+D110</f>
        <v>3361430.1999999997</v>
      </c>
      <c r="E114" s="140">
        <f>D114/C114*100</f>
        <v>80.04716486891186</v>
      </c>
      <c r="F114" s="140">
        <f>F9+F18+F20+F25+F47+F75+F83+F89+F91+F102+F106+F108+F110</f>
        <v>654927.4</v>
      </c>
      <c r="G114" s="140">
        <f>G110+G108+G106+G91+G89+G83+G75+G47+G25+G21+G18+G9+G20+G102</f>
        <v>502505.30000000005</v>
      </c>
      <c r="H114" s="141">
        <f>G114/F114*100</f>
        <v>76.72687079514463</v>
      </c>
      <c r="I114" s="140">
        <f>I110+I108+I106+I102+I91+I89+I83+I75+I47+I25+I20+I18+I9</f>
        <v>4353426.6</v>
      </c>
      <c r="J114" s="140">
        <f>J110+J108+J106+J102+J91+J89+J83+J75+J47+J25+J20+J18+J9</f>
        <v>3442242.7999999993</v>
      </c>
      <c r="K114" s="142">
        <f t="shared" si="10"/>
        <v>79.06973325334117</v>
      </c>
    </row>
    <row r="115" spans="1:11" ht="12.75">
      <c r="A115" s="143"/>
      <c r="B115" s="144"/>
      <c r="C115" s="145"/>
      <c r="D115" s="105"/>
      <c r="E115" s="146"/>
      <c r="F115" s="107"/>
      <c r="G115" s="108"/>
      <c r="H115" s="108"/>
      <c r="I115" s="110"/>
      <c r="J115" s="110"/>
      <c r="K115" s="110"/>
    </row>
    <row r="116" spans="1:11" ht="12.75">
      <c r="A116" s="147"/>
      <c r="B116" s="148"/>
      <c r="C116" s="149"/>
      <c r="D116" s="149"/>
      <c r="E116" s="149"/>
      <c r="F116" s="149"/>
      <c r="G116" s="149"/>
      <c r="H116" s="149"/>
      <c r="I116" s="149"/>
      <c r="J116" s="149"/>
      <c r="K116" s="149"/>
    </row>
    <row r="117" spans="1:11" ht="12.75">
      <c r="A117" s="147"/>
      <c r="B117" s="148"/>
      <c r="C117" s="149"/>
      <c r="D117" s="150"/>
      <c r="E117" s="146"/>
      <c r="F117" s="107"/>
      <c r="G117" s="108"/>
      <c r="H117" s="108"/>
      <c r="I117" s="109"/>
      <c r="J117" s="109"/>
      <c r="K117" s="110"/>
    </row>
    <row r="118" spans="1:11" ht="12.75">
      <c r="A118" s="213" t="s">
        <v>246</v>
      </c>
      <c r="B118" s="213"/>
      <c r="C118" s="213"/>
      <c r="D118" s="151"/>
      <c r="E118" s="152"/>
      <c r="F118" s="152"/>
      <c r="G118" s="108"/>
      <c r="H118" s="108"/>
      <c r="I118" s="110"/>
      <c r="J118" s="110"/>
      <c r="K118" s="110"/>
    </row>
    <row r="119" spans="1:11" ht="12.75">
      <c r="A119" s="213" t="s">
        <v>247</v>
      </c>
      <c r="B119" s="213"/>
      <c r="C119" s="213"/>
      <c r="D119" s="153"/>
      <c r="E119" s="214" t="s">
        <v>248</v>
      </c>
      <c r="F119" s="214"/>
      <c r="G119" s="108"/>
      <c r="H119" s="108"/>
      <c r="I119" s="109"/>
      <c r="J119" s="110"/>
      <c r="K119" s="110"/>
    </row>
    <row r="120" spans="1:11" ht="12.75">
      <c r="A120" s="154"/>
      <c r="B120" s="155"/>
      <c r="C120" s="156"/>
      <c r="D120" s="157"/>
      <c r="E120" s="158"/>
      <c r="F120" s="159"/>
      <c r="G120" s="108"/>
      <c r="H120" s="108"/>
      <c r="I120" s="109"/>
      <c r="J120" s="110"/>
      <c r="K120" s="110"/>
    </row>
    <row r="121" spans="1:11" ht="12.75">
      <c r="A121" s="213" t="s">
        <v>249</v>
      </c>
      <c r="B121" s="213"/>
      <c r="C121" s="213"/>
      <c r="D121" s="160"/>
      <c r="E121" s="214" t="s">
        <v>250</v>
      </c>
      <c r="F121" s="214"/>
      <c r="G121" s="108"/>
      <c r="H121" s="108"/>
      <c r="I121" s="109"/>
      <c r="J121" s="110"/>
      <c r="K121" s="110"/>
    </row>
    <row r="122" spans="1:11" ht="12.75">
      <c r="A122" s="154"/>
      <c r="B122" s="161"/>
      <c r="C122" s="162"/>
      <c r="D122" s="163"/>
      <c r="E122" s="158"/>
      <c r="F122" s="159"/>
      <c r="G122" s="108"/>
      <c r="H122" s="108"/>
      <c r="I122" s="109"/>
      <c r="J122" s="110"/>
      <c r="K122" s="110"/>
    </row>
    <row r="123" spans="1:11" ht="12.75">
      <c r="A123" s="213" t="s">
        <v>251</v>
      </c>
      <c r="B123" s="213"/>
      <c r="C123" s="213"/>
      <c r="D123" s="160"/>
      <c r="E123" s="215" t="s">
        <v>252</v>
      </c>
      <c r="F123" s="215"/>
      <c r="G123" s="108"/>
      <c r="H123" s="108"/>
      <c r="I123" s="109"/>
      <c r="J123" s="110"/>
      <c r="K123" s="110"/>
    </row>
    <row r="124" spans="1:11" ht="12.75">
      <c r="A124" s="164"/>
      <c r="B124" s="165"/>
      <c r="C124" s="166"/>
      <c r="D124" s="151"/>
      <c r="E124" s="151"/>
      <c r="F124" s="152"/>
      <c r="G124" s="108"/>
      <c r="H124" s="108"/>
      <c r="I124" s="110"/>
      <c r="J124" s="110"/>
      <c r="K124" s="110"/>
    </row>
    <row r="125" spans="1:6" ht="12.75">
      <c r="A125" s="167"/>
      <c r="B125" s="167"/>
      <c r="C125" s="168" t="s">
        <v>253</v>
      </c>
      <c r="D125" s="167" t="s">
        <v>254</v>
      </c>
      <c r="E125" s="169" t="s">
        <v>255</v>
      </c>
      <c r="F125" s="167"/>
    </row>
  </sheetData>
  <sheetProtection/>
  <mergeCells count="35">
    <mergeCell ref="A118:C118"/>
    <mergeCell ref="A119:C119"/>
    <mergeCell ref="E119:F119"/>
    <mergeCell ref="A121:C121"/>
    <mergeCell ref="E121:F121"/>
    <mergeCell ref="A123:C123"/>
    <mergeCell ref="E123:F123"/>
    <mergeCell ref="I20:I21"/>
    <mergeCell ref="J20:J21"/>
    <mergeCell ref="K20:K21"/>
    <mergeCell ref="A114:B114"/>
    <mergeCell ref="A20:A21"/>
    <mergeCell ref="B20:B21"/>
    <mergeCell ref="C20:C21"/>
    <mergeCell ref="D20:D21"/>
    <mergeCell ref="E20:E21"/>
    <mergeCell ref="F20:F21"/>
    <mergeCell ref="G4:G5"/>
    <mergeCell ref="H4:H5"/>
    <mergeCell ref="I4:I5"/>
    <mergeCell ref="J4:J5"/>
    <mergeCell ref="E4:E5"/>
    <mergeCell ref="F4:F5"/>
    <mergeCell ref="G20:G21"/>
    <mergeCell ref="H20:H21"/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User</cp:lastModifiedBy>
  <cp:lastPrinted>2015-11-03T09:42:13Z</cp:lastPrinted>
  <dcterms:created xsi:type="dcterms:W3CDTF">2006-05-12T06:58:42Z</dcterms:created>
  <dcterms:modified xsi:type="dcterms:W3CDTF">2016-01-14T11:20:04Z</dcterms:modified>
  <cp:category/>
  <cp:version/>
  <cp:contentType/>
  <cp:contentStatus/>
</cp:coreProperties>
</file>