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доходы" sheetId="1" r:id="rId1"/>
    <sheet name="расходы" sheetId="2" r:id="rId2"/>
  </sheets>
  <definedNames>
    <definedName name="_xlnm.Print_Titles" localSheetId="0">'доходы'!$5:$7</definedName>
    <definedName name="_xlnm.Print_Area" localSheetId="0">'доходы'!$A$1:$L$204</definedName>
  </definedNames>
  <calcPr fullCalcOnLoad="1"/>
</workbook>
</file>

<file path=xl/comments2.xml><?xml version="1.0" encoding="utf-8"?>
<comments xmlns="http://schemas.openxmlformats.org/spreadsheetml/2006/main">
  <authors>
    <author>Наташа</author>
  </authors>
  <commentList>
    <comment ref="B50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3510200
</t>
        </r>
      </text>
    </comment>
    <comment ref="B51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3510300
</t>
        </r>
      </text>
    </comment>
    <comment ref="B102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5201002
</t>
        </r>
      </text>
    </comment>
    <comment ref="B103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5050502 ф/б
</t>
        </r>
      </text>
    </comment>
    <comment ref="B104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5201300, 5201301
</t>
        </r>
      </text>
    </comment>
    <comment ref="B105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5140100
</t>
        </r>
      </text>
    </comment>
  </commentList>
</comments>
</file>

<file path=xl/sharedStrings.xml><?xml version="1.0" encoding="utf-8"?>
<sst xmlns="http://schemas.openxmlformats.org/spreadsheetml/2006/main" count="634" uniqueCount="261">
  <si>
    <t>БЕЗВОЗМЕЗДНЫЕ ПОСТУПЛЕНИЯ</t>
  </si>
  <si>
    <t>00020000000000000000</t>
  </si>
  <si>
    <t>00020700000000000180</t>
  </si>
  <si>
    <t>00010000000000000000</t>
  </si>
  <si>
    <t>ВСЕГО ДОХОДОВ</t>
  </si>
  <si>
    <t>Налоги на совокупный доход</t>
  </si>
  <si>
    <t>Налоги  на  имущество</t>
  </si>
  <si>
    <t>Штрафы, санкции, возмещение  ущерба</t>
  </si>
  <si>
    <t>00010500000000000000</t>
  </si>
  <si>
    <t>00010600000000000000</t>
  </si>
  <si>
    <t>00010800000000000000</t>
  </si>
  <si>
    <t>00011100000000000000</t>
  </si>
  <si>
    <t>00011600000000000000</t>
  </si>
  <si>
    <t>Платежи при пользовании  природными  ресурсами</t>
  </si>
  <si>
    <t>00011200000000000000</t>
  </si>
  <si>
    <t>Доходы от продажи материальных и нематериальных активов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</si>
  <si>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</si>
  <si>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</si>
  <si>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>00011400000000000000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</si>
  <si>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</si>
  <si>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</si>
  <si>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00020200000000000151</t>
  </si>
  <si>
    <t>Государственная пошлина</t>
  </si>
  <si>
    <t>3 кв.</t>
  </si>
  <si>
    <t>4 кв.</t>
  </si>
  <si>
    <t xml:space="preserve">Налоги на прибыль, доходы </t>
  </si>
  <si>
    <t>00010100000000000000</t>
  </si>
  <si>
    <t>Октябрьский район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</si>
  <si>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</si>
  <si>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</si>
  <si>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</si>
  <si>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</si>
  <si>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</si>
  <si>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</si>
  <si>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</si>
  <si>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</si>
  <si>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</si>
  <si>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</si>
  <si>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</si>
  <si>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Октябрьский район (консолидированный бюджет)</t>
  </si>
  <si>
    <t>План</t>
  </si>
  <si>
    <t>% исп-ия</t>
  </si>
  <si>
    <t>00010900000000000000</t>
  </si>
  <si>
    <t>Задолженность и перерасчеты по отмененным налогам, сборам и иным обязательным платежам</t>
  </si>
  <si>
    <t>00011700000000000000</t>
  </si>
  <si>
    <t>Прочие неналоговые доходы</t>
  </si>
  <si>
    <t xml:space="preserve"> </t>
  </si>
  <si>
    <t>00011300000000000000</t>
  </si>
  <si>
    <t>Доходы от оказания платных услуг и компенсации затрат государства</t>
  </si>
  <si>
    <t>00011900000000000000</t>
  </si>
  <si>
    <t>Возврат остатков субсидий и субвенций прошлых лет</t>
  </si>
  <si>
    <t>КБК</t>
  </si>
  <si>
    <t>Исп-ие на</t>
  </si>
  <si>
    <t>112</t>
  </si>
  <si>
    <t>111</t>
  </si>
  <si>
    <t>108</t>
  </si>
  <si>
    <t>116</t>
  </si>
  <si>
    <t>202</t>
  </si>
  <si>
    <t>207</t>
  </si>
  <si>
    <t>114</t>
  </si>
  <si>
    <t>101</t>
  </si>
  <si>
    <t>105</t>
  </si>
  <si>
    <t>106</t>
  </si>
  <si>
    <t xml:space="preserve"> -</t>
  </si>
  <si>
    <t>113</t>
  </si>
  <si>
    <t>1 кв.</t>
  </si>
  <si>
    <t>2кв.</t>
  </si>
  <si>
    <t>00011800000000000000</t>
  </si>
  <si>
    <t>Возврат остатков субсидий и субвенций прошлых лет из бюджетов поселений</t>
  </si>
  <si>
    <t>00011500000000000000</t>
  </si>
  <si>
    <t>Административные платежи и сборы</t>
  </si>
  <si>
    <t>2012</t>
  </si>
  <si>
    <t>Возврат остатков субсидий, субвенций и иных межбюджетных трансфертов, имеющих целевое назначение, прошлых лет</t>
  </si>
  <si>
    <t>(тыс.руб.)</t>
  </si>
  <si>
    <t>НАЛОГОВЫЕ И НЕНАЛОГОВЫЕ ДОХОДЫ</t>
  </si>
  <si>
    <t>ККР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</si>
  <si>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</si>
  <si>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</si>
  <si>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</si>
  <si>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</si>
  <si>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</si>
  <si>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% исполнения</t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</si>
  <si>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</si>
  <si>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</si>
  <si>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</si>
  <si>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</si>
  <si>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</si>
  <si>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</si>
  <si>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</si>
  <si>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</si>
  <si>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</si>
  <si>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</si>
  <si>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</si>
  <si>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</si>
  <si>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</si>
  <si>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</si>
  <si>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</si>
  <si>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</si>
  <si>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</si>
  <si>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</si>
  <si>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</si>
  <si>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</si>
  <si>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</si>
  <si>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</si>
  <si>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правохранительная деятельность</t>
  </si>
  <si>
    <t>0304</t>
  </si>
  <si>
    <t>ЗАГС (0013801, ,0013802)</t>
  </si>
  <si>
    <t>0309</t>
  </si>
  <si>
    <t>Предупреждение и  ликвидация  последствий ЧС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</si>
  <si>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</si>
  <si>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</si>
  <si>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</si>
  <si>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</si>
  <si>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</si>
  <si>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Программа "Содействие занятости населения 2011-2013 годы"</t>
  </si>
  <si>
    <t>0405</t>
  </si>
  <si>
    <t>Сельское хозяйство и рыболовство</t>
  </si>
  <si>
    <t>0408</t>
  </si>
  <si>
    <t>Воздушный транспорт (3000240)</t>
  </si>
  <si>
    <t>Автомобильный транспорт (3170110)</t>
  </si>
  <si>
    <t>Водный транспорт (3010320)</t>
  </si>
  <si>
    <t>0409</t>
  </si>
  <si>
    <t>Дорожное хозяйство (5226105)</t>
  </si>
  <si>
    <t>0410</t>
  </si>
  <si>
    <t>Связь и информатика</t>
  </si>
  <si>
    <t>0412</t>
  </si>
  <si>
    <t>Земельные  ресурсы (3400300)</t>
  </si>
  <si>
    <t>Программа "Централизованное снабжение населенных пунктов Ханты-Мансийского автономного округа" Подпрограмма"Софинансирование муниципальных  программ  реконструкции внутрипоселковых  электрических  сетей населенных пунктов автономного  округа" (5220500) тс 01.40.28</t>
  </si>
  <si>
    <t>Программа "Развитие малого и среднего предпринимательства в ХМАО-Югре" (5220400)</t>
  </si>
  <si>
    <t>Осуществление полномочий по государственному управлению охраной труда тс. 01.30.39</t>
  </si>
  <si>
    <t>05</t>
  </si>
  <si>
    <t>Жилищно-коммунальное хозяйство</t>
  </si>
  <si>
    <t>0501</t>
  </si>
  <si>
    <t>Подпрограмма "Капремонт  жилого  фонда" (3500200)</t>
  </si>
  <si>
    <t>0502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</si>
  <si>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(3510200)</t>
  </si>
  <si>
    <t>Компенсация выпадающих доходов организациям, предоставляющим населению водоснабжение и водоотведение по тарифам, не обеспечивающим возмещение издержек (3510300)</t>
  </si>
  <si>
    <t>Мероприятия по подготовке  к  зиме (3510500)</t>
  </si>
  <si>
    <t>0503</t>
  </si>
  <si>
    <t>Прочие мероприятия по благоустройству городских округов и поселений (6000500, 6000400, 6000300, 6000100)</t>
  </si>
  <si>
    <t>06</t>
  </si>
  <si>
    <t>Охрана окружающей среды</t>
  </si>
  <si>
    <t>0603</t>
  </si>
  <si>
    <t xml:space="preserve">Охрана растительных и животных видов и среды их обитания 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</si>
  <si>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</si>
  <si>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</si>
  <si>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</si>
  <si>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</si>
  <si>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</si>
  <si>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</si>
  <si>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Бесплатное питание (4219904)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</si>
  <si>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</si>
  <si>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</si>
  <si>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</si>
  <si>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</si>
  <si>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</si>
  <si>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искусство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</si>
  <si>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</si>
  <si>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</si>
  <si>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</si>
  <si>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</si>
  <si>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</si>
  <si>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</si>
  <si>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</si>
  <si>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</si>
  <si>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</si>
  <si>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</si>
  <si>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</si>
  <si>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</si>
  <si>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</si>
  <si>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</si>
  <si>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0909</t>
  </si>
  <si>
    <t>Другие вопросы в области здравоохранения</t>
  </si>
  <si>
    <t>Социальная политика</t>
  </si>
  <si>
    <t>Пенсионное обеспечение</t>
  </si>
  <si>
    <t>Мероприятия в области социальной политики (5140100)</t>
  </si>
  <si>
    <t>Субвен.на обеспеч.жильем отдельных категорий граждан (ветераны, инвалиды 5053401,5053402)</t>
  </si>
  <si>
    <t>Субвенция на  бесплатное изготовление и ремонт зубных протезов (5058005)</t>
  </si>
  <si>
    <t>Субвенция на обеспечение бесплатными молочными продуктами питания детей до 3-х лет (5055409)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</si>
  <si>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(5201002) тс 01.30.09</t>
  </si>
  <si>
    <t>Материальное обеспечение патронатной семьи (5201300, 5201301)</t>
  </si>
  <si>
    <t>1004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</si>
  <si>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</si>
  <si>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</si>
  <si>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</si>
  <si>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</si>
  <si>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Средства массовой информации</t>
  </si>
  <si>
    <t>1201</t>
  </si>
  <si>
    <t>Телевидение и радиовещание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</si>
  <si>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</si>
  <si>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</si>
  <si>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</si>
  <si>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</si>
  <si>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</si>
  <si>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</si>
  <si>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</si>
  <si>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</si>
  <si>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Заворотынская Н.А.</t>
  </si>
  <si>
    <t>Дорожное хозяйство (3150100)</t>
  </si>
  <si>
    <t>Субсидии на реализацию подпрограммы "Стимулирование жилищного строительства" программы "Содействие развитию жилищного строительства на 2011-2013 годы и на период до 2015 года" (5225908)тс 01.40.36, 01.60.00</t>
  </si>
  <si>
    <t>Программа"Модернизация  и реформирование  жилищно-коммунального  комплекса Ханты-Мансийского  автономного  округа- Югры" на 2011-2013 годы (5222100) тс 01.60.00 в т.ч.:</t>
  </si>
  <si>
    <t>Программа"Модернизация  и реформирование  жилищно-коммунального  комплекса Ханты-Мансийского  автономного  округа- Югры" на 2011-2013 годы (5222100) тс 01.40.01 в т.ч.: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</si>
  <si>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</si>
  <si>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</si>
  <si>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</si>
  <si>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>Программа "Централизованное электроснабжение населенных пунктов ХМАО-Югры на 2011-2013 годы и на перспективу до 2015 года" (5220500) тс 01.40.28</t>
  </si>
  <si>
    <t>Программа "Утилизация отходов на территории муниципального образования Октябрьский район" на 2011-2021 годы тс 01.03.35</t>
  </si>
  <si>
    <t>Содержание и строительство автомобильных дорог (6000200, 5226105)</t>
  </si>
  <si>
    <t>Субсидии на реализацию мероприятий подпрограммы "Обеспечение комплексной безопасности и комфортных условий образовательного процесса" на 2010-2013 годы тс 01.40.24</t>
  </si>
  <si>
    <t xml:space="preserve">Бюджетные инвестиции в объекты капитального строительства государственной собственности субъектов РФ </t>
  </si>
  <si>
    <t>Выплата единовременного пособия при всех формах устройства детей, лишенных родительского попечения, в семью (5050502)</t>
  </si>
  <si>
    <t>Программа "Наша новая школа" на 2011-2013гг., подпрограмма "Развитие МТБ учреждений образования ХМАО-Югры" 5225603 тс 01.40.18, 01.60.00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</si>
  <si>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(5053600, 5052102)</t>
  </si>
  <si>
    <t>Подпрограмма"Софинансирование  муниципальных  образований в части возмещения недополученных  доходов организациям, осуществляющим реализацию населению сжиженного газа по социально ориентированным  тарифам" (5222100, 242) тс 01.51.22</t>
  </si>
  <si>
    <t>Программа "Модернизация и реформирование жилищно-комуннального комплекса ХМАО-Югры" на 2011-2013 годы и на период до 2015 года" (на капитальный ремонт сиситем теплоснабжения, водоснабжения и водоотведения для подготовки к осенне-зимнему периоду) 01.40.50, 01.00.00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</si>
  <si>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</t>
  </si>
  <si>
    <t>0505</t>
  </si>
  <si>
    <t>Другие вопросы в области жилищно-коммунального хозяйства</t>
  </si>
  <si>
    <t>Подпрограмма "Библиотечное дело" 5222806</t>
  </si>
  <si>
    <t>Программа"Совершенствование  и развитие  сети автомобильных дорог местного значения в Октябрьском  районе" на 2011-2013 годы (7956100)</t>
  </si>
  <si>
    <t>Программа" Реконструкция  внутрипоселковых электрических  сетей  населенных пунктов  в Октябрьском  районе на 2011-2015 годы" (7950500) тс 01.03.33</t>
  </si>
  <si>
    <t>Программа "Развитие  малого и среднего предпринимательства  в Октябрьском  районе"  на 2011-2013 годы (7950400) тс 01.03.20</t>
  </si>
  <si>
    <t>Субсидии на реализацию подпрограммы "Градостроительная деятельность" программы "Содействие развитию жилищного строительства на 2011-2013 годы и на период до 2015 года"</t>
  </si>
  <si>
    <t>Содействие развитию жилищного строительства на территории Октябрьского района на 2011 - 2013 годы и на период до 2015 года (7955900)тс 01.03.39</t>
  </si>
  <si>
    <t>Программа "О защите населения и территории Октябрьского района от чрезвычайных ситуаций и техногенного характера на 2012-2015 годы" 7950700</t>
  </si>
  <si>
    <t>Программа "Реконструкция внутрипоселковых электрических сетей населенных пунктов в Октябрьском районе на 2001-2015 годы", 7950500  01.03.33</t>
  </si>
  <si>
    <t>Подпрограмма "Проектирование и строительство инженерных сетей" (7952101) т.с.01.03.07 местный бюджет</t>
  </si>
  <si>
    <t>Подпрограмма "Реконструкция и развитие объектов теплоснабжения" (7952103)тс 01.03.21 местный бюджет</t>
  </si>
  <si>
    <t>Подпрограмма "Реконструкция и развитие объектов газоснабжения" (7952102) тс 01.03.09 местный бюджет</t>
  </si>
  <si>
    <t>Подпрограмма "Реконструкция и развитие объектов водоснабжения" (7952104)тс 01.03.37 местный бюджет</t>
  </si>
  <si>
    <t>Подпрограмма "Реконструкция, расширение, модернизация, строительство обьектов водоотведения" (7952105)тс 01.03.38 местный бюджет</t>
  </si>
  <si>
    <t>Программа "Новая школа Югры" бюджетные инвестиции в объекты капитального строительства государственной собственности субъектов РФ (объекты капитального строительства собственности муниципальнных образований ) ЦСР 7955600 мб, 310</t>
  </si>
  <si>
    <t>Программа "Наша новая школа" на 2011-2013гг. 7955600 тс 01.03.36</t>
  </si>
  <si>
    <t>Программа "Культура Октябрьского района на 2010-2012 гг." 7952800 тс 01.03.14</t>
  </si>
  <si>
    <t>Программа "Культура Октябрьского района на 2010-2012 гг" 7952800</t>
  </si>
  <si>
    <t>Заведующий  отделом учета  исполнения  бюджета</t>
  </si>
  <si>
    <t>на 9 месяцев</t>
  </si>
  <si>
    <t>Капитальный ремонт и ремонт дворовых территорий МКД, проездов к дворовым территориям МКД за счет средств дорожного фонда (5227000)</t>
  </si>
  <si>
    <t xml:space="preserve"> "Наш дом" субсидии на благоустройство дворовых территорий многоквартирных домов (5227000)</t>
  </si>
  <si>
    <t>Программа "Наш дом" на 2011-2015 годы на капитальный ремонт многоквартирных домов (5227000)</t>
  </si>
  <si>
    <t>Заведующий бюджетным отделом</t>
  </si>
  <si>
    <t>Агеева Н.В,</t>
  </si>
  <si>
    <t>Заведующий отделом доходов</t>
  </si>
  <si>
    <t>___________</t>
  </si>
  <si>
    <t>Мартюшова О.Г.</t>
  </si>
  <si>
    <t>Первонач.</t>
  </si>
  <si>
    <t>Уточненный</t>
  </si>
  <si>
    <t>план</t>
  </si>
  <si>
    <t xml:space="preserve">план </t>
  </si>
  <si>
    <t>от первонач.</t>
  </si>
  <si>
    <t>от уточн.плана</t>
  </si>
  <si>
    <t>плана 2012</t>
  </si>
  <si>
    <t>Программа "Энергосбережения и повышения энергоэффективности в ХМАО-Югре" на 2010-2013гг на период до 2015г. (5226300, 0923400, 7956300)</t>
  </si>
  <si>
    <t>исполнение на 01.12.2012</t>
  </si>
  <si>
    <t>исполнения на 01.12.2012</t>
  </si>
  <si>
    <t>Бюджетные инвестиции в объекты капитального строительства государственной собственности субъектов РФ (объекты капитального строительства собственности муниципальнных образований ) ЦСР 5222811, 5222812, 5222603 округ, 310 тс 01.40.09, 01.40.46, 01.60.00</t>
  </si>
  <si>
    <t>19  декабря  2012 года</t>
  </si>
  <si>
    <t>Отчет об исполнении консолидированного бюджета Октябрьского района по состоянию на 01.12.2012</t>
  </si>
  <si>
    <t>00021800000000000000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</si>
  <si>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</si>
  <si>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00021900000000000000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</si>
</sst>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"/>
    <numFmt numFmtId="171" formatCode="_-* #,##0.0_р_._-;\-* #,##0.0_р_._-;_-* &quot;-&quot;?_р_._-;_-@_-"/>
  </numFmts>
  <fonts count="55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8"/>
      <name val="Arial Cyr"/>
      <family val="0"/>
    </font>
    <font>
      <b/>
      <sz val="11"/>
      <color indexed="3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0"/>
      <name val="Arial"/>
      <family val="2"/>
    </font>
    <font>
      <b/>
      <sz val="8"/>
      <color indexed="36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8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8"/>
      <color theme="3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168" fontId="4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16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8" fontId="2" fillId="0" borderId="0" xfId="0" applyNumberFormat="1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vertical="top" wrapText="1"/>
    </xf>
    <xf numFmtId="2" fontId="2" fillId="0" borderId="16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49" fontId="1" fillId="0" borderId="16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left" vertical="top"/>
    </xf>
    <xf numFmtId="168" fontId="4" fillId="0" borderId="16" xfId="0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 vertical="top" wrapText="1"/>
    </xf>
    <xf numFmtId="168" fontId="5" fillId="0" borderId="10" xfId="0" applyNumberFormat="1" applyFont="1" applyFill="1" applyBorder="1" applyAlignment="1">
      <alignment horizontal="right" vertical="top"/>
    </xf>
    <xf numFmtId="168" fontId="5" fillId="0" borderId="10" xfId="0" applyNumberFormat="1" applyFont="1" applyFill="1" applyBorder="1" applyAlignment="1">
      <alignment vertical="top"/>
    </xf>
    <xf numFmtId="168" fontId="5" fillId="0" borderId="16" xfId="0" applyNumberFormat="1" applyFont="1" applyFill="1" applyBorder="1" applyAlignment="1">
      <alignment horizontal="right" vertical="top"/>
    </xf>
    <xf numFmtId="49" fontId="2" fillId="0" borderId="16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2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168" fontId="1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vertical="top"/>
    </xf>
    <xf numFmtId="49" fontId="2" fillId="0" borderId="15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 shrinkToFit="1"/>
    </xf>
    <xf numFmtId="49" fontId="1" fillId="0" borderId="10" xfId="0" applyNumberFormat="1" applyFont="1" applyFill="1" applyBorder="1" applyAlignment="1">
      <alignment horizontal="center" vertical="top" wrapText="1"/>
    </xf>
    <xf numFmtId="168" fontId="4" fillId="0" borderId="10" xfId="0" applyNumberFormat="1" applyFont="1" applyFill="1" applyBorder="1" applyAlignment="1">
      <alignment horizontal="right" vertical="top"/>
    </xf>
    <xf numFmtId="0" fontId="2" fillId="0" borderId="16" xfId="0" applyFont="1" applyFill="1" applyBorder="1" applyAlignment="1">
      <alignment vertical="top" wrapText="1"/>
    </xf>
    <xf numFmtId="168" fontId="5" fillId="0" borderId="16" xfId="0" applyNumberFormat="1" applyFont="1" applyFill="1" applyBorder="1" applyAlignment="1">
      <alignment vertical="top"/>
    </xf>
    <xf numFmtId="168" fontId="2" fillId="0" borderId="10" xfId="0" applyNumberFormat="1" applyFont="1" applyFill="1" applyBorder="1" applyAlignment="1">
      <alignment horizontal="right" vertical="top" wrapText="1"/>
    </xf>
    <xf numFmtId="168" fontId="4" fillId="0" borderId="13" xfId="0" applyNumberFormat="1" applyFont="1" applyFill="1" applyBorder="1" applyAlignment="1">
      <alignment vertical="top"/>
    </xf>
    <xf numFmtId="168" fontId="4" fillId="0" borderId="0" xfId="0" applyNumberFormat="1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68" fontId="4" fillId="0" borderId="12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center" vertical="top"/>
    </xf>
    <xf numFmtId="168" fontId="1" fillId="0" borderId="14" xfId="0" applyNumberFormat="1" applyFont="1" applyFill="1" applyBorder="1" applyAlignment="1">
      <alignment horizontal="right" vertical="top" wrapText="1"/>
    </xf>
    <xf numFmtId="49" fontId="5" fillId="0" borderId="15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left" vertical="top" wrapText="1"/>
    </xf>
    <xf numFmtId="169" fontId="5" fillId="0" borderId="10" xfId="0" applyNumberFormat="1" applyFont="1" applyFill="1" applyBorder="1" applyAlignment="1">
      <alignment vertical="top"/>
    </xf>
    <xf numFmtId="49" fontId="2" fillId="0" borderId="12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/>
    </xf>
    <xf numFmtId="49" fontId="5" fillId="0" borderId="12" xfId="0" applyNumberFormat="1" applyFont="1" applyFill="1" applyBorder="1" applyAlignment="1">
      <alignment horizontal="left" vertical="top"/>
    </xf>
    <xf numFmtId="168" fontId="2" fillId="0" borderId="10" xfId="0" applyNumberFormat="1" applyFont="1" applyFill="1" applyBorder="1" applyAlignment="1">
      <alignment horizontal="right" vertical="top" wrapText="1"/>
    </xf>
    <xf numFmtId="49" fontId="2" fillId="0" borderId="15" xfId="0" applyNumberFormat="1" applyFont="1" applyFill="1" applyBorder="1" applyAlignment="1">
      <alignment horizontal="left" vertical="top" wrapText="1"/>
    </xf>
    <xf numFmtId="49" fontId="2" fillId="0" borderId="15" xfId="0" applyNumberFormat="1" applyFont="1" applyFill="1" applyBorder="1" applyAlignment="1">
      <alignment vertical="top" wrapText="1"/>
    </xf>
    <xf numFmtId="171" fontId="10" fillId="0" borderId="0" xfId="53" applyNumberFormat="1" applyFont="1" applyFill="1" applyBorder="1" applyAlignment="1">
      <alignment horizontal="center" vertical="center" wrapText="1"/>
      <protection/>
    </xf>
    <xf numFmtId="171" fontId="10" fillId="0" borderId="0" xfId="0" applyNumberFormat="1" applyFont="1" applyFill="1" applyAlignment="1">
      <alignment horizontal="center" vertical="center" wrapText="1"/>
    </xf>
    <xf numFmtId="171" fontId="10" fillId="0" borderId="0" xfId="0" applyNumberFormat="1" applyFont="1" applyAlignment="1">
      <alignment horizontal="center" vertical="center" wrapText="1"/>
    </xf>
    <xf numFmtId="171" fontId="11" fillId="0" borderId="0" xfId="0" applyNumberFormat="1" applyFont="1" applyFill="1" applyAlignment="1">
      <alignment horizontal="center" vertical="center" wrapText="1"/>
    </xf>
    <xf numFmtId="171" fontId="11" fillId="0" borderId="0" xfId="0" applyNumberFormat="1" applyFont="1" applyAlignment="1">
      <alignment horizontal="center" vertical="center" wrapText="1"/>
    </xf>
    <xf numFmtId="49" fontId="9" fillId="0" borderId="0" xfId="53" applyNumberFormat="1" applyFont="1" applyFill="1" applyBorder="1" applyAlignment="1">
      <alignment horizontal="center" vertical="center" wrapText="1"/>
      <protection/>
    </xf>
    <xf numFmtId="0" fontId="9" fillId="0" borderId="0" xfId="53" applyNumberFormat="1" applyFont="1" applyFill="1" applyBorder="1" applyAlignment="1">
      <alignment horizontal="left" vertical="center" wrapText="1"/>
      <protection/>
    </xf>
    <xf numFmtId="171" fontId="53" fillId="0" borderId="0" xfId="53" applyNumberFormat="1" applyFont="1" applyFill="1" applyBorder="1" applyAlignment="1">
      <alignment horizontal="center" vertical="center" wrapText="1"/>
      <protection/>
    </xf>
    <xf numFmtId="171" fontId="11" fillId="0" borderId="0" xfId="53" applyNumberFormat="1" applyFont="1" applyFill="1" applyBorder="1" applyAlignment="1">
      <alignment horizontal="center" vertical="center" wrapText="1"/>
      <protection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171" fontId="53" fillId="0" borderId="0" xfId="0" applyNumberFormat="1" applyFont="1" applyFill="1" applyBorder="1" applyAlignment="1">
      <alignment horizontal="center" vertical="center" wrapText="1"/>
    </xf>
    <xf numFmtId="171" fontId="10" fillId="0" borderId="0" xfId="0" applyNumberFormat="1" applyFont="1" applyFill="1" applyBorder="1" applyAlignment="1">
      <alignment horizontal="center" vertical="center" wrapText="1"/>
    </xf>
    <xf numFmtId="171" fontId="10" fillId="0" borderId="15" xfId="53" applyNumberFormat="1" applyFont="1" applyFill="1" applyBorder="1" applyAlignment="1">
      <alignment horizontal="center" vertical="center" wrapText="1"/>
      <protection/>
    </xf>
    <xf numFmtId="49" fontId="9" fillId="0" borderId="0" xfId="0" applyNumberFormat="1" applyFont="1" applyFill="1" applyBorder="1" applyAlignment="1">
      <alignment horizontal="right" vertical="center" wrapText="1"/>
    </xf>
    <xf numFmtId="171" fontId="10" fillId="0" borderId="0" xfId="0" applyNumberFormat="1" applyFont="1" applyFill="1" applyBorder="1" applyAlignment="1">
      <alignment horizontal="left" vertical="center" wrapText="1"/>
    </xf>
    <xf numFmtId="171" fontId="10" fillId="0" borderId="0" xfId="0" applyNumberFormat="1" applyFont="1" applyFill="1" applyAlignment="1">
      <alignment horizontal="left" vertical="center" wrapText="1"/>
    </xf>
    <xf numFmtId="171" fontId="10" fillId="0" borderId="15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171" fontId="53" fillId="0" borderId="0" xfId="0" applyNumberFormat="1" applyFont="1" applyFill="1" applyAlignment="1">
      <alignment horizontal="center" vertical="center" wrapText="1"/>
    </xf>
    <xf numFmtId="0" fontId="0" fillId="0" borderId="0" xfId="0" applyBorder="1" applyAlignment="1">
      <alignment/>
    </xf>
    <xf numFmtId="171" fontId="54" fillId="33" borderId="10" xfId="53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12" xfId="0" applyFont="1" applyFill="1" applyBorder="1" applyAlignment="1">
      <alignment horizontal="center"/>
    </xf>
    <xf numFmtId="168" fontId="6" fillId="0" borderId="12" xfId="0" applyNumberFormat="1" applyFont="1" applyFill="1" applyBorder="1" applyAlignment="1">
      <alignment horizontal="center"/>
    </xf>
    <xf numFmtId="168" fontId="6" fillId="0" borderId="11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168" fontId="6" fillId="0" borderId="14" xfId="0" applyNumberFormat="1" applyFont="1" applyFill="1" applyBorder="1" applyAlignment="1">
      <alignment horizontal="center"/>
    </xf>
    <xf numFmtId="168" fontId="6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14" fontId="6" fillId="0" borderId="14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wrapText="1"/>
    </xf>
    <xf numFmtId="0" fontId="0" fillId="0" borderId="16" xfId="0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168" fontId="2" fillId="0" borderId="10" xfId="0" applyNumberFormat="1" applyFont="1" applyFill="1" applyBorder="1" applyAlignment="1">
      <alignment vertical="top" wrapText="1"/>
    </xf>
    <xf numFmtId="168" fontId="2" fillId="0" borderId="15" xfId="0" applyNumberFormat="1" applyFont="1" applyFill="1" applyBorder="1" applyAlignment="1">
      <alignment vertical="top" wrapText="1"/>
    </xf>
    <xf numFmtId="168" fontId="2" fillId="0" borderId="10" xfId="0" applyNumberFormat="1" applyFont="1" applyFill="1" applyBorder="1" applyAlignment="1">
      <alignment vertical="top"/>
    </xf>
    <xf numFmtId="168" fontId="2" fillId="0" borderId="15" xfId="0" applyNumberFormat="1" applyFont="1" applyFill="1" applyBorder="1" applyAlignment="1">
      <alignment vertical="top" wrapText="1" shrinkToFit="1"/>
    </xf>
    <xf numFmtId="168" fontId="2" fillId="0" borderId="16" xfId="0" applyNumberFormat="1" applyFont="1" applyFill="1" applyBorder="1" applyAlignment="1">
      <alignment vertical="top" wrapText="1"/>
    </xf>
    <xf numFmtId="168" fontId="1" fillId="0" borderId="10" xfId="0" applyNumberFormat="1" applyFont="1" applyFill="1" applyBorder="1" applyAlignment="1">
      <alignment vertical="top" wrapText="1"/>
    </xf>
    <xf numFmtId="168" fontId="2" fillId="0" borderId="16" xfId="0" applyNumberFormat="1" applyFont="1" applyFill="1" applyBorder="1" applyAlignment="1">
      <alignment horizontal="right" vertical="top" wrapText="1"/>
    </xf>
    <xf numFmtId="168" fontId="2" fillId="0" borderId="15" xfId="0" applyNumberFormat="1" applyFont="1" applyFill="1" applyBorder="1" applyAlignment="1">
      <alignment horizontal="right" vertical="top" wrapText="1"/>
    </xf>
    <xf numFmtId="168" fontId="4" fillId="0" borderId="12" xfId="0" applyNumberFormat="1" applyFont="1" applyFill="1" applyBorder="1" applyAlignment="1">
      <alignment horizontal="right" vertical="top"/>
    </xf>
    <xf numFmtId="168" fontId="2" fillId="0" borderId="10" xfId="0" applyNumberFormat="1" applyFont="1" applyFill="1" applyBorder="1" applyAlignment="1">
      <alignment horizontal="right" vertical="top"/>
    </xf>
    <xf numFmtId="168" fontId="4" fillId="0" borderId="16" xfId="0" applyNumberFormat="1" applyFont="1" applyFill="1" applyBorder="1" applyAlignment="1">
      <alignment vertical="top"/>
    </xf>
    <xf numFmtId="171" fontId="10" fillId="33" borderId="10" xfId="53" applyNumberFormat="1" applyFont="1" applyFill="1" applyBorder="1" applyAlignment="1">
      <alignment horizontal="center" vertical="center" wrapText="1"/>
      <protection/>
    </xf>
    <xf numFmtId="171" fontId="10" fillId="33" borderId="10" xfId="0" applyNumberFormat="1" applyFont="1" applyFill="1" applyBorder="1" applyAlignment="1">
      <alignment horizontal="center" vertical="center" wrapText="1"/>
    </xf>
    <xf numFmtId="49" fontId="9" fillId="0" borderId="0" xfId="53" applyNumberFormat="1" applyFont="1" applyAlignment="1">
      <alignment horizontal="center" vertical="center" wrapText="1"/>
      <protection/>
    </xf>
    <xf numFmtId="0" fontId="9" fillId="0" borderId="0" xfId="53" applyNumberFormat="1" applyFont="1" applyAlignment="1">
      <alignment horizontal="left" vertical="center" wrapText="1"/>
      <protection/>
    </xf>
    <xf numFmtId="171" fontId="53" fillId="0" borderId="0" xfId="53" applyNumberFormat="1" applyFont="1" applyFill="1" applyAlignment="1">
      <alignment horizontal="center" vertical="center" wrapText="1"/>
      <protection/>
    </xf>
    <xf numFmtId="171" fontId="10" fillId="0" borderId="0" xfId="53" applyNumberFormat="1" applyFont="1" applyFill="1" applyAlignment="1">
      <alignment horizontal="center" vertical="center" wrapText="1"/>
      <protection/>
    </xf>
    <xf numFmtId="171" fontId="11" fillId="34" borderId="20" xfId="53" applyNumberFormat="1" applyFont="1" applyFill="1" applyBorder="1" applyAlignment="1">
      <alignment horizontal="center" vertical="center" wrapText="1"/>
      <protection/>
    </xf>
    <xf numFmtId="171" fontId="11" fillId="34" borderId="20" xfId="0" applyNumberFormat="1" applyFont="1" applyFill="1" applyBorder="1" applyAlignment="1">
      <alignment horizontal="center" vertical="center" wrapText="1"/>
    </xf>
    <xf numFmtId="171" fontId="11" fillId="34" borderId="21" xfId="0" applyNumberFormat="1" applyFont="1" applyFill="1" applyBorder="1" applyAlignment="1">
      <alignment horizontal="center" vertical="center" wrapText="1"/>
    </xf>
    <xf numFmtId="168" fontId="2" fillId="0" borderId="15" xfId="0" applyNumberFormat="1" applyFont="1" applyFill="1" applyBorder="1" applyAlignment="1">
      <alignment vertical="top"/>
    </xf>
    <xf numFmtId="0" fontId="6" fillId="0" borderId="22" xfId="0" applyFont="1" applyFill="1" applyBorder="1" applyAlignment="1">
      <alignment horizontal="center" vertical="top"/>
    </xf>
    <xf numFmtId="0" fontId="6" fillId="0" borderId="23" xfId="0" applyFont="1" applyFill="1" applyBorder="1" applyAlignment="1">
      <alignment horizontal="center" vertical="top"/>
    </xf>
    <xf numFmtId="0" fontId="6" fillId="0" borderId="24" xfId="0" applyFont="1" applyFill="1" applyBorder="1" applyAlignment="1">
      <alignment horizontal="center" vertical="top"/>
    </xf>
    <xf numFmtId="49" fontId="2" fillId="0" borderId="22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44" fontId="2" fillId="0" borderId="22" xfId="42" applyFont="1" applyFill="1" applyBorder="1" applyAlignment="1">
      <alignment horizontal="center" vertical="top" wrapText="1"/>
    </xf>
    <xf numFmtId="44" fontId="2" fillId="0" borderId="23" xfId="42" applyFont="1" applyFill="1" applyBorder="1" applyAlignment="1">
      <alignment horizontal="center" vertical="top" wrapText="1"/>
    </xf>
    <xf numFmtId="44" fontId="2" fillId="0" borderId="24" xfId="42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68" fontId="4" fillId="0" borderId="23" xfId="0" applyNumberFormat="1" applyFont="1" applyFill="1" applyBorder="1" applyAlignment="1">
      <alignment horizontal="center" vertical="top"/>
    </xf>
    <xf numFmtId="168" fontId="4" fillId="0" borderId="24" xfId="0" applyNumberFormat="1" applyFont="1" applyFill="1" applyBorder="1" applyAlignment="1">
      <alignment horizontal="center" vertical="top"/>
    </xf>
    <xf numFmtId="171" fontId="10" fillId="0" borderId="0" xfId="0" applyNumberFormat="1" applyFont="1" applyFill="1" applyBorder="1" applyAlignment="1">
      <alignment horizontal="left" vertical="center" wrapText="1"/>
    </xf>
    <xf numFmtId="171" fontId="10" fillId="0" borderId="0" xfId="53" applyNumberFormat="1" applyFont="1" applyFill="1" applyBorder="1" applyAlignment="1">
      <alignment horizontal="left" vertical="center" wrapText="1"/>
      <protection/>
    </xf>
    <xf numFmtId="0" fontId="9" fillId="0" borderId="0" xfId="53" applyNumberFormat="1" applyFont="1" applyFill="1" applyBorder="1" applyAlignment="1">
      <alignment horizontal="right" vertical="center" wrapText="1"/>
      <protection/>
    </xf>
    <xf numFmtId="0" fontId="8" fillId="0" borderId="0" xfId="53" applyNumberFormat="1" applyFont="1" applyAlignment="1">
      <alignment horizontal="center" vertical="center" wrapText="1"/>
      <protection/>
    </xf>
    <xf numFmtId="49" fontId="9" fillId="0" borderId="25" xfId="53" applyNumberFormat="1" applyFont="1" applyBorder="1" applyAlignment="1">
      <alignment horizontal="center" vertical="center" wrapText="1"/>
      <protection/>
    </xf>
    <xf numFmtId="49" fontId="9" fillId="0" borderId="26" xfId="53" applyNumberFormat="1" applyFont="1" applyBorder="1" applyAlignment="1">
      <alignment horizontal="center" vertical="center" wrapText="1"/>
      <protection/>
    </xf>
    <xf numFmtId="0" fontId="9" fillId="0" borderId="27" xfId="53" applyNumberFormat="1" applyFont="1" applyBorder="1" applyAlignment="1">
      <alignment horizontal="center" vertical="center" wrapText="1"/>
      <protection/>
    </xf>
    <xf numFmtId="0" fontId="9" fillId="0" borderId="10" xfId="53" applyNumberFormat="1" applyFont="1" applyBorder="1" applyAlignment="1">
      <alignment horizontal="center" vertical="center" wrapText="1"/>
      <protection/>
    </xf>
    <xf numFmtId="171" fontId="10" fillId="0" borderId="27" xfId="53" applyNumberFormat="1" applyFont="1" applyFill="1" applyBorder="1" applyAlignment="1">
      <alignment horizontal="center" vertical="center" wrapText="1"/>
      <protection/>
    </xf>
    <xf numFmtId="171" fontId="10" fillId="0" borderId="27" xfId="0" applyNumberFormat="1" applyFont="1" applyBorder="1" applyAlignment="1">
      <alignment horizontal="center" vertical="center" wrapText="1"/>
    </xf>
    <xf numFmtId="171" fontId="11" fillId="0" borderId="27" xfId="0" applyNumberFormat="1" applyFont="1" applyFill="1" applyBorder="1" applyAlignment="1">
      <alignment horizontal="center" vertical="center" wrapText="1"/>
    </xf>
    <xf numFmtId="171" fontId="11" fillId="0" borderId="28" xfId="0" applyNumberFormat="1" applyFont="1" applyFill="1" applyBorder="1" applyAlignment="1">
      <alignment horizontal="center" vertical="center" wrapText="1"/>
    </xf>
    <xf numFmtId="171" fontId="10" fillId="0" borderId="10" xfId="53" applyNumberFormat="1" applyFont="1" applyFill="1" applyBorder="1" applyAlignment="1">
      <alignment horizontal="center" vertical="center" wrapText="1"/>
      <protection/>
    </xf>
    <xf numFmtId="171" fontId="10" fillId="0" borderId="10" xfId="0" applyNumberFormat="1" applyFont="1" applyBorder="1" applyAlignment="1">
      <alignment horizontal="center" vertical="center" wrapText="1"/>
    </xf>
    <xf numFmtId="171" fontId="10" fillId="0" borderId="10" xfId="53" applyNumberFormat="1" applyFont="1" applyBorder="1" applyAlignment="1">
      <alignment horizontal="center" vertical="center" wrapText="1"/>
      <protection/>
    </xf>
    <xf numFmtId="171" fontId="11" fillId="0" borderId="10" xfId="53" applyNumberFormat="1" applyFont="1" applyFill="1" applyBorder="1" applyAlignment="1">
      <alignment horizontal="center" vertical="center" wrapText="1"/>
      <protection/>
    </xf>
    <xf numFmtId="171" fontId="11" fillId="0" borderId="10" xfId="0" applyNumberFormat="1" applyFont="1" applyBorder="1" applyAlignment="1">
      <alignment horizontal="center" vertical="center" wrapText="1"/>
    </xf>
    <xf numFmtId="171" fontId="11" fillId="0" borderId="10" xfId="53" applyNumberFormat="1" applyFont="1" applyBorder="1" applyAlignment="1">
      <alignment horizontal="center" vertical="center" wrapText="1"/>
      <protection/>
    </xf>
    <xf numFmtId="171" fontId="7" fillId="0" borderId="10" xfId="0" applyNumberFormat="1" applyFont="1" applyBorder="1" applyAlignment="1">
      <alignment horizontal="center" vertical="center"/>
    </xf>
    <xf numFmtId="171" fontId="11" fillId="0" borderId="29" xfId="53" applyNumberFormat="1" applyFont="1" applyBorder="1" applyAlignment="1">
      <alignment horizontal="center" vertical="center" wrapText="1"/>
      <protection/>
    </xf>
    <xf numFmtId="171" fontId="11" fillId="0" borderId="29" xfId="0" applyNumberFormat="1" applyFont="1" applyBorder="1" applyAlignment="1">
      <alignment horizontal="center" vertical="center" wrapText="1"/>
    </xf>
    <xf numFmtId="0" fontId="12" fillId="0" borderId="10" xfId="53" applyNumberFormat="1" applyFont="1" applyFill="1" applyBorder="1" applyAlignment="1">
      <alignment horizontal="center" vertical="center" wrapText="1"/>
      <protection/>
    </xf>
    <xf numFmtId="0" fontId="12" fillId="0" borderId="29" xfId="53" applyNumberFormat="1" applyFont="1" applyFill="1" applyBorder="1" applyAlignment="1">
      <alignment horizontal="center" vertical="center" wrapText="1"/>
      <protection/>
    </xf>
    <xf numFmtId="0" fontId="14" fillId="34" borderId="30" xfId="53" applyNumberFormat="1" applyFont="1" applyFill="1" applyBorder="1" applyAlignment="1">
      <alignment horizontal="center" vertical="center" wrapText="1"/>
      <protection/>
    </xf>
    <xf numFmtId="0" fontId="14" fillId="34" borderId="20" xfId="53" applyNumberFormat="1" applyFont="1" applyFill="1" applyBorder="1" applyAlignment="1">
      <alignment horizontal="center" vertical="center" wrapText="1"/>
      <protection/>
    </xf>
    <xf numFmtId="49" fontId="12" fillId="33" borderId="26" xfId="53" applyNumberFormat="1" applyFont="1" applyFill="1" applyBorder="1" applyAlignment="1" quotePrefix="1">
      <alignment horizontal="center" vertical="center" wrapText="1"/>
      <protection/>
    </xf>
    <xf numFmtId="0" fontId="12" fillId="33" borderId="10" xfId="53" applyNumberFormat="1" applyFont="1" applyFill="1" applyBorder="1" applyAlignment="1">
      <alignment horizontal="left" vertical="center" wrapText="1"/>
      <protection/>
    </xf>
    <xf numFmtId="171" fontId="11" fillId="33" borderId="10" xfId="53" applyNumberFormat="1" applyFont="1" applyFill="1" applyBorder="1" applyAlignment="1">
      <alignment horizontal="center" vertical="center" wrapText="1"/>
      <protection/>
    </xf>
    <xf numFmtId="171" fontId="11" fillId="33" borderId="29" xfId="0" applyNumberFormat="1" applyFont="1" applyFill="1" applyBorder="1" applyAlignment="1">
      <alignment horizontal="center" vertical="center" wrapText="1"/>
    </xf>
    <xf numFmtId="49" fontId="9" fillId="33" borderId="26" xfId="53" applyNumberFormat="1" applyFont="1" applyFill="1" applyBorder="1" applyAlignment="1" quotePrefix="1">
      <alignment horizontal="center" vertical="center" wrapText="1"/>
      <protection/>
    </xf>
    <xf numFmtId="0" fontId="9" fillId="33" borderId="10" xfId="53" applyNumberFormat="1" applyFont="1" applyFill="1" applyBorder="1" applyAlignment="1">
      <alignment horizontal="left" vertical="center" wrapText="1"/>
      <protection/>
    </xf>
    <xf numFmtId="171" fontId="11" fillId="33" borderId="10" xfId="0" applyNumberFormat="1" applyFont="1" applyFill="1" applyBorder="1" applyAlignment="1">
      <alignment horizontal="center" vertical="center" wrapText="1"/>
    </xf>
    <xf numFmtId="49" fontId="9" fillId="33" borderId="26" xfId="53" applyNumberFormat="1" applyFont="1" applyFill="1" applyBorder="1" applyAlignment="1">
      <alignment horizontal="center" vertical="center" wrapText="1"/>
      <protection/>
    </xf>
    <xf numFmtId="171" fontId="11" fillId="33" borderId="29" xfId="53" applyNumberFormat="1" applyFont="1" applyFill="1" applyBorder="1" applyAlignment="1">
      <alignment horizontal="center" vertical="center" wrapText="1"/>
      <protection/>
    </xf>
    <xf numFmtId="49" fontId="12" fillId="33" borderId="26" xfId="53" applyNumberFormat="1" applyFont="1" applyFill="1" applyBorder="1" applyAlignment="1" quotePrefix="1">
      <alignment horizontal="center" vertical="center" wrapText="1"/>
      <protection/>
    </xf>
    <xf numFmtId="0" fontId="12" fillId="33" borderId="10" xfId="53" applyNumberFormat="1" applyFont="1" applyFill="1" applyBorder="1" applyAlignment="1">
      <alignment horizontal="left" vertical="center" wrapText="1"/>
      <protection/>
    </xf>
    <xf numFmtId="171" fontId="11" fillId="33" borderId="10" xfId="53" applyNumberFormat="1" applyFont="1" applyFill="1" applyBorder="1" applyAlignment="1">
      <alignment horizontal="center" vertical="center" wrapText="1"/>
      <protection/>
    </xf>
    <xf numFmtId="0" fontId="10" fillId="33" borderId="10" xfId="52" applyNumberFormat="1" applyFont="1" applyFill="1" applyBorder="1" applyAlignment="1" applyProtection="1">
      <alignment horizontal="left" vertical="center" wrapText="1"/>
      <protection hidden="1"/>
    </xf>
    <xf numFmtId="43" fontId="11" fillId="33" borderId="10" xfId="0" applyNumberFormat="1" applyFont="1" applyFill="1" applyBorder="1" applyAlignment="1">
      <alignment horizontal="center" vertical="center" wrapText="1"/>
    </xf>
    <xf numFmtId="49" fontId="12" fillId="33" borderId="26" xfId="53" applyNumberFormat="1" applyFont="1" applyFill="1" applyBorder="1" applyAlignment="1">
      <alignment horizontal="center" vertical="center" wrapText="1"/>
      <protection/>
    </xf>
    <xf numFmtId="0" fontId="12" fillId="33" borderId="10" xfId="0" applyNumberFormat="1" applyFont="1" applyFill="1" applyBorder="1" applyAlignment="1">
      <alignment horizontal="left" vertical="center" wrapText="1"/>
    </xf>
    <xf numFmtId="0" fontId="9" fillId="33" borderId="10" xfId="0" applyNumberFormat="1" applyFont="1" applyFill="1" applyBorder="1" applyAlignment="1">
      <alignment horizontal="left" vertical="center" wrapText="1"/>
    </xf>
    <xf numFmtId="49" fontId="10" fillId="33" borderId="26" xfId="53" applyNumberFormat="1" applyFont="1" applyFill="1" applyBorder="1" applyAlignment="1">
      <alignment horizontal="center" vertical="center" wrapText="1"/>
      <protection/>
    </xf>
    <xf numFmtId="0" fontId="10" fillId="33" borderId="10" xfId="53" applyNumberFormat="1" applyFont="1" applyFill="1" applyBorder="1" applyAlignment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9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:M216"/>
    </sheetView>
  </sheetViews>
  <sheetFormatPr defaultColWidth="9.00390625" defaultRowHeight="12.75" outlineLevelCol="1"/>
  <cols>
    <col min="1" max="1" width="21.25390625" style="2" customWidth="1"/>
    <col min="2" max="2" width="6.75390625" style="2" hidden="1" customWidth="1"/>
    <col min="3" max="3" width="68.75390625" style="2" customWidth="1"/>
    <col min="4" max="4" width="12.75390625" style="2" customWidth="1"/>
    <col min="5" max="5" width="11.375" style="2" hidden="1" customWidth="1" outlineLevel="1"/>
    <col min="6" max="6" width="11.00390625" style="2" hidden="1" customWidth="1" outlineLevel="1"/>
    <col min="7" max="7" width="9.00390625" style="2" hidden="1" customWidth="1" outlineLevel="1"/>
    <col min="8" max="8" width="10.25390625" style="2" hidden="1" customWidth="1" outlineLevel="1"/>
    <col min="9" max="9" width="12.625" style="2" customWidth="1" collapsed="1"/>
    <col min="10" max="10" width="12.125" style="2" customWidth="1"/>
    <col min="11" max="11" width="13.375" style="2" customWidth="1"/>
    <col min="12" max="12" width="10.00390625" style="2" customWidth="1"/>
    <col min="13" max="16384" width="9.125" style="2" customWidth="1"/>
  </cols>
  <sheetData>
    <row r="1" spans="1:13" ht="12.75">
      <c r="A1" s="134"/>
      <c r="B1" s="134"/>
      <c r="C1" s="134"/>
      <c r="D1" s="21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 s="134" t="s">
        <v>257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3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2" ht="12.75">
      <c r="A4" s="12"/>
      <c r="B4" s="12"/>
      <c r="C4" s="13"/>
      <c r="D4" s="13"/>
      <c r="E4" s="4"/>
      <c r="F4" s="4"/>
      <c r="G4" s="4"/>
      <c r="H4" s="4"/>
      <c r="I4" s="4"/>
      <c r="J4" s="4"/>
      <c r="K4" s="4" t="s">
        <v>73</v>
      </c>
      <c r="L4" s="4"/>
    </row>
    <row r="5" spans="1:13" ht="12.75">
      <c r="A5" s="8" t="s">
        <v>46</v>
      </c>
      <c r="B5" s="8"/>
      <c r="C5" s="9"/>
      <c r="D5" s="9" t="s">
        <v>245</v>
      </c>
      <c r="E5" s="90" t="s">
        <v>246</v>
      </c>
      <c r="F5" s="91" t="s">
        <v>40</v>
      </c>
      <c r="G5" s="91" t="s">
        <v>40</v>
      </c>
      <c r="H5" s="91" t="s">
        <v>40</v>
      </c>
      <c r="I5" s="91" t="s">
        <v>40</v>
      </c>
      <c r="J5" s="92" t="s">
        <v>40</v>
      </c>
      <c r="K5" s="90" t="s">
        <v>52</v>
      </c>
      <c r="L5" s="93" t="s">
        <v>41</v>
      </c>
      <c r="M5" s="90" t="s">
        <v>41</v>
      </c>
    </row>
    <row r="6" spans="1:13" ht="12" customHeight="1">
      <c r="A6" s="10" t="s">
        <v>51</v>
      </c>
      <c r="B6" s="10"/>
      <c r="C6" s="11" t="s">
        <v>16</v>
      </c>
      <c r="D6" s="11" t="s">
        <v>247</v>
      </c>
      <c r="E6" s="94" t="s">
        <v>248</v>
      </c>
      <c r="F6" s="95" t="s">
        <v>65</v>
      </c>
      <c r="G6" s="95" t="s">
        <v>66</v>
      </c>
      <c r="H6" s="96" t="s">
        <v>23</v>
      </c>
      <c r="I6" s="97" t="s">
        <v>24</v>
      </c>
      <c r="J6" s="98" t="s">
        <v>236</v>
      </c>
      <c r="K6" s="99">
        <v>41244</v>
      </c>
      <c r="L6" s="100" t="s">
        <v>249</v>
      </c>
      <c r="M6" s="94" t="s">
        <v>250</v>
      </c>
    </row>
    <row r="7" spans="1:13" ht="12.75">
      <c r="A7" s="10"/>
      <c r="B7" s="10"/>
      <c r="C7" s="11"/>
      <c r="D7" s="11">
        <v>2012</v>
      </c>
      <c r="E7" s="94">
        <v>2012</v>
      </c>
      <c r="F7" s="94">
        <v>2012</v>
      </c>
      <c r="G7" s="94">
        <v>2012</v>
      </c>
      <c r="H7" s="94">
        <v>2012</v>
      </c>
      <c r="I7" s="94">
        <v>2012</v>
      </c>
      <c r="J7" s="98" t="s">
        <v>71</v>
      </c>
      <c r="K7" s="101"/>
      <c r="L7" s="102" t="s">
        <v>251</v>
      </c>
      <c r="M7" s="103">
        <v>2012</v>
      </c>
    </row>
    <row r="8" spans="1:13" ht="12.75">
      <c r="A8" s="135" t="s">
        <v>27</v>
      </c>
      <c r="B8" s="136"/>
      <c r="C8" s="136"/>
      <c r="D8" s="136"/>
      <c r="E8" s="136"/>
      <c r="F8" s="136"/>
      <c r="G8" s="136"/>
      <c r="H8" s="136"/>
      <c r="I8" s="136"/>
      <c r="J8" s="136"/>
      <c r="K8" s="137"/>
      <c r="L8" s="136"/>
      <c r="M8" s="138"/>
    </row>
    <row r="9" spans="1:13" ht="12.75">
      <c r="A9" s="22" t="s">
        <v>3</v>
      </c>
      <c r="B9" s="22"/>
      <c r="C9" s="23" t="s">
        <v>74</v>
      </c>
      <c r="D9" s="24">
        <f aca="true" t="shared" si="0" ref="D9:J9">D10+D11+D12+D13+D15+D16+D18+D20+D14+D21+D17+D23+D19</f>
        <v>652961</v>
      </c>
      <c r="E9" s="24">
        <f t="shared" si="0"/>
        <v>675450</v>
      </c>
      <c r="F9" s="24">
        <f t="shared" si="0"/>
        <v>155488.69999999998</v>
      </c>
      <c r="G9" s="24">
        <f t="shared" si="0"/>
        <v>173164.80000000002</v>
      </c>
      <c r="H9" s="24">
        <f t="shared" si="0"/>
        <v>157114.2</v>
      </c>
      <c r="I9" s="24">
        <f t="shared" si="0"/>
        <v>171360.29999999996</v>
      </c>
      <c r="J9" s="24">
        <f t="shared" si="0"/>
        <v>485767.69999999995</v>
      </c>
      <c r="K9" s="24">
        <f>K10+K11+K12+K13+K15+K16+K18+K20+K14+K21+K17+K23+K19+K22</f>
        <v>640281.2</v>
      </c>
      <c r="L9" s="24">
        <f>K9*100/D9</f>
        <v>98.05810760520153</v>
      </c>
      <c r="M9" s="24">
        <f>K9/E9*100</f>
        <v>94.79327855503738</v>
      </c>
    </row>
    <row r="10" spans="1:13" ht="12.75">
      <c r="A10" s="14" t="s">
        <v>26</v>
      </c>
      <c r="B10" s="14"/>
      <c r="C10" s="25" t="s">
        <v>25</v>
      </c>
      <c r="D10" s="104">
        <v>465736</v>
      </c>
      <c r="E10" s="26">
        <v>485600</v>
      </c>
      <c r="F10" s="27">
        <v>114827.6</v>
      </c>
      <c r="G10" s="27">
        <v>124110.3</v>
      </c>
      <c r="H10" s="27">
        <v>112934.3</v>
      </c>
      <c r="I10" s="27">
        <v>122355.8</v>
      </c>
      <c r="J10" s="28">
        <f>F10+G10+H10</f>
        <v>351872.2</v>
      </c>
      <c r="K10" s="27">
        <v>448574.7</v>
      </c>
      <c r="L10" s="28">
        <f aca="true" t="shared" si="1" ref="L10:L29">K10*100/D10</f>
        <v>96.3152300874315</v>
      </c>
      <c r="M10" s="28">
        <f aca="true" t="shared" si="2" ref="M10:M29">K10/E10*100</f>
        <v>92.37535008237232</v>
      </c>
    </row>
    <row r="11" spans="1:13" ht="12.75">
      <c r="A11" s="29" t="s">
        <v>8</v>
      </c>
      <c r="B11" s="29"/>
      <c r="C11" s="25" t="s">
        <v>5</v>
      </c>
      <c r="D11" s="104">
        <v>28437</v>
      </c>
      <c r="E11" s="26">
        <v>39179.6</v>
      </c>
      <c r="F11" s="27">
        <v>8361.7</v>
      </c>
      <c r="G11" s="27">
        <v>12335.3</v>
      </c>
      <c r="H11" s="27">
        <v>8000.8</v>
      </c>
      <c r="I11" s="27">
        <v>8665.2</v>
      </c>
      <c r="J11" s="28">
        <f aca="true" t="shared" si="3" ref="J11:J21">F11+G11+H11</f>
        <v>28697.8</v>
      </c>
      <c r="K11" s="27">
        <v>37059.7</v>
      </c>
      <c r="L11" s="28">
        <f t="shared" si="1"/>
        <v>130.32211555368005</v>
      </c>
      <c r="M11" s="28">
        <f t="shared" si="2"/>
        <v>94.58927605182288</v>
      </c>
    </row>
    <row r="12" spans="1:13" ht="12.75">
      <c r="A12" s="29" t="s">
        <v>9</v>
      </c>
      <c r="B12" s="29"/>
      <c r="C12" s="25" t="s">
        <v>6</v>
      </c>
      <c r="D12" s="104">
        <v>19309</v>
      </c>
      <c r="E12" s="26">
        <v>22757</v>
      </c>
      <c r="F12" s="27">
        <v>3722.6</v>
      </c>
      <c r="G12" s="27">
        <v>1781.6</v>
      </c>
      <c r="H12" s="27">
        <v>6902.4</v>
      </c>
      <c r="I12" s="27">
        <v>6902.4</v>
      </c>
      <c r="J12" s="28">
        <f t="shared" si="3"/>
        <v>12406.599999999999</v>
      </c>
      <c r="K12" s="27">
        <v>22455.1</v>
      </c>
      <c r="L12" s="28">
        <f t="shared" si="1"/>
        <v>116.29343829302398</v>
      </c>
      <c r="M12" s="28">
        <f t="shared" si="2"/>
        <v>98.67337522520543</v>
      </c>
    </row>
    <row r="13" spans="1:13" ht="12.75">
      <c r="A13" s="29" t="s">
        <v>10</v>
      </c>
      <c r="B13" s="29"/>
      <c r="C13" s="25" t="s">
        <v>22</v>
      </c>
      <c r="D13" s="104">
        <v>9118</v>
      </c>
      <c r="E13" s="26">
        <v>4225</v>
      </c>
      <c r="F13" s="27">
        <v>66.2</v>
      </c>
      <c r="G13" s="27">
        <v>1330</v>
      </c>
      <c r="H13" s="27">
        <v>1407.9</v>
      </c>
      <c r="I13" s="27">
        <v>1410.9</v>
      </c>
      <c r="J13" s="28">
        <f t="shared" si="3"/>
        <v>2804.1000000000004</v>
      </c>
      <c r="K13" s="27">
        <v>4445.4</v>
      </c>
      <c r="L13" s="28">
        <f t="shared" si="1"/>
        <v>48.754112744022805</v>
      </c>
      <c r="M13" s="28">
        <f t="shared" si="2"/>
        <v>105.21656804733728</v>
      </c>
    </row>
    <row r="14" spans="1:13" ht="25.5" customHeight="1">
      <c r="A14" s="29" t="s">
        <v>42</v>
      </c>
      <c r="B14" s="29"/>
      <c r="C14" s="25" t="s">
        <v>43</v>
      </c>
      <c r="D14" s="104">
        <v>0</v>
      </c>
      <c r="E14" s="26">
        <f aca="true" t="shared" si="4" ref="E14:E23">F14+G14+H14+I14</f>
        <v>0</v>
      </c>
      <c r="F14" s="27"/>
      <c r="G14" s="27"/>
      <c r="H14" s="27"/>
      <c r="I14" s="27"/>
      <c r="J14" s="28">
        <f t="shared" si="3"/>
        <v>0</v>
      </c>
      <c r="K14" s="27">
        <v>2.4</v>
      </c>
      <c r="L14" s="28"/>
      <c r="M14" s="28"/>
    </row>
    <row r="15" spans="1:13" ht="24">
      <c r="A15" s="18" t="s">
        <v>11</v>
      </c>
      <c r="B15" s="18"/>
      <c r="C15" s="25" t="s">
        <v>17</v>
      </c>
      <c r="D15" s="104">
        <v>56565</v>
      </c>
      <c r="E15" s="26">
        <v>60618</v>
      </c>
      <c r="F15" s="27">
        <v>16235.3</v>
      </c>
      <c r="G15" s="27">
        <v>13082.8</v>
      </c>
      <c r="H15" s="27">
        <v>13647.1</v>
      </c>
      <c r="I15" s="27">
        <v>17405.8</v>
      </c>
      <c r="J15" s="28">
        <f t="shared" si="3"/>
        <v>42965.2</v>
      </c>
      <c r="K15" s="27">
        <v>70466.7</v>
      </c>
      <c r="L15" s="28">
        <f t="shared" si="1"/>
        <v>124.57650490586052</v>
      </c>
      <c r="M15" s="28">
        <f t="shared" si="2"/>
        <v>116.24715431060079</v>
      </c>
    </row>
    <row r="16" spans="1:13" ht="12.75">
      <c r="A16" s="30" t="s">
        <v>14</v>
      </c>
      <c r="B16" s="30"/>
      <c r="C16" s="25" t="s">
        <v>13</v>
      </c>
      <c r="D16" s="104">
        <v>12581</v>
      </c>
      <c r="E16" s="26">
        <f t="shared" si="4"/>
        <v>12581</v>
      </c>
      <c r="F16" s="27">
        <v>532.8</v>
      </c>
      <c r="G16" s="27">
        <v>6148.2</v>
      </c>
      <c r="H16" s="27">
        <v>2950</v>
      </c>
      <c r="I16" s="27">
        <v>2950</v>
      </c>
      <c r="J16" s="28">
        <f t="shared" si="3"/>
        <v>9631</v>
      </c>
      <c r="K16" s="27">
        <v>13939.9</v>
      </c>
      <c r="L16" s="28">
        <f t="shared" si="1"/>
        <v>110.80120817105158</v>
      </c>
      <c r="M16" s="28">
        <f t="shared" si="2"/>
        <v>110.80120817105158</v>
      </c>
    </row>
    <row r="17" spans="1:13" ht="12.75">
      <c r="A17" s="31" t="s">
        <v>47</v>
      </c>
      <c r="B17" s="31"/>
      <c r="C17" s="25" t="s">
        <v>48</v>
      </c>
      <c r="D17" s="104">
        <v>51434</v>
      </c>
      <c r="E17" s="26">
        <f t="shared" si="4"/>
        <v>28900</v>
      </c>
      <c r="F17" s="27">
        <v>5479.5</v>
      </c>
      <c r="G17" s="27">
        <v>9895.8</v>
      </c>
      <c r="H17" s="27">
        <v>6761.2</v>
      </c>
      <c r="I17" s="27">
        <v>6763.5</v>
      </c>
      <c r="J17" s="28">
        <f t="shared" si="3"/>
        <v>22136.5</v>
      </c>
      <c r="K17" s="27">
        <v>20429.2</v>
      </c>
      <c r="L17" s="28">
        <f t="shared" si="1"/>
        <v>39.71925185674846</v>
      </c>
      <c r="M17" s="28">
        <f t="shared" si="2"/>
        <v>70.68927335640139</v>
      </c>
    </row>
    <row r="18" spans="1:13" ht="12.75">
      <c r="A18" s="31" t="s">
        <v>18</v>
      </c>
      <c r="B18" s="31"/>
      <c r="C18" s="25" t="s">
        <v>15</v>
      </c>
      <c r="D18" s="104">
        <v>5000</v>
      </c>
      <c r="E18" s="26">
        <v>12900</v>
      </c>
      <c r="F18" s="27">
        <v>1161</v>
      </c>
      <c r="G18" s="27">
        <v>3670.2</v>
      </c>
      <c r="H18" s="27">
        <v>3437.9</v>
      </c>
      <c r="I18" s="27">
        <v>3837.9</v>
      </c>
      <c r="J18" s="28">
        <f t="shared" si="3"/>
        <v>8269.1</v>
      </c>
      <c r="K18" s="27">
        <v>12399.7</v>
      </c>
      <c r="L18" s="28">
        <f t="shared" si="1"/>
        <v>247.994</v>
      </c>
      <c r="M18" s="28">
        <f t="shared" si="2"/>
        <v>96.1217054263566</v>
      </c>
    </row>
    <row r="19" spans="1:13" ht="12.75">
      <c r="A19" s="31" t="s">
        <v>69</v>
      </c>
      <c r="B19" s="31"/>
      <c r="C19" s="25" t="s">
        <v>70</v>
      </c>
      <c r="D19" s="104">
        <v>7</v>
      </c>
      <c r="E19" s="26">
        <v>17</v>
      </c>
      <c r="F19" s="27">
        <v>3.3</v>
      </c>
      <c r="G19" s="27">
        <v>0.7</v>
      </c>
      <c r="H19" s="27">
        <v>2</v>
      </c>
      <c r="I19" s="27">
        <v>1</v>
      </c>
      <c r="J19" s="28">
        <f t="shared" si="3"/>
        <v>6</v>
      </c>
      <c r="K19" s="27">
        <v>30.3</v>
      </c>
      <c r="L19" s="28">
        <f t="shared" si="1"/>
        <v>432.85714285714283</v>
      </c>
      <c r="M19" s="28">
        <f t="shared" si="2"/>
        <v>178.23529411764707</v>
      </c>
    </row>
    <row r="20" spans="1:13" ht="12.75">
      <c r="A20" s="14" t="s">
        <v>12</v>
      </c>
      <c r="B20" s="14"/>
      <c r="C20" s="25" t="s">
        <v>7</v>
      </c>
      <c r="D20" s="104">
        <v>4774</v>
      </c>
      <c r="E20" s="26">
        <v>8672.4</v>
      </c>
      <c r="F20" s="27">
        <v>5098.7</v>
      </c>
      <c r="G20" s="27">
        <v>809.9</v>
      </c>
      <c r="H20" s="27">
        <v>1070.6</v>
      </c>
      <c r="I20" s="27">
        <v>1067.8</v>
      </c>
      <c r="J20" s="28">
        <f t="shared" si="3"/>
        <v>6979.199999999999</v>
      </c>
      <c r="K20" s="27">
        <v>10193.1</v>
      </c>
      <c r="L20" s="28">
        <f t="shared" si="1"/>
        <v>213.51277754503562</v>
      </c>
      <c r="M20" s="28">
        <f t="shared" si="2"/>
        <v>117.5349384253494</v>
      </c>
    </row>
    <row r="21" spans="1:13" ht="12.75">
      <c r="A21" s="32" t="s">
        <v>44</v>
      </c>
      <c r="B21" s="33"/>
      <c r="C21" s="34" t="s">
        <v>45</v>
      </c>
      <c r="D21" s="105">
        <v>0</v>
      </c>
      <c r="E21" s="26">
        <f t="shared" si="4"/>
        <v>0</v>
      </c>
      <c r="F21" s="27"/>
      <c r="G21" s="27"/>
      <c r="H21" s="27"/>
      <c r="I21" s="27"/>
      <c r="J21" s="28">
        <f t="shared" si="3"/>
        <v>0</v>
      </c>
      <c r="K21" s="27">
        <v>285</v>
      </c>
      <c r="L21" s="28"/>
      <c r="M21" s="28"/>
    </row>
    <row r="22" spans="1:13" ht="12.75" customHeight="1" hidden="1">
      <c r="A22" s="32" t="s">
        <v>67</v>
      </c>
      <c r="B22" s="33"/>
      <c r="C22" s="34" t="s">
        <v>68</v>
      </c>
      <c r="D22" s="105"/>
      <c r="E22" s="26">
        <f t="shared" si="4"/>
        <v>0</v>
      </c>
      <c r="F22" s="27"/>
      <c r="G22" s="27"/>
      <c r="H22" s="27"/>
      <c r="I22" s="27"/>
      <c r="J22" s="28">
        <f>F22</f>
        <v>0</v>
      </c>
      <c r="K22" s="27"/>
      <c r="L22" s="24" t="e">
        <f t="shared" si="1"/>
        <v>#DIV/0!</v>
      </c>
      <c r="M22" s="28"/>
    </row>
    <row r="23" spans="1:13" ht="12.75" customHeight="1" hidden="1">
      <c r="A23" s="32" t="s">
        <v>49</v>
      </c>
      <c r="B23" s="33"/>
      <c r="C23" s="34" t="s">
        <v>50</v>
      </c>
      <c r="D23" s="105"/>
      <c r="E23" s="26">
        <f t="shared" si="4"/>
        <v>0</v>
      </c>
      <c r="F23" s="27"/>
      <c r="G23" s="27"/>
      <c r="H23" s="27"/>
      <c r="I23" s="27"/>
      <c r="J23" s="28">
        <f>F23</f>
        <v>0</v>
      </c>
      <c r="K23" s="27"/>
      <c r="L23" s="24" t="e">
        <f t="shared" si="1"/>
        <v>#DIV/0!</v>
      </c>
      <c r="M23" s="24"/>
    </row>
    <row r="24" spans="1:13" ht="12.75">
      <c r="A24" s="22" t="s">
        <v>1</v>
      </c>
      <c r="B24" s="22"/>
      <c r="C24" s="35" t="s">
        <v>0</v>
      </c>
      <c r="D24" s="36">
        <f>D25+D26+D28+D27</f>
        <v>2764378.4</v>
      </c>
      <c r="E24" s="36">
        <f aca="true" t="shared" si="5" ref="E24:K24">E25+E26+E28+E27</f>
        <v>3082233</v>
      </c>
      <c r="F24" s="36">
        <f t="shared" si="5"/>
        <v>780627.7</v>
      </c>
      <c r="G24" s="36">
        <f t="shared" si="5"/>
        <v>1456138</v>
      </c>
      <c r="H24" s="36">
        <f t="shared" si="5"/>
        <v>85291.6</v>
      </c>
      <c r="I24" s="36">
        <f t="shared" si="5"/>
        <v>678102.1</v>
      </c>
      <c r="J24" s="36">
        <f t="shared" si="5"/>
        <v>2322057.3000000003</v>
      </c>
      <c r="K24" s="36">
        <f t="shared" si="5"/>
        <v>2655745.4000000004</v>
      </c>
      <c r="L24" s="24">
        <f t="shared" si="1"/>
        <v>96.070255794214</v>
      </c>
      <c r="M24" s="24">
        <f t="shared" si="2"/>
        <v>86.1630318019436</v>
      </c>
    </row>
    <row r="25" spans="1:13" ht="24">
      <c r="A25" s="20" t="s">
        <v>21</v>
      </c>
      <c r="B25" s="29"/>
      <c r="C25" s="37" t="s">
        <v>20</v>
      </c>
      <c r="D25" s="45">
        <v>2729378.4</v>
      </c>
      <c r="E25" s="26">
        <v>3009408.2</v>
      </c>
      <c r="F25" s="27">
        <v>774327.7</v>
      </c>
      <c r="G25" s="27">
        <v>1442138</v>
      </c>
      <c r="H25" s="27">
        <v>79691.6</v>
      </c>
      <c r="I25" s="27">
        <v>669002.1</v>
      </c>
      <c r="J25" s="28">
        <f>F25+G25+H25</f>
        <v>2296157.3000000003</v>
      </c>
      <c r="K25" s="27">
        <v>2586846.2</v>
      </c>
      <c r="L25" s="28">
        <f t="shared" si="1"/>
        <v>94.7778512499403</v>
      </c>
      <c r="M25" s="28">
        <f t="shared" si="2"/>
        <v>85.95863465780414</v>
      </c>
    </row>
    <row r="26" spans="1:13" ht="13.5" customHeight="1">
      <c r="A26" s="19" t="s">
        <v>2</v>
      </c>
      <c r="B26" s="19"/>
      <c r="C26" s="38" t="s">
        <v>19</v>
      </c>
      <c r="D26" s="106">
        <v>35000</v>
      </c>
      <c r="E26" s="26">
        <v>72824.8</v>
      </c>
      <c r="F26" s="27">
        <v>6300</v>
      </c>
      <c r="G26" s="27">
        <v>14000</v>
      </c>
      <c r="H26" s="27">
        <v>5600</v>
      </c>
      <c r="I26" s="27">
        <v>9100</v>
      </c>
      <c r="J26" s="28">
        <f>F26+G26+H26</f>
        <v>25900</v>
      </c>
      <c r="K26" s="27">
        <v>69476.1</v>
      </c>
      <c r="L26" s="28">
        <f t="shared" si="1"/>
        <v>198.50314285714288</v>
      </c>
      <c r="M26" s="28">
        <f t="shared" si="2"/>
        <v>95.40170381518385</v>
      </c>
    </row>
    <row r="27" spans="1:13" ht="36">
      <c r="A27" s="19" t="s">
        <v>258</v>
      </c>
      <c r="B27" s="64"/>
      <c r="C27" s="34" t="s">
        <v>259</v>
      </c>
      <c r="D27" s="124"/>
      <c r="E27" s="26"/>
      <c r="F27" s="27"/>
      <c r="G27" s="27"/>
      <c r="H27" s="27"/>
      <c r="I27" s="27"/>
      <c r="J27" s="28"/>
      <c r="K27" s="27">
        <v>627</v>
      </c>
      <c r="L27" s="28"/>
      <c r="M27" s="28"/>
    </row>
    <row r="28" spans="1:13" ht="24">
      <c r="A28" s="19" t="s">
        <v>260</v>
      </c>
      <c r="B28" s="39"/>
      <c r="C28" s="40" t="s">
        <v>72</v>
      </c>
      <c r="D28" s="107"/>
      <c r="E28" s="26"/>
      <c r="F28" s="27"/>
      <c r="G28" s="27"/>
      <c r="H28" s="27"/>
      <c r="I28" s="27"/>
      <c r="J28" s="28">
        <f>F28+G28+H28</f>
        <v>0</v>
      </c>
      <c r="K28" s="27">
        <v>-1203.9</v>
      </c>
      <c r="L28" s="28"/>
      <c r="M28" s="24"/>
    </row>
    <row r="29" spans="1:13" ht="12.75">
      <c r="A29" s="14"/>
      <c r="B29" s="15"/>
      <c r="C29" s="16" t="s">
        <v>4</v>
      </c>
      <c r="D29" s="1">
        <f aca="true" t="shared" si="6" ref="D29:J29">D24+D9</f>
        <v>3417339.4</v>
      </c>
      <c r="E29" s="1">
        <f t="shared" si="6"/>
        <v>3757683</v>
      </c>
      <c r="F29" s="1">
        <f t="shared" si="6"/>
        <v>936116.3999999999</v>
      </c>
      <c r="G29" s="1">
        <f t="shared" si="6"/>
        <v>1629302.8</v>
      </c>
      <c r="H29" s="1">
        <f t="shared" si="6"/>
        <v>242405.80000000002</v>
      </c>
      <c r="I29" s="1">
        <f t="shared" si="6"/>
        <v>849462.3999999999</v>
      </c>
      <c r="J29" s="1">
        <f t="shared" si="6"/>
        <v>2807825</v>
      </c>
      <c r="K29" s="1">
        <f>K24+K9</f>
        <v>3296026.6000000006</v>
      </c>
      <c r="L29" s="24">
        <f t="shared" si="1"/>
        <v>96.45008043391887</v>
      </c>
      <c r="M29" s="24">
        <f t="shared" si="2"/>
        <v>87.7143335401097</v>
      </c>
    </row>
    <row r="30" spans="1:13" ht="12.75">
      <c r="A30" s="128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30"/>
    </row>
    <row r="31" spans="1:13" ht="12.75">
      <c r="A31" s="125" t="s">
        <v>28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7"/>
    </row>
    <row r="32" spans="1:13" ht="12.75">
      <c r="A32" s="41" t="s">
        <v>3</v>
      </c>
      <c r="B32" s="41"/>
      <c r="C32" s="23" t="s">
        <v>74</v>
      </c>
      <c r="D32" s="1">
        <f>D33+D34+D36+D37+D35</f>
        <v>11907</v>
      </c>
      <c r="E32" s="42">
        <f>E33+E34+E36+E37+E35</f>
        <v>12692.6</v>
      </c>
      <c r="F32" s="42">
        <f>F33+F34+F35+F36+F37+F38</f>
        <v>2880.3</v>
      </c>
      <c r="G32" s="42">
        <f>G33+G34+G35+G36+G37+G38</f>
        <v>2896.2000000000003</v>
      </c>
      <c r="H32" s="42">
        <f>H33+H34+H35+H36+H37+H38</f>
        <v>3530.1</v>
      </c>
      <c r="I32" s="42">
        <f>I33+I34+I35+I36+I37+I38</f>
        <v>3386</v>
      </c>
      <c r="J32" s="42">
        <f>J33+J34+J35+J36+J37+J38</f>
        <v>9306.6</v>
      </c>
      <c r="K32" s="42">
        <f>K33+K34+K36+K37+K35+K38</f>
        <v>12167.400000000001</v>
      </c>
      <c r="L32" s="24">
        <f aca="true" t="shared" si="7" ref="L32:L42">K32*100/D32</f>
        <v>102.18694885361553</v>
      </c>
      <c r="M32" s="24">
        <f>K32/E32*100</f>
        <v>95.86215590186409</v>
      </c>
    </row>
    <row r="33" spans="1:13" ht="12.75">
      <c r="A33" s="29" t="s">
        <v>26</v>
      </c>
      <c r="B33" s="29"/>
      <c r="C33" s="43" t="s">
        <v>25</v>
      </c>
      <c r="D33" s="108">
        <v>9661</v>
      </c>
      <c r="E33" s="26">
        <v>9663.1</v>
      </c>
      <c r="F33" s="27">
        <v>2466.3</v>
      </c>
      <c r="G33" s="44">
        <v>2304.8</v>
      </c>
      <c r="H33" s="44">
        <v>2441.5</v>
      </c>
      <c r="I33" s="44">
        <v>2450.5</v>
      </c>
      <c r="J33" s="28">
        <f aca="true" t="shared" si="8" ref="J33:J40">F33+G33+H33</f>
        <v>7212.6</v>
      </c>
      <c r="K33" s="44">
        <v>10044.4</v>
      </c>
      <c r="L33" s="28">
        <f t="shared" si="7"/>
        <v>103.96853327812856</v>
      </c>
      <c r="M33" s="28">
        <f aca="true" t="shared" si="9" ref="M33:M42">K33/E33*100</f>
        <v>103.9459386739245</v>
      </c>
    </row>
    <row r="34" spans="1:13" ht="12.75">
      <c r="A34" s="29" t="s">
        <v>9</v>
      </c>
      <c r="B34" s="29"/>
      <c r="C34" s="25" t="s">
        <v>6</v>
      </c>
      <c r="D34" s="104">
        <v>1527</v>
      </c>
      <c r="E34" s="26">
        <f>F34+G34+H34+I34</f>
        <v>1527</v>
      </c>
      <c r="F34" s="27">
        <v>242</v>
      </c>
      <c r="G34" s="27">
        <v>392</v>
      </c>
      <c r="H34" s="27">
        <v>478</v>
      </c>
      <c r="I34" s="44">
        <v>415</v>
      </c>
      <c r="J34" s="28">
        <f t="shared" si="8"/>
        <v>1112</v>
      </c>
      <c r="K34" s="27">
        <v>450</v>
      </c>
      <c r="L34" s="28">
        <f t="shared" si="7"/>
        <v>29.469548133595286</v>
      </c>
      <c r="M34" s="28">
        <f t="shared" si="9"/>
        <v>29.469548133595286</v>
      </c>
    </row>
    <row r="35" spans="1:13" ht="12.75">
      <c r="A35" s="29" t="s">
        <v>10</v>
      </c>
      <c r="B35" s="29"/>
      <c r="C35" s="25" t="s">
        <v>22</v>
      </c>
      <c r="D35" s="104">
        <v>22</v>
      </c>
      <c r="E35" s="26">
        <f>F35+G35+H35+I35</f>
        <v>22</v>
      </c>
      <c r="F35" s="27">
        <v>4</v>
      </c>
      <c r="G35" s="27">
        <v>8</v>
      </c>
      <c r="H35" s="27">
        <v>5</v>
      </c>
      <c r="I35" s="44">
        <v>5</v>
      </c>
      <c r="J35" s="28">
        <f t="shared" si="8"/>
        <v>17</v>
      </c>
      <c r="K35" s="27">
        <v>22.6</v>
      </c>
      <c r="L35" s="28">
        <f t="shared" si="7"/>
        <v>102.72727272727273</v>
      </c>
      <c r="M35" s="28">
        <f t="shared" si="9"/>
        <v>102.72727272727273</v>
      </c>
    </row>
    <row r="36" spans="1:13" ht="24">
      <c r="A36" s="18" t="s">
        <v>11</v>
      </c>
      <c r="B36" s="18"/>
      <c r="C36" s="25" t="s">
        <v>17</v>
      </c>
      <c r="D36" s="104">
        <v>697</v>
      </c>
      <c r="E36" s="26">
        <f>F36+G36+H36+I36</f>
        <v>1452.5</v>
      </c>
      <c r="F36" s="27">
        <v>146</v>
      </c>
      <c r="G36" s="27">
        <v>185.4</v>
      </c>
      <c r="H36" s="27">
        <v>605.6</v>
      </c>
      <c r="I36" s="44">
        <v>515.5</v>
      </c>
      <c r="J36" s="28">
        <f t="shared" si="8"/>
        <v>937</v>
      </c>
      <c r="K36" s="27">
        <v>1618.2</v>
      </c>
      <c r="L36" s="28">
        <f t="shared" si="7"/>
        <v>232.1664275466284</v>
      </c>
      <c r="M36" s="28">
        <f t="shared" si="9"/>
        <v>111.40791738382102</v>
      </c>
    </row>
    <row r="37" spans="1:13" ht="12.75">
      <c r="A37" s="30" t="s">
        <v>18</v>
      </c>
      <c r="B37" s="30"/>
      <c r="C37" s="25" t="s">
        <v>15</v>
      </c>
      <c r="D37" s="104"/>
      <c r="E37" s="26">
        <f>F37+G37+H37+I37</f>
        <v>28</v>
      </c>
      <c r="F37" s="27">
        <v>22</v>
      </c>
      <c r="G37" s="27">
        <v>6</v>
      </c>
      <c r="H37" s="27"/>
      <c r="I37" s="44"/>
      <c r="J37" s="28">
        <f t="shared" si="8"/>
        <v>28</v>
      </c>
      <c r="K37" s="27">
        <v>32.2</v>
      </c>
      <c r="L37" s="28"/>
      <c r="M37" s="28">
        <f t="shared" si="9"/>
        <v>115.00000000000001</v>
      </c>
    </row>
    <row r="38" spans="1:13" ht="12.75">
      <c r="A38" s="32" t="s">
        <v>44</v>
      </c>
      <c r="B38" s="33"/>
      <c r="C38" s="34" t="s">
        <v>45</v>
      </c>
      <c r="D38" s="105"/>
      <c r="E38" s="26"/>
      <c r="F38" s="27"/>
      <c r="G38" s="27"/>
      <c r="H38" s="27"/>
      <c r="I38" s="27"/>
      <c r="J38" s="28">
        <f t="shared" si="8"/>
        <v>0</v>
      </c>
      <c r="K38" s="27"/>
      <c r="L38" s="28"/>
      <c r="M38" s="28"/>
    </row>
    <row r="39" spans="1:13" ht="12.75">
      <c r="A39" s="22" t="s">
        <v>1</v>
      </c>
      <c r="B39" s="22"/>
      <c r="C39" s="35" t="s">
        <v>0</v>
      </c>
      <c r="D39" s="109">
        <f>D40+D41</f>
        <v>3189</v>
      </c>
      <c r="E39" s="109">
        <f aca="true" t="shared" si="10" ref="E39:K39">E40+E41</f>
        <v>12524.5</v>
      </c>
      <c r="F39" s="109">
        <f t="shared" si="10"/>
        <v>2139.9</v>
      </c>
      <c r="G39" s="109">
        <f t="shared" si="10"/>
        <v>3484.2</v>
      </c>
      <c r="H39" s="109">
        <f t="shared" si="10"/>
        <v>3327.6</v>
      </c>
      <c r="I39" s="109">
        <f t="shared" si="10"/>
        <v>1595.6</v>
      </c>
      <c r="J39" s="109">
        <f t="shared" si="10"/>
        <v>8951.7</v>
      </c>
      <c r="K39" s="109">
        <f t="shared" si="10"/>
        <v>11649.1</v>
      </c>
      <c r="L39" s="24">
        <f t="shared" si="7"/>
        <v>365.2900595798056</v>
      </c>
      <c r="M39" s="24">
        <f>K39/E39*100</f>
        <v>93.01049942113457</v>
      </c>
    </row>
    <row r="40" spans="1:13" ht="24">
      <c r="A40" s="20" t="s">
        <v>21</v>
      </c>
      <c r="B40" s="29"/>
      <c r="C40" s="37" t="s">
        <v>20</v>
      </c>
      <c r="D40" s="104">
        <v>3189</v>
      </c>
      <c r="E40" s="26">
        <v>12524.5</v>
      </c>
      <c r="F40" s="45">
        <v>2139.9</v>
      </c>
      <c r="G40" s="27">
        <v>3484.2</v>
      </c>
      <c r="H40" s="27">
        <f>1651.1+23+1653.5</f>
        <v>3327.6</v>
      </c>
      <c r="I40" s="27">
        <v>1595.6</v>
      </c>
      <c r="J40" s="28">
        <f t="shared" si="8"/>
        <v>8951.7</v>
      </c>
      <c r="K40" s="27">
        <v>12249.1</v>
      </c>
      <c r="L40" s="28">
        <f t="shared" si="7"/>
        <v>384.1047350266541</v>
      </c>
      <c r="M40" s="28">
        <f>K40/E40*100</f>
        <v>97.8011098247435</v>
      </c>
    </row>
    <row r="41" spans="1:13" ht="24">
      <c r="A41" s="19" t="s">
        <v>260</v>
      </c>
      <c r="B41" s="39"/>
      <c r="C41" s="40" t="s">
        <v>72</v>
      </c>
      <c r="D41" s="104"/>
      <c r="E41" s="26"/>
      <c r="F41" s="45"/>
      <c r="G41" s="27"/>
      <c r="H41" s="27"/>
      <c r="I41" s="27"/>
      <c r="J41" s="28"/>
      <c r="K41" s="27">
        <v>-600</v>
      </c>
      <c r="L41" s="28"/>
      <c r="M41" s="28"/>
    </row>
    <row r="42" spans="1:13" ht="12.75">
      <c r="A42" s="14"/>
      <c r="B42" s="15"/>
      <c r="C42" s="16" t="s">
        <v>4</v>
      </c>
      <c r="D42" s="1">
        <f aca="true" t="shared" si="11" ref="D42:K42">D39+D32</f>
        <v>15096</v>
      </c>
      <c r="E42" s="1">
        <f t="shared" si="11"/>
        <v>25217.1</v>
      </c>
      <c r="F42" s="1">
        <f>F39+F32</f>
        <v>5020.200000000001</v>
      </c>
      <c r="G42" s="1">
        <f>G39+G32</f>
        <v>6380.4</v>
      </c>
      <c r="H42" s="1">
        <f t="shared" si="11"/>
        <v>6857.7</v>
      </c>
      <c r="I42" s="1">
        <f>I39+I32</f>
        <v>4981.6</v>
      </c>
      <c r="J42" s="1">
        <f>J39+J32</f>
        <v>18258.300000000003</v>
      </c>
      <c r="K42" s="1">
        <f t="shared" si="11"/>
        <v>23816.5</v>
      </c>
      <c r="L42" s="24">
        <f t="shared" si="7"/>
        <v>157.7669581346052</v>
      </c>
      <c r="M42" s="24">
        <f t="shared" si="9"/>
        <v>94.44583239151211</v>
      </c>
    </row>
    <row r="43" spans="1:13" ht="12.75">
      <c r="A43" s="46"/>
      <c r="B43" s="47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40"/>
    </row>
    <row r="44" spans="1:13" ht="12.75">
      <c r="A44" s="125" t="s">
        <v>29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7"/>
    </row>
    <row r="45" spans="1:13" ht="12.75">
      <c r="A45" s="22" t="s">
        <v>3</v>
      </c>
      <c r="B45" s="22"/>
      <c r="C45" s="23" t="s">
        <v>74</v>
      </c>
      <c r="D45" s="24">
        <f>D46+D48+D50+D51+D52+D53+D49+D47</f>
        <v>9532</v>
      </c>
      <c r="E45" s="24">
        <f>E46+E48+E50+E51+E52+E53+E49+E47</f>
        <v>11208</v>
      </c>
      <c r="F45" s="24">
        <f aca="true" t="shared" si="12" ref="F45:K45">F46+F48+F50+F51+F52+F53+F49+F47</f>
        <v>2253</v>
      </c>
      <c r="G45" s="24">
        <f t="shared" si="12"/>
        <v>2482.5</v>
      </c>
      <c r="H45" s="24">
        <f t="shared" si="12"/>
        <v>2377</v>
      </c>
      <c r="I45" s="24">
        <f t="shared" si="12"/>
        <v>2419.5</v>
      </c>
      <c r="J45" s="24">
        <f t="shared" si="12"/>
        <v>7112.5</v>
      </c>
      <c r="K45" s="24">
        <f t="shared" si="12"/>
        <v>11349.400000000001</v>
      </c>
      <c r="L45" s="24">
        <f aca="true" t="shared" si="13" ref="L45:L56">K45*100/D45</f>
        <v>119.06630297943771</v>
      </c>
      <c r="M45" s="24">
        <f>K45/E45*100</f>
        <v>101.26159885795862</v>
      </c>
    </row>
    <row r="46" spans="1:13" ht="12.75" customHeight="1" hidden="1">
      <c r="A46" s="14" t="s">
        <v>26</v>
      </c>
      <c r="B46" s="29"/>
      <c r="C46" s="43" t="s">
        <v>25</v>
      </c>
      <c r="D46" s="110">
        <v>6769</v>
      </c>
      <c r="E46" s="26">
        <v>8390.4</v>
      </c>
      <c r="F46" s="27">
        <v>1602</v>
      </c>
      <c r="G46" s="44">
        <v>1798.9</v>
      </c>
      <c r="H46" s="44">
        <v>1683</v>
      </c>
      <c r="I46" s="44">
        <v>1685.5</v>
      </c>
      <c r="J46" s="28">
        <f aca="true" t="shared" si="14" ref="J46:J55">F46+G46+H46</f>
        <v>5083.9</v>
      </c>
      <c r="K46" s="44">
        <v>9161.3</v>
      </c>
      <c r="L46" s="28">
        <f t="shared" si="13"/>
        <v>135.3420002954646</v>
      </c>
      <c r="M46" s="28">
        <f aca="true" t="shared" si="15" ref="M46:M56">K46/E46*100</f>
        <v>109.18788138825323</v>
      </c>
    </row>
    <row r="47" spans="1:13" ht="12.75">
      <c r="A47" s="29" t="s">
        <v>8</v>
      </c>
      <c r="B47" s="29"/>
      <c r="C47" s="25" t="s">
        <v>5</v>
      </c>
      <c r="D47" s="45"/>
      <c r="E47" s="26">
        <f aca="true" t="shared" si="16" ref="E47:E52">F47+G47+H47+I47</f>
        <v>5.6</v>
      </c>
      <c r="F47" s="27"/>
      <c r="G47" s="44">
        <v>5.6</v>
      </c>
      <c r="H47" s="44"/>
      <c r="I47" s="44"/>
      <c r="J47" s="28">
        <f t="shared" si="14"/>
        <v>5.6</v>
      </c>
      <c r="K47" s="44">
        <v>5.6</v>
      </c>
      <c r="L47" s="28"/>
      <c r="M47" s="28">
        <f t="shared" si="15"/>
        <v>100</v>
      </c>
    </row>
    <row r="48" spans="1:13" ht="12.75">
      <c r="A48" s="29" t="s">
        <v>9</v>
      </c>
      <c r="B48" s="29"/>
      <c r="C48" s="25" t="s">
        <v>6</v>
      </c>
      <c r="D48" s="45">
        <v>2363</v>
      </c>
      <c r="E48" s="26">
        <f t="shared" si="16"/>
        <v>2288</v>
      </c>
      <c r="F48" s="27">
        <v>561</v>
      </c>
      <c r="G48" s="27">
        <v>519</v>
      </c>
      <c r="H48" s="27">
        <v>594</v>
      </c>
      <c r="I48" s="44">
        <v>614</v>
      </c>
      <c r="J48" s="28">
        <f t="shared" si="14"/>
        <v>1674</v>
      </c>
      <c r="K48" s="27">
        <v>1845.6</v>
      </c>
      <c r="L48" s="28">
        <f t="shared" si="13"/>
        <v>78.10410495133306</v>
      </c>
      <c r="M48" s="28">
        <f t="shared" si="15"/>
        <v>80.66433566433567</v>
      </c>
    </row>
    <row r="49" spans="1:13" ht="12.75" customHeight="1" hidden="1">
      <c r="A49" s="29" t="s">
        <v>10</v>
      </c>
      <c r="B49" s="29"/>
      <c r="C49" s="25" t="s">
        <v>22</v>
      </c>
      <c r="D49" s="45"/>
      <c r="E49" s="26">
        <f t="shared" si="16"/>
        <v>0</v>
      </c>
      <c r="F49" s="27"/>
      <c r="G49" s="27"/>
      <c r="H49" s="27"/>
      <c r="I49" s="44"/>
      <c r="J49" s="28">
        <f t="shared" si="14"/>
        <v>0</v>
      </c>
      <c r="K49" s="27"/>
      <c r="L49" s="28" t="e">
        <f t="shared" si="13"/>
        <v>#DIV/0!</v>
      </c>
      <c r="M49" s="28"/>
    </row>
    <row r="50" spans="1:13" ht="24">
      <c r="A50" s="18" t="s">
        <v>11</v>
      </c>
      <c r="B50" s="18"/>
      <c r="C50" s="25" t="s">
        <v>17</v>
      </c>
      <c r="D50" s="45">
        <v>400</v>
      </c>
      <c r="E50" s="26">
        <f t="shared" si="16"/>
        <v>377</v>
      </c>
      <c r="F50" s="27">
        <v>90</v>
      </c>
      <c r="G50" s="27">
        <v>67</v>
      </c>
      <c r="H50" s="27">
        <v>100</v>
      </c>
      <c r="I50" s="44">
        <v>120</v>
      </c>
      <c r="J50" s="28">
        <f t="shared" si="14"/>
        <v>257</v>
      </c>
      <c r="K50" s="27">
        <v>158.7</v>
      </c>
      <c r="L50" s="28">
        <f t="shared" si="13"/>
        <v>39.675</v>
      </c>
      <c r="M50" s="28">
        <f t="shared" si="15"/>
        <v>42.095490716180365</v>
      </c>
    </row>
    <row r="51" spans="1:13" ht="12.75">
      <c r="A51" s="31" t="s">
        <v>18</v>
      </c>
      <c r="B51" s="31"/>
      <c r="C51" s="25" t="s">
        <v>15</v>
      </c>
      <c r="D51" s="45"/>
      <c r="E51" s="26">
        <v>130</v>
      </c>
      <c r="F51" s="27"/>
      <c r="G51" s="27">
        <v>75</v>
      </c>
      <c r="H51" s="27"/>
      <c r="I51" s="44"/>
      <c r="J51" s="28">
        <f t="shared" si="14"/>
        <v>75</v>
      </c>
      <c r="K51" s="27">
        <v>161.2</v>
      </c>
      <c r="L51" s="28"/>
      <c r="M51" s="28">
        <f t="shared" si="15"/>
        <v>124</v>
      </c>
    </row>
    <row r="52" spans="1:13" ht="12.75">
      <c r="A52" s="14" t="s">
        <v>12</v>
      </c>
      <c r="B52" s="14"/>
      <c r="C52" s="25" t="s">
        <v>7</v>
      </c>
      <c r="D52" s="45"/>
      <c r="E52" s="26">
        <f t="shared" si="16"/>
        <v>17</v>
      </c>
      <c r="F52" s="27"/>
      <c r="G52" s="27">
        <v>17</v>
      </c>
      <c r="H52" s="27"/>
      <c r="I52" s="44"/>
      <c r="J52" s="28">
        <f t="shared" si="14"/>
        <v>17</v>
      </c>
      <c r="K52" s="27">
        <v>17</v>
      </c>
      <c r="L52" s="28"/>
      <c r="M52" s="28">
        <f t="shared" si="15"/>
        <v>100</v>
      </c>
    </row>
    <row r="53" spans="1:13" ht="12.75">
      <c r="A53" s="48" t="s">
        <v>44</v>
      </c>
      <c r="B53" s="33"/>
      <c r="C53" s="34" t="s">
        <v>45</v>
      </c>
      <c r="D53" s="111"/>
      <c r="E53" s="26"/>
      <c r="F53" s="27"/>
      <c r="G53" s="27"/>
      <c r="H53" s="27"/>
      <c r="I53" s="44"/>
      <c r="J53" s="28">
        <f t="shared" si="14"/>
        <v>0</v>
      </c>
      <c r="K53" s="27"/>
      <c r="L53" s="28"/>
      <c r="M53" s="24"/>
    </row>
    <row r="54" spans="1:13" ht="12.75">
      <c r="A54" s="41" t="s">
        <v>1</v>
      </c>
      <c r="B54" s="41"/>
      <c r="C54" s="35" t="s">
        <v>0</v>
      </c>
      <c r="D54" s="36">
        <f aca="true" t="shared" si="17" ref="D54:K54">D55</f>
        <v>19187.4</v>
      </c>
      <c r="E54" s="36">
        <f t="shared" si="17"/>
        <v>57708.9</v>
      </c>
      <c r="F54" s="36">
        <f t="shared" si="17"/>
        <v>27988.2</v>
      </c>
      <c r="G54" s="36">
        <f t="shared" si="17"/>
        <v>15577.4</v>
      </c>
      <c r="H54" s="36">
        <f t="shared" si="17"/>
        <v>5489.5</v>
      </c>
      <c r="I54" s="36">
        <f t="shared" si="17"/>
        <v>4796.8</v>
      </c>
      <c r="J54" s="36">
        <f t="shared" si="17"/>
        <v>49055.1</v>
      </c>
      <c r="K54" s="36">
        <f t="shared" si="17"/>
        <v>56002.3</v>
      </c>
      <c r="L54" s="24">
        <f t="shared" si="13"/>
        <v>291.8701856426613</v>
      </c>
      <c r="M54" s="24">
        <f t="shared" si="15"/>
        <v>97.04274384020489</v>
      </c>
    </row>
    <row r="55" spans="1:13" ht="24">
      <c r="A55" s="20" t="s">
        <v>21</v>
      </c>
      <c r="B55" s="29"/>
      <c r="C55" s="37" t="s">
        <v>20</v>
      </c>
      <c r="D55" s="45">
        <v>19187.4</v>
      </c>
      <c r="E55" s="26">
        <v>57708.9</v>
      </c>
      <c r="F55" s="27">
        <v>27988.2</v>
      </c>
      <c r="G55" s="27">
        <v>15577.4</v>
      </c>
      <c r="H55" s="27">
        <v>5489.5</v>
      </c>
      <c r="I55" s="27">
        <v>4796.8</v>
      </c>
      <c r="J55" s="28">
        <f t="shared" si="14"/>
        <v>49055.1</v>
      </c>
      <c r="K55" s="27">
        <v>56002.3</v>
      </c>
      <c r="L55" s="28">
        <f t="shared" si="13"/>
        <v>291.8701856426613</v>
      </c>
      <c r="M55" s="28">
        <f t="shared" si="15"/>
        <v>97.04274384020489</v>
      </c>
    </row>
    <row r="56" spans="1:13" ht="12.75">
      <c r="A56" s="18"/>
      <c r="B56" s="49"/>
      <c r="C56" s="50" t="s">
        <v>4</v>
      </c>
      <c r="D56" s="112">
        <f aca="true" t="shared" si="18" ref="D56:K56">D54+D45</f>
        <v>28719.4</v>
      </c>
      <c r="E56" s="51">
        <f t="shared" si="18"/>
        <v>68916.9</v>
      </c>
      <c r="F56" s="51">
        <f t="shared" si="18"/>
        <v>30241.2</v>
      </c>
      <c r="G56" s="51">
        <f t="shared" si="18"/>
        <v>18059.9</v>
      </c>
      <c r="H56" s="51">
        <f t="shared" si="18"/>
        <v>7866.5</v>
      </c>
      <c r="I56" s="51">
        <f t="shared" si="18"/>
        <v>7216.3</v>
      </c>
      <c r="J56" s="51">
        <f t="shared" si="18"/>
        <v>56167.6</v>
      </c>
      <c r="K56" s="1">
        <f t="shared" si="18"/>
        <v>67351.70000000001</v>
      </c>
      <c r="L56" s="24">
        <f t="shared" si="13"/>
        <v>234.51638961816752</v>
      </c>
      <c r="M56" s="24">
        <f t="shared" si="15"/>
        <v>97.72885895912326</v>
      </c>
    </row>
    <row r="57" spans="1:13" ht="12.75">
      <c r="A57" s="128"/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30"/>
    </row>
    <row r="58" spans="1:13" ht="12.75">
      <c r="A58" s="125" t="s">
        <v>30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7"/>
    </row>
    <row r="59" spans="1:13" ht="12.75" customHeight="1" hidden="1">
      <c r="A59" s="22" t="s">
        <v>3</v>
      </c>
      <c r="B59" s="22"/>
      <c r="C59" s="23" t="s">
        <v>74</v>
      </c>
      <c r="D59" s="24">
        <f>D60+D62+D64+D65+D63+D67+D66+D61</f>
        <v>30153</v>
      </c>
      <c r="E59" s="24">
        <f>E60+E62+E64+E65+E63+E67+E66+E61</f>
        <v>32953</v>
      </c>
      <c r="F59" s="24">
        <f aca="true" t="shared" si="19" ref="F59:K59">F60+F62+F64+F65+F63+F67+F66+F61</f>
        <v>5989.7</v>
      </c>
      <c r="G59" s="24">
        <f t="shared" si="19"/>
        <v>8316.5</v>
      </c>
      <c r="H59" s="24">
        <f t="shared" si="19"/>
        <v>11105.5</v>
      </c>
      <c r="I59" s="24">
        <f t="shared" si="19"/>
        <v>7541.3</v>
      </c>
      <c r="J59" s="24">
        <f t="shared" si="19"/>
        <v>25411.7</v>
      </c>
      <c r="K59" s="24">
        <f t="shared" si="19"/>
        <v>28994</v>
      </c>
      <c r="L59" s="24">
        <f aca="true" t="shared" si="20" ref="L59:L71">K59*100/D59</f>
        <v>96.15626969124133</v>
      </c>
      <c r="M59" s="24">
        <f>K59/E59*100</f>
        <v>87.98591933966559</v>
      </c>
    </row>
    <row r="60" spans="1:13" ht="12.75">
      <c r="A60" s="14" t="s">
        <v>26</v>
      </c>
      <c r="B60" s="14"/>
      <c r="C60" s="25" t="s">
        <v>25</v>
      </c>
      <c r="D60" s="45">
        <v>17043</v>
      </c>
      <c r="E60" s="26">
        <f>F60+G60+H60+I60</f>
        <v>17043</v>
      </c>
      <c r="F60" s="27">
        <f>3423.7</f>
        <v>3423.7</v>
      </c>
      <c r="G60" s="27">
        <f>4134+22.5</f>
        <v>4156.5</v>
      </c>
      <c r="H60" s="27">
        <f>5237.5+3</f>
        <v>5240.5</v>
      </c>
      <c r="I60" s="27">
        <f>4220.8+1.5</f>
        <v>4222.3</v>
      </c>
      <c r="J60" s="28">
        <f aca="true" t="shared" si="21" ref="J60:J70">F60+G60+H60</f>
        <v>12820.7</v>
      </c>
      <c r="K60" s="27">
        <v>12741.7</v>
      </c>
      <c r="L60" s="28">
        <f t="shared" si="20"/>
        <v>74.762072405093</v>
      </c>
      <c r="M60" s="28">
        <f aca="true" t="shared" si="22" ref="M60:M71">K60/E60*100</f>
        <v>74.76207240509301</v>
      </c>
    </row>
    <row r="61" spans="1:13" ht="12.75">
      <c r="A61" s="29" t="s">
        <v>8</v>
      </c>
      <c r="B61" s="29"/>
      <c r="C61" s="25" t="s">
        <v>5</v>
      </c>
      <c r="D61" s="45"/>
      <c r="E61" s="26"/>
      <c r="F61" s="27"/>
      <c r="G61" s="27"/>
      <c r="H61" s="27"/>
      <c r="I61" s="27"/>
      <c r="J61" s="28">
        <f t="shared" si="21"/>
        <v>0</v>
      </c>
      <c r="K61" s="27">
        <v>34.8</v>
      </c>
      <c r="L61" s="28"/>
      <c r="M61" s="28"/>
    </row>
    <row r="62" spans="1:13" ht="12.75" customHeight="1">
      <c r="A62" s="29" t="s">
        <v>9</v>
      </c>
      <c r="B62" s="29"/>
      <c r="C62" s="25" t="s">
        <v>6</v>
      </c>
      <c r="D62" s="45">
        <v>4200</v>
      </c>
      <c r="E62" s="26">
        <f>F62+G62+H62+I62</f>
        <v>6100</v>
      </c>
      <c r="F62" s="27">
        <f>400</f>
        <v>400</v>
      </c>
      <c r="G62" s="27">
        <f>100+500+1000</f>
        <v>1600</v>
      </c>
      <c r="H62" s="27">
        <f>300+1355+450+900</f>
        <v>3005</v>
      </c>
      <c r="I62" s="27">
        <f>500+145+450</f>
        <v>1095</v>
      </c>
      <c r="J62" s="28">
        <f t="shared" si="21"/>
        <v>5005</v>
      </c>
      <c r="K62" s="27">
        <v>6747.3</v>
      </c>
      <c r="L62" s="28">
        <f t="shared" si="20"/>
        <v>160.65</v>
      </c>
      <c r="M62" s="28">
        <f t="shared" si="22"/>
        <v>110.61147540983607</v>
      </c>
    </row>
    <row r="63" spans="1:13" ht="12.75">
      <c r="A63" s="29" t="s">
        <v>10</v>
      </c>
      <c r="B63" s="29"/>
      <c r="C63" s="25" t="s">
        <v>22</v>
      </c>
      <c r="D63" s="45"/>
      <c r="E63" s="26"/>
      <c r="F63" s="27"/>
      <c r="G63" s="27"/>
      <c r="H63" s="27"/>
      <c r="I63" s="27"/>
      <c r="J63" s="28">
        <f t="shared" si="21"/>
        <v>0</v>
      </c>
      <c r="K63" s="27">
        <v>7</v>
      </c>
      <c r="L63" s="28"/>
      <c r="M63" s="28"/>
    </row>
    <row r="64" spans="1:13" ht="24">
      <c r="A64" s="18" t="s">
        <v>11</v>
      </c>
      <c r="B64" s="18"/>
      <c r="C64" s="25" t="s">
        <v>17</v>
      </c>
      <c r="D64" s="45">
        <v>8903</v>
      </c>
      <c r="E64" s="26">
        <f>F64+G64+H64+I64</f>
        <v>8903</v>
      </c>
      <c r="F64" s="27">
        <f>2150+9</f>
        <v>2159</v>
      </c>
      <c r="G64" s="27">
        <f>2250+10</f>
        <v>2260</v>
      </c>
      <c r="H64" s="27">
        <f>2250+10</f>
        <v>2260</v>
      </c>
      <c r="I64" s="27">
        <f>2215+9</f>
        <v>2224</v>
      </c>
      <c r="J64" s="28">
        <f t="shared" si="21"/>
        <v>6679</v>
      </c>
      <c r="K64" s="27">
        <v>7735.4</v>
      </c>
      <c r="L64" s="28">
        <f t="shared" si="20"/>
        <v>86.88531955520611</v>
      </c>
      <c r="M64" s="28">
        <f t="shared" si="22"/>
        <v>86.88531955520611</v>
      </c>
    </row>
    <row r="65" spans="1:13" ht="12.75">
      <c r="A65" s="30" t="s">
        <v>18</v>
      </c>
      <c r="B65" s="30"/>
      <c r="C65" s="25" t="s">
        <v>15</v>
      </c>
      <c r="D65" s="45">
        <v>7</v>
      </c>
      <c r="E65" s="26">
        <f>F65+G65+H65+I65</f>
        <v>907</v>
      </c>
      <c r="F65" s="27">
        <f>7</f>
        <v>7</v>
      </c>
      <c r="G65" s="27">
        <v>300</v>
      </c>
      <c r="H65" s="27">
        <v>600</v>
      </c>
      <c r="I65" s="27"/>
      <c r="J65" s="28">
        <f t="shared" si="21"/>
        <v>907</v>
      </c>
      <c r="K65" s="27">
        <v>1649.5</v>
      </c>
      <c r="L65" s="28">
        <f t="shared" si="20"/>
        <v>23564.285714285714</v>
      </c>
      <c r="M65" s="28">
        <f t="shared" si="22"/>
        <v>181.8632855567806</v>
      </c>
    </row>
    <row r="66" spans="1:13" ht="12.75">
      <c r="A66" s="14" t="s">
        <v>12</v>
      </c>
      <c r="B66" s="14"/>
      <c r="C66" s="25" t="s">
        <v>7</v>
      </c>
      <c r="D66" s="45"/>
      <c r="E66" s="26"/>
      <c r="F66" s="27"/>
      <c r="G66" s="27"/>
      <c r="H66" s="27"/>
      <c r="I66" s="27"/>
      <c r="J66" s="28">
        <f t="shared" si="21"/>
        <v>0</v>
      </c>
      <c r="K66" s="27">
        <v>60.6</v>
      </c>
      <c r="L66" s="28"/>
      <c r="M66" s="28"/>
    </row>
    <row r="67" spans="1:13" ht="12.75">
      <c r="A67" s="32" t="s">
        <v>44</v>
      </c>
      <c r="B67" s="33"/>
      <c r="C67" s="34" t="s">
        <v>45</v>
      </c>
      <c r="D67" s="111"/>
      <c r="E67" s="26"/>
      <c r="F67" s="27"/>
      <c r="G67" s="27"/>
      <c r="H67" s="27"/>
      <c r="I67" s="27"/>
      <c r="J67" s="28">
        <f t="shared" si="21"/>
        <v>0</v>
      </c>
      <c r="K67" s="27">
        <v>17.7</v>
      </c>
      <c r="L67" s="28"/>
      <c r="M67" s="28"/>
    </row>
    <row r="68" spans="1:13" ht="12.75">
      <c r="A68" s="22" t="s">
        <v>1</v>
      </c>
      <c r="B68" s="22"/>
      <c r="C68" s="35" t="s">
        <v>0</v>
      </c>
      <c r="D68" s="36">
        <f>D69+D70</f>
        <v>28022</v>
      </c>
      <c r="E68" s="36">
        <f>E69+E70</f>
        <v>56348.9</v>
      </c>
      <c r="F68" s="36">
        <f aca="true" t="shared" si="23" ref="F68:K68">F69+F70</f>
        <v>19486.3</v>
      </c>
      <c r="G68" s="36">
        <f t="shared" si="23"/>
        <v>15978.1</v>
      </c>
      <c r="H68" s="36">
        <f t="shared" si="23"/>
        <v>10427.3</v>
      </c>
      <c r="I68" s="36">
        <f t="shared" si="23"/>
        <v>7188.200000000001</v>
      </c>
      <c r="J68" s="36">
        <f t="shared" si="23"/>
        <v>45891.7</v>
      </c>
      <c r="K68" s="36">
        <f t="shared" si="23"/>
        <v>54941.3</v>
      </c>
      <c r="L68" s="24">
        <f t="shared" si="20"/>
        <v>196.06487759617443</v>
      </c>
      <c r="M68" s="24">
        <f t="shared" si="22"/>
        <v>97.50199205308357</v>
      </c>
    </row>
    <row r="69" spans="1:13" ht="24">
      <c r="A69" s="20" t="s">
        <v>21</v>
      </c>
      <c r="B69" s="29"/>
      <c r="C69" s="37" t="s">
        <v>20</v>
      </c>
      <c r="D69" s="45">
        <v>28022</v>
      </c>
      <c r="E69" s="26">
        <v>56298.9</v>
      </c>
      <c r="F69" s="27">
        <v>19486.3</v>
      </c>
      <c r="G69" s="27">
        <v>15928.1</v>
      </c>
      <c r="H69" s="27">
        <v>10427.3</v>
      </c>
      <c r="I69" s="27">
        <f>7008.1+180.1</f>
        <v>7188.200000000001</v>
      </c>
      <c r="J69" s="28">
        <f t="shared" si="21"/>
        <v>45841.7</v>
      </c>
      <c r="K69" s="27">
        <v>54891.3</v>
      </c>
      <c r="L69" s="28">
        <f t="shared" si="20"/>
        <v>195.88644636357148</v>
      </c>
      <c r="M69" s="28">
        <f t="shared" si="22"/>
        <v>97.49977353021107</v>
      </c>
    </row>
    <row r="70" spans="1:13" ht="12.75">
      <c r="A70" s="19" t="s">
        <v>2</v>
      </c>
      <c r="B70" s="19"/>
      <c r="C70" s="38" t="s">
        <v>19</v>
      </c>
      <c r="D70" s="113"/>
      <c r="E70" s="26">
        <v>50</v>
      </c>
      <c r="F70" s="27"/>
      <c r="G70" s="27">
        <v>50</v>
      </c>
      <c r="H70" s="27"/>
      <c r="I70" s="27"/>
      <c r="J70" s="28">
        <f t="shared" si="21"/>
        <v>50</v>
      </c>
      <c r="K70" s="27">
        <v>50</v>
      </c>
      <c r="L70" s="28"/>
      <c r="M70" s="28">
        <f>K70/E70*100</f>
        <v>100</v>
      </c>
    </row>
    <row r="71" spans="1:13" ht="12.75" customHeight="1" hidden="1">
      <c r="A71" s="14"/>
      <c r="B71" s="15"/>
      <c r="C71" s="16" t="s">
        <v>4</v>
      </c>
      <c r="D71" s="42">
        <f>D68+D59</f>
        <v>58175</v>
      </c>
      <c r="E71" s="1">
        <f>E68+E59</f>
        <v>89301.9</v>
      </c>
      <c r="F71" s="1">
        <f aca="true" t="shared" si="24" ref="F71:K71">F68+F59</f>
        <v>25476</v>
      </c>
      <c r="G71" s="1">
        <f t="shared" si="24"/>
        <v>24294.6</v>
      </c>
      <c r="H71" s="1">
        <f t="shared" si="24"/>
        <v>21532.8</v>
      </c>
      <c r="I71" s="1">
        <f t="shared" si="24"/>
        <v>14729.5</v>
      </c>
      <c r="J71" s="1">
        <f t="shared" si="24"/>
        <v>71303.4</v>
      </c>
      <c r="K71" s="1">
        <f t="shared" si="24"/>
        <v>83935.3</v>
      </c>
      <c r="L71" s="24">
        <f t="shared" si="20"/>
        <v>144.28070477009024</v>
      </c>
      <c r="M71" s="24">
        <f t="shared" si="22"/>
        <v>93.99049740263085</v>
      </c>
    </row>
    <row r="72" spans="1:13" ht="12.75">
      <c r="A72" s="128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30"/>
    </row>
    <row r="73" spans="1:13" ht="12.75" customHeight="1" hidden="1">
      <c r="A73" s="125" t="s">
        <v>31</v>
      </c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7"/>
    </row>
    <row r="74" spans="1:13" ht="12.75">
      <c r="A74" s="22" t="s">
        <v>3</v>
      </c>
      <c r="B74" s="22"/>
      <c r="C74" s="23" t="s">
        <v>74</v>
      </c>
      <c r="D74" s="114">
        <f>D75+D76+D77+D78+D79+D80+D81+D82+D83</f>
        <v>19332</v>
      </c>
      <c r="E74" s="24">
        <f>E75+E76+E77+E78+E79+E80+E81+E82+E83</f>
        <v>23880.2</v>
      </c>
      <c r="F74" s="24">
        <f aca="true" t="shared" si="25" ref="F74:K74">F75+F76+F77+F78+F79+F80+F81+F82+F83+F84</f>
        <v>3560.3999999999996</v>
      </c>
      <c r="G74" s="24">
        <f t="shared" si="25"/>
        <v>8382.699999999999</v>
      </c>
      <c r="H74" s="24">
        <f t="shared" si="25"/>
        <v>5133.8</v>
      </c>
      <c r="I74" s="24">
        <f t="shared" si="25"/>
        <v>5656.5</v>
      </c>
      <c r="J74" s="24">
        <f t="shared" si="25"/>
        <v>17076.9</v>
      </c>
      <c r="K74" s="24">
        <f t="shared" si="25"/>
        <v>23373.5</v>
      </c>
      <c r="L74" s="24">
        <f aca="true" t="shared" si="26" ref="L74:L88">K74*100/D74</f>
        <v>120.90575212083591</v>
      </c>
      <c r="M74" s="24">
        <f>K74/E74*100</f>
        <v>97.87815847438463</v>
      </c>
    </row>
    <row r="75" spans="1:13" ht="12.75">
      <c r="A75" s="14" t="s">
        <v>26</v>
      </c>
      <c r="B75" s="14"/>
      <c r="C75" s="25" t="s">
        <v>25</v>
      </c>
      <c r="D75" s="104">
        <v>13185</v>
      </c>
      <c r="E75" s="26">
        <v>14413.8</v>
      </c>
      <c r="F75" s="27">
        <v>2430</v>
      </c>
      <c r="G75" s="27">
        <v>4200</v>
      </c>
      <c r="H75" s="27">
        <v>3600</v>
      </c>
      <c r="I75" s="27">
        <v>3855</v>
      </c>
      <c r="J75" s="28">
        <f aca="true" t="shared" si="27" ref="J75:J83">F75+G75+H75</f>
        <v>10230</v>
      </c>
      <c r="K75" s="27">
        <v>13834</v>
      </c>
      <c r="L75" s="28">
        <f t="shared" si="26"/>
        <v>104.92226014410315</v>
      </c>
      <c r="M75" s="28">
        <f>K75/E75*100</f>
        <v>95.97746603948994</v>
      </c>
    </row>
    <row r="76" spans="1:13" ht="12.75">
      <c r="A76" s="29" t="s">
        <v>8</v>
      </c>
      <c r="B76" s="29"/>
      <c r="C76" s="25" t="s">
        <v>5</v>
      </c>
      <c r="D76" s="104"/>
      <c r="E76" s="26">
        <f>F76+G76+H76+I76</f>
        <v>0</v>
      </c>
      <c r="F76" s="27"/>
      <c r="G76" s="27"/>
      <c r="H76" s="27"/>
      <c r="I76" s="27"/>
      <c r="J76" s="28">
        <f t="shared" si="27"/>
        <v>0</v>
      </c>
      <c r="K76" s="27"/>
      <c r="L76" s="28" t="e">
        <f t="shared" si="26"/>
        <v>#DIV/0!</v>
      </c>
      <c r="M76" s="28"/>
    </row>
    <row r="77" spans="1:13" ht="12.75" customHeight="1" hidden="1">
      <c r="A77" s="29" t="s">
        <v>9</v>
      </c>
      <c r="B77" s="29"/>
      <c r="C77" s="25" t="s">
        <v>6</v>
      </c>
      <c r="D77" s="104">
        <v>791</v>
      </c>
      <c r="E77" s="26">
        <v>1199</v>
      </c>
      <c r="F77" s="27">
        <v>51.5</v>
      </c>
      <c r="G77" s="27">
        <v>425</v>
      </c>
      <c r="H77" s="27">
        <v>131</v>
      </c>
      <c r="I77" s="27">
        <v>183.5</v>
      </c>
      <c r="J77" s="28">
        <f t="shared" si="27"/>
        <v>607.5</v>
      </c>
      <c r="K77" s="27">
        <v>1410.7</v>
      </c>
      <c r="L77" s="28">
        <f t="shared" si="26"/>
        <v>178.34386852085967</v>
      </c>
      <c r="M77" s="28">
        <f>K77/E77*100</f>
        <v>117.65638031693078</v>
      </c>
    </row>
    <row r="78" spans="1:13" ht="12.75">
      <c r="A78" s="29" t="s">
        <v>10</v>
      </c>
      <c r="B78" s="29"/>
      <c r="C78" s="25" t="s">
        <v>22</v>
      </c>
      <c r="D78" s="104"/>
      <c r="E78" s="26">
        <f aca="true" t="shared" si="28" ref="E78:E84">F78+G78+H78+I78</f>
        <v>0</v>
      </c>
      <c r="F78" s="27"/>
      <c r="G78" s="27"/>
      <c r="H78" s="27"/>
      <c r="I78" s="27"/>
      <c r="J78" s="28">
        <f t="shared" si="27"/>
        <v>0</v>
      </c>
      <c r="K78" s="27"/>
      <c r="L78" s="28" t="e">
        <f t="shared" si="26"/>
        <v>#DIV/0!</v>
      </c>
      <c r="M78" s="28"/>
    </row>
    <row r="79" spans="1:13" ht="12.75" customHeight="1" hidden="1">
      <c r="A79" s="18" t="s">
        <v>11</v>
      </c>
      <c r="B79" s="18"/>
      <c r="C79" s="25" t="s">
        <v>17</v>
      </c>
      <c r="D79" s="104">
        <v>4890</v>
      </c>
      <c r="E79" s="26">
        <f t="shared" si="28"/>
        <v>4890</v>
      </c>
      <c r="F79" s="27">
        <v>952.2</v>
      </c>
      <c r="G79" s="27">
        <v>1219.5</v>
      </c>
      <c r="H79" s="27">
        <v>1287</v>
      </c>
      <c r="I79" s="27">
        <v>1431.3</v>
      </c>
      <c r="J79" s="28">
        <f t="shared" si="27"/>
        <v>3458.7</v>
      </c>
      <c r="K79" s="27">
        <v>5003</v>
      </c>
      <c r="L79" s="28">
        <f t="shared" si="26"/>
        <v>102.31083844580778</v>
      </c>
      <c r="M79" s="28">
        <f>K79/E79*100</f>
        <v>102.31083844580778</v>
      </c>
    </row>
    <row r="80" spans="1:13" ht="12.75">
      <c r="A80" s="31" t="s">
        <v>47</v>
      </c>
      <c r="B80" s="31"/>
      <c r="C80" s="25" t="s">
        <v>48</v>
      </c>
      <c r="D80" s="104">
        <v>466</v>
      </c>
      <c r="E80" s="26">
        <v>534.4</v>
      </c>
      <c r="F80" s="27">
        <v>126.7</v>
      </c>
      <c r="G80" s="27">
        <v>64.2</v>
      </c>
      <c r="H80" s="27">
        <v>115.8</v>
      </c>
      <c r="I80" s="27">
        <v>186.7</v>
      </c>
      <c r="J80" s="28">
        <f t="shared" si="27"/>
        <v>306.7</v>
      </c>
      <c r="K80" s="27">
        <v>402.3</v>
      </c>
      <c r="L80" s="28">
        <f t="shared" si="26"/>
        <v>86.3304721030043</v>
      </c>
      <c r="M80" s="28">
        <f>K80/E80*100</f>
        <v>75.2806886227545</v>
      </c>
    </row>
    <row r="81" spans="1:13" ht="12.75">
      <c r="A81" s="30" t="s">
        <v>18</v>
      </c>
      <c r="B81" s="30"/>
      <c r="C81" s="25" t="s">
        <v>15</v>
      </c>
      <c r="D81" s="104"/>
      <c r="E81" s="26">
        <v>2722.7</v>
      </c>
      <c r="F81" s="27"/>
      <c r="G81" s="27">
        <v>2353.7</v>
      </c>
      <c r="H81" s="27"/>
      <c r="I81" s="27"/>
      <c r="J81" s="28">
        <f t="shared" si="27"/>
        <v>2353.7</v>
      </c>
      <c r="K81" s="27">
        <v>2567.7</v>
      </c>
      <c r="L81" s="28"/>
      <c r="M81" s="28">
        <f>K81/E81*100</f>
        <v>94.30712160722811</v>
      </c>
    </row>
    <row r="82" spans="1:13" ht="12.75" customHeight="1" hidden="1">
      <c r="A82" s="14" t="s">
        <v>12</v>
      </c>
      <c r="B82" s="14"/>
      <c r="C82" s="25" t="s">
        <v>7</v>
      </c>
      <c r="D82" s="104"/>
      <c r="E82" s="26">
        <f t="shared" si="28"/>
        <v>120.3</v>
      </c>
      <c r="F82" s="27"/>
      <c r="G82" s="27">
        <v>120.3</v>
      </c>
      <c r="H82" s="27"/>
      <c r="I82" s="27"/>
      <c r="J82" s="28">
        <f t="shared" si="27"/>
        <v>120.3</v>
      </c>
      <c r="K82" s="27">
        <v>120.3</v>
      </c>
      <c r="L82" s="28"/>
      <c r="M82" s="28">
        <f>K82/E82*100</f>
        <v>100</v>
      </c>
    </row>
    <row r="83" spans="1:13" ht="12.75">
      <c r="A83" s="32" t="s">
        <v>44</v>
      </c>
      <c r="B83" s="33"/>
      <c r="C83" s="34" t="s">
        <v>45</v>
      </c>
      <c r="D83" s="105"/>
      <c r="E83" s="26"/>
      <c r="F83" s="27"/>
      <c r="G83" s="27"/>
      <c r="H83" s="27"/>
      <c r="I83" s="27"/>
      <c r="J83" s="28">
        <f t="shared" si="27"/>
        <v>0</v>
      </c>
      <c r="K83" s="27">
        <v>35.5</v>
      </c>
      <c r="L83" s="28"/>
      <c r="M83" s="24"/>
    </row>
    <row r="84" spans="1:13" ht="12.75">
      <c r="A84" s="32" t="s">
        <v>49</v>
      </c>
      <c r="B84" s="33"/>
      <c r="C84" s="34" t="s">
        <v>50</v>
      </c>
      <c r="D84" s="105"/>
      <c r="E84" s="26">
        <f t="shared" si="28"/>
        <v>0</v>
      </c>
      <c r="F84" s="27"/>
      <c r="G84" s="27"/>
      <c r="H84" s="27"/>
      <c r="I84" s="27"/>
      <c r="J84" s="24">
        <f>F84</f>
        <v>0</v>
      </c>
      <c r="K84" s="27"/>
      <c r="L84" s="28" t="e">
        <f t="shared" si="26"/>
        <v>#DIV/0!</v>
      </c>
      <c r="M84" s="24"/>
    </row>
    <row r="85" spans="1:13" ht="12.75">
      <c r="A85" s="22" t="s">
        <v>1</v>
      </c>
      <c r="B85" s="22"/>
      <c r="C85" s="35" t="s">
        <v>0</v>
      </c>
      <c r="D85" s="109">
        <f aca="true" t="shared" si="29" ref="D85:J85">D86+D87</f>
        <v>49900.7</v>
      </c>
      <c r="E85" s="36">
        <f t="shared" si="29"/>
        <v>103743.2</v>
      </c>
      <c r="F85" s="36">
        <f t="shared" si="29"/>
        <v>20603.4</v>
      </c>
      <c r="G85" s="36">
        <f t="shared" si="29"/>
        <v>40129.6</v>
      </c>
      <c r="H85" s="36">
        <f t="shared" si="29"/>
        <v>27038.4</v>
      </c>
      <c r="I85" s="36">
        <f t="shared" si="29"/>
        <v>11436.5</v>
      </c>
      <c r="J85" s="36">
        <f t="shared" si="29"/>
        <v>87771.4</v>
      </c>
      <c r="K85" s="36">
        <f>K86+K87</f>
        <v>100631.7</v>
      </c>
      <c r="L85" s="24">
        <f t="shared" si="26"/>
        <v>201.66390451436556</v>
      </c>
      <c r="M85" s="24">
        <f>K85/E85*100</f>
        <v>97.00076727920481</v>
      </c>
    </row>
    <row r="86" spans="1:13" ht="24">
      <c r="A86" s="20" t="s">
        <v>21</v>
      </c>
      <c r="B86" s="29"/>
      <c r="C86" s="37" t="s">
        <v>20</v>
      </c>
      <c r="D86" s="104">
        <v>49900.7</v>
      </c>
      <c r="E86" s="26">
        <v>97120</v>
      </c>
      <c r="F86" s="27">
        <v>20583.4</v>
      </c>
      <c r="G86" s="27">
        <f>44286.1-7268</f>
        <v>37018.1</v>
      </c>
      <c r="H86" s="27">
        <v>23930.4</v>
      </c>
      <c r="I86" s="27">
        <f>11266.4+170.1</f>
        <v>11436.5</v>
      </c>
      <c r="J86" s="28">
        <f>F86+G86+H86</f>
        <v>81531.9</v>
      </c>
      <c r="K86" s="27">
        <v>93982.8</v>
      </c>
      <c r="L86" s="28">
        <f t="shared" si="26"/>
        <v>188.3396425300647</v>
      </c>
      <c r="M86" s="28">
        <f>K86/E86*100</f>
        <v>96.76976935749589</v>
      </c>
    </row>
    <row r="87" spans="1:13" ht="12.75">
      <c r="A87" s="19" t="s">
        <v>2</v>
      </c>
      <c r="B87" s="19"/>
      <c r="C87" s="38" t="s">
        <v>19</v>
      </c>
      <c r="D87" s="106"/>
      <c r="E87" s="26">
        <v>6623.2</v>
      </c>
      <c r="F87" s="27">
        <v>20</v>
      </c>
      <c r="G87" s="27">
        <v>3111.5</v>
      </c>
      <c r="H87" s="27">
        <v>3108</v>
      </c>
      <c r="I87" s="27"/>
      <c r="J87" s="28">
        <f>F87+G87+H87</f>
        <v>6239.5</v>
      </c>
      <c r="K87" s="27">
        <v>6648.9</v>
      </c>
      <c r="L87" s="28"/>
      <c r="M87" s="28">
        <f>K87/E87*100</f>
        <v>100.3880299553086</v>
      </c>
    </row>
    <row r="88" spans="1:13" ht="12.75">
      <c r="A88" s="14"/>
      <c r="B88" s="15"/>
      <c r="C88" s="16" t="s">
        <v>4</v>
      </c>
      <c r="D88" s="1">
        <f aca="true" t="shared" si="30" ref="D88:J88">D85+D74</f>
        <v>69232.7</v>
      </c>
      <c r="E88" s="1">
        <f t="shared" si="30"/>
        <v>127623.4</v>
      </c>
      <c r="F88" s="1">
        <f t="shared" si="30"/>
        <v>24163.800000000003</v>
      </c>
      <c r="G88" s="1">
        <f t="shared" si="30"/>
        <v>48512.299999999996</v>
      </c>
      <c r="H88" s="1">
        <f t="shared" si="30"/>
        <v>32172.2</v>
      </c>
      <c r="I88" s="1">
        <f t="shared" si="30"/>
        <v>17093</v>
      </c>
      <c r="J88" s="1">
        <f t="shared" si="30"/>
        <v>104848.29999999999</v>
      </c>
      <c r="K88" s="1">
        <f>K85+K74</f>
        <v>124005.2</v>
      </c>
      <c r="L88" s="24">
        <f t="shared" si="26"/>
        <v>179.11362694218195</v>
      </c>
      <c r="M88" s="24">
        <f>K88/E88*100</f>
        <v>97.16493997182334</v>
      </c>
    </row>
    <row r="89" spans="1:13" ht="12.75">
      <c r="A89" s="128"/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30"/>
    </row>
    <row r="90" spans="1:13" ht="12.75">
      <c r="A90" s="125" t="s">
        <v>32</v>
      </c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7"/>
    </row>
    <row r="91" spans="1:13" ht="12.75">
      <c r="A91" s="41" t="s">
        <v>3</v>
      </c>
      <c r="B91" s="41"/>
      <c r="C91" s="23" t="s">
        <v>74</v>
      </c>
      <c r="D91" s="1">
        <f aca="true" t="shared" si="31" ref="D91:J91">D92+D93+D97+D94+D95+D99+D96+D98</f>
        <v>1508</v>
      </c>
      <c r="E91" s="42">
        <f t="shared" si="31"/>
        <v>1894.8</v>
      </c>
      <c r="F91" s="42">
        <f t="shared" si="31"/>
        <v>357.9</v>
      </c>
      <c r="G91" s="42">
        <f t="shared" si="31"/>
        <v>360.1</v>
      </c>
      <c r="H91" s="42">
        <f t="shared" si="31"/>
        <v>781.7</v>
      </c>
      <c r="I91" s="42">
        <f t="shared" si="31"/>
        <v>395.1</v>
      </c>
      <c r="J91" s="42">
        <f t="shared" si="31"/>
        <v>1499.7</v>
      </c>
      <c r="K91" s="42">
        <f>K92+K93+K97+K94+K95+K99+K96+K98</f>
        <v>1808.9</v>
      </c>
      <c r="L91" s="24">
        <f aca="true" t="shared" si="32" ref="L91:L103">K91*100/D91</f>
        <v>119.95358090185677</v>
      </c>
      <c r="M91" s="24">
        <f>K91/E91*100</f>
        <v>95.46654000422208</v>
      </c>
    </row>
    <row r="92" spans="1:13" ht="12.75">
      <c r="A92" s="14" t="s">
        <v>26</v>
      </c>
      <c r="B92" s="14"/>
      <c r="C92" s="25" t="s">
        <v>25</v>
      </c>
      <c r="D92" s="104">
        <v>1227</v>
      </c>
      <c r="E92" s="26">
        <f>F92+G92+H92+I92</f>
        <v>1227</v>
      </c>
      <c r="F92" s="27">
        <v>306.7</v>
      </c>
      <c r="G92" s="27">
        <v>306.8</v>
      </c>
      <c r="H92" s="27">
        <v>306.7</v>
      </c>
      <c r="I92" s="27">
        <v>306.8</v>
      </c>
      <c r="J92" s="28">
        <f aca="true" t="shared" si="33" ref="J92:J102">F92+G92+H92</f>
        <v>920.2</v>
      </c>
      <c r="K92" s="27">
        <v>1211.7</v>
      </c>
      <c r="L92" s="28">
        <f t="shared" si="32"/>
        <v>98.75305623471883</v>
      </c>
      <c r="M92" s="28">
        <f aca="true" t="shared" si="34" ref="M92:M103">K92/E92*100</f>
        <v>98.75305623471883</v>
      </c>
    </row>
    <row r="93" spans="1:13" ht="12.75">
      <c r="A93" s="29" t="s">
        <v>9</v>
      </c>
      <c r="B93" s="29"/>
      <c r="C93" s="25" t="s">
        <v>6</v>
      </c>
      <c r="D93" s="104">
        <v>76</v>
      </c>
      <c r="E93" s="26">
        <f>F93+G93+H93+I93</f>
        <v>76</v>
      </c>
      <c r="F93" s="27">
        <v>1.5</v>
      </c>
      <c r="G93" s="27">
        <v>1.5</v>
      </c>
      <c r="H93" s="27">
        <v>36.5</v>
      </c>
      <c r="I93" s="27">
        <v>36.5</v>
      </c>
      <c r="J93" s="28">
        <f t="shared" si="33"/>
        <v>39.5</v>
      </c>
      <c r="K93" s="27">
        <v>51.3</v>
      </c>
      <c r="L93" s="28">
        <f t="shared" si="32"/>
        <v>67.5</v>
      </c>
      <c r="M93" s="28">
        <f t="shared" si="34"/>
        <v>67.5</v>
      </c>
    </row>
    <row r="94" spans="1:13" ht="12.75">
      <c r="A94" s="29" t="s">
        <v>10</v>
      </c>
      <c r="B94" s="29"/>
      <c r="C94" s="25" t="s">
        <v>22</v>
      </c>
      <c r="D94" s="104">
        <v>10</v>
      </c>
      <c r="E94" s="26">
        <f>F94+G94+H94+I94</f>
        <v>10</v>
      </c>
      <c r="F94" s="27">
        <v>1</v>
      </c>
      <c r="G94" s="27">
        <v>3</v>
      </c>
      <c r="H94" s="27">
        <v>3</v>
      </c>
      <c r="I94" s="27">
        <v>3</v>
      </c>
      <c r="J94" s="28">
        <f t="shared" si="33"/>
        <v>7</v>
      </c>
      <c r="K94" s="27">
        <v>2.7</v>
      </c>
      <c r="L94" s="28">
        <f t="shared" si="32"/>
        <v>27</v>
      </c>
      <c r="M94" s="28">
        <f t="shared" si="34"/>
        <v>27</v>
      </c>
    </row>
    <row r="95" spans="1:13" ht="24">
      <c r="A95" s="18" t="s">
        <v>11</v>
      </c>
      <c r="B95" s="18"/>
      <c r="C95" s="25" t="s">
        <v>17</v>
      </c>
      <c r="D95" s="104">
        <v>195</v>
      </c>
      <c r="E95" s="26">
        <f>F95+G95+H95+I95</f>
        <v>195</v>
      </c>
      <c r="F95" s="27">
        <v>48.7</v>
      </c>
      <c r="G95" s="27">
        <v>48.8</v>
      </c>
      <c r="H95" s="27">
        <v>48.7</v>
      </c>
      <c r="I95" s="27">
        <v>48.8</v>
      </c>
      <c r="J95" s="28">
        <f t="shared" si="33"/>
        <v>146.2</v>
      </c>
      <c r="K95" s="27">
        <v>18.3</v>
      </c>
      <c r="L95" s="28">
        <f t="shared" si="32"/>
        <v>9.384615384615385</v>
      </c>
      <c r="M95" s="28">
        <f t="shared" si="34"/>
        <v>9.384615384615385</v>
      </c>
    </row>
    <row r="96" spans="1:13" ht="12.75">
      <c r="A96" s="31" t="s">
        <v>47</v>
      </c>
      <c r="B96" s="31"/>
      <c r="C96" s="25" t="s">
        <v>48</v>
      </c>
      <c r="D96" s="104"/>
      <c r="E96" s="26"/>
      <c r="F96" s="27"/>
      <c r="G96" s="27"/>
      <c r="H96" s="27"/>
      <c r="I96" s="27"/>
      <c r="J96" s="28">
        <f t="shared" si="33"/>
        <v>0</v>
      </c>
      <c r="K96" s="27">
        <v>28.2</v>
      </c>
      <c r="L96" s="28"/>
      <c r="M96" s="28"/>
    </row>
    <row r="97" spans="1:13" ht="12.75">
      <c r="A97" s="31" t="s">
        <v>18</v>
      </c>
      <c r="B97" s="31"/>
      <c r="C97" s="25" t="s">
        <v>15</v>
      </c>
      <c r="D97" s="104"/>
      <c r="E97" s="26"/>
      <c r="F97" s="27"/>
      <c r="G97" s="27"/>
      <c r="H97" s="27"/>
      <c r="I97" s="27"/>
      <c r="J97" s="28">
        <f t="shared" si="33"/>
        <v>0</v>
      </c>
      <c r="K97" s="27">
        <v>39.9</v>
      </c>
      <c r="L97" s="28"/>
      <c r="M97" s="28"/>
    </row>
    <row r="98" spans="1:13" ht="12.75">
      <c r="A98" s="14" t="s">
        <v>12</v>
      </c>
      <c r="B98" s="14"/>
      <c r="C98" s="25" t="s">
        <v>7</v>
      </c>
      <c r="D98" s="104"/>
      <c r="E98" s="26">
        <f>F98+G98+H98+I98</f>
        <v>386.8</v>
      </c>
      <c r="F98" s="27"/>
      <c r="G98" s="27"/>
      <c r="H98" s="27">
        <v>386.8</v>
      </c>
      <c r="I98" s="27"/>
      <c r="J98" s="28">
        <f t="shared" si="33"/>
        <v>386.8</v>
      </c>
      <c r="K98" s="27">
        <v>456.8</v>
      </c>
      <c r="L98" s="28"/>
      <c r="M98" s="28">
        <f t="shared" si="34"/>
        <v>118.09720785935885</v>
      </c>
    </row>
    <row r="99" spans="1:13" ht="12.75">
      <c r="A99" s="31" t="s">
        <v>44</v>
      </c>
      <c r="B99" s="52"/>
      <c r="C99" s="34" t="s">
        <v>45</v>
      </c>
      <c r="D99" s="105"/>
      <c r="E99" s="26"/>
      <c r="F99" s="27"/>
      <c r="G99" s="27"/>
      <c r="H99" s="27"/>
      <c r="I99" s="27"/>
      <c r="J99" s="28">
        <f t="shared" si="33"/>
        <v>0</v>
      </c>
      <c r="K99" s="27"/>
      <c r="L99" s="28"/>
      <c r="M99" s="24"/>
    </row>
    <row r="100" spans="1:13" ht="12.75">
      <c r="A100" s="41" t="s">
        <v>1</v>
      </c>
      <c r="B100" s="41"/>
      <c r="C100" s="35" t="s">
        <v>0</v>
      </c>
      <c r="D100" s="36">
        <f aca="true" t="shared" si="35" ref="D100:J100">D101+D102</f>
        <v>17157.7</v>
      </c>
      <c r="E100" s="36">
        <f t="shared" si="35"/>
        <v>34449.6</v>
      </c>
      <c r="F100" s="36">
        <f t="shared" si="35"/>
        <v>7013.6</v>
      </c>
      <c r="G100" s="36">
        <f t="shared" si="35"/>
        <v>7547.9000000000015</v>
      </c>
      <c r="H100" s="36">
        <f t="shared" si="35"/>
        <v>8461.2</v>
      </c>
      <c r="I100" s="36">
        <f t="shared" si="35"/>
        <v>7157.700000000001</v>
      </c>
      <c r="J100" s="36">
        <f t="shared" si="35"/>
        <v>23022.700000000004</v>
      </c>
      <c r="K100" s="36">
        <f>K101+K102</f>
        <v>33136.5</v>
      </c>
      <c r="L100" s="24">
        <f t="shared" si="32"/>
        <v>193.12903244607378</v>
      </c>
      <c r="M100" s="24">
        <f t="shared" si="34"/>
        <v>96.18834471227532</v>
      </c>
    </row>
    <row r="101" spans="1:13" ht="24">
      <c r="A101" s="20" t="s">
        <v>21</v>
      </c>
      <c r="B101" s="29"/>
      <c r="C101" s="37" t="s">
        <v>20</v>
      </c>
      <c r="D101" s="104">
        <v>17157.7</v>
      </c>
      <c r="E101" s="26">
        <v>34165.5</v>
      </c>
      <c r="F101" s="27">
        <f>6853.6+160</f>
        <v>7013.6</v>
      </c>
      <c r="G101" s="27">
        <f>6864.1+47.6+522.1+114.1</f>
        <v>7547.9000000000015</v>
      </c>
      <c r="H101" s="27">
        <f>6853.6+1315.9+77.6+214.1</f>
        <v>8461.2</v>
      </c>
      <c r="I101" s="27">
        <f>6853.6+304.1</f>
        <v>7157.700000000001</v>
      </c>
      <c r="J101" s="28">
        <f t="shared" si="33"/>
        <v>23022.700000000004</v>
      </c>
      <c r="K101" s="27">
        <v>32852.4</v>
      </c>
      <c r="L101" s="28">
        <f t="shared" si="32"/>
        <v>191.47321610705396</v>
      </c>
      <c r="M101" s="28">
        <f t="shared" si="34"/>
        <v>96.15664925143786</v>
      </c>
    </row>
    <row r="102" spans="1:13" ht="12.75">
      <c r="A102" s="19" t="s">
        <v>2</v>
      </c>
      <c r="B102" s="19"/>
      <c r="C102" s="38" t="s">
        <v>19</v>
      </c>
      <c r="D102" s="106"/>
      <c r="E102" s="26">
        <v>284.1</v>
      </c>
      <c r="F102" s="27"/>
      <c r="G102" s="27"/>
      <c r="H102" s="27"/>
      <c r="I102" s="27"/>
      <c r="J102" s="28">
        <f t="shared" si="33"/>
        <v>0</v>
      </c>
      <c r="K102" s="27">
        <v>284.1</v>
      </c>
      <c r="L102" s="28"/>
      <c r="M102" s="28">
        <f t="shared" si="34"/>
        <v>100</v>
      </c>
    </row>
    <row r="103" spans="1:13" ht="12.75">
      <c r="A103" s="14"/>
      <c r="B103" s="15"/>
      <c r="C103" s="16" t="s">
        <v>4</v>
      </c>
      <c r="D103" s="1">
        <f>D100+D91</f>
        <v>18665.7</v>
      </c>
      <c r="E103" s="1">
        <f>E100+E91</f>
        <v>36344.4</v>
      </c>
      <c r="F103" s="1">
        <f aca="true" t="shared" si="36" ref="F103:K103">F100+F91</f>
        <v>7371.5</v>
      </c>
      <c r="G103" s="1">
        <f t="shared" si="36"/>
        <v>7908.000000000002</v>
      </c>
      <c r="H103" s="1">
        <f t="shared" si="36"/>
        <v>9242.900000000001</v>
      </c>
      <c r="I103" s="1">
        <f t="shared" si="36"/>
        <v>7552.800000000001</v>
      </c>
      <c r="J103" s="1">
        <f t="shared" si="36"/>
        <v>24522.400000000005</v>
      </c>
      <c r="K103" s="1">
        <f t="shared" si="36"/>
        <v>34945.4</v>
      </c>
      <c r="L103" s="24">
        <f t="shared" si="32"/>
        <v>187.21719517617876</v>
      </c>
      <c r="M103" s="24">
        <f t="shared" si="34"/>
        <v>96.15071372756188</v>
      </c>
    </row>
    <row r="104" spans="1:13" ht="12.75">
      <c r="A104" s="128"/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30"/>
    </row>
    <row r="105" spans="1:13" ht="12.75">
      <c r="A105" s="125" t="s">
        <v>33</v>
      </c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7"/>
    </row>
    <row r="106" spans="1:13" ht="12.75" customHeight="1" hidden="1">
      <c r="A106" s="22" t="s">
        <v>3</v>
      </c>
      <c r="B106" s="22"/>
      <c r="C106" s="23" t="s">
        <v>74</v>
      </c>
      <c r="D106" s="24">
        <f aca="true" t="shared" si="37" ref="D106:J106">D107+D108+D112+D109+D110+D113+D114+D111</f>
        <v>1167</v>
      </c>
      <c r="E106" s="24">
        <f t="shared" si="37"/>
        <v>1523.6</v>
      </c>
      <c r="F106" s="24">
        <f t="shared" si="37"/>
        <v>156.09999999999997</v>
      </c>
      <c r="G106" s="24">
        <f t="shared" si="37"/>
        <v>563.0000000000001</v>
      </c>
      <c r="H106" s="24">
        <f t="shared" si="37"/>
        <v>291</v>
      </c>
      <c r="I106" s="24">
        <f t="shared" si="37"/>
        <v>371.8</v>
      </c>
      <c r="J106" s="24">
        <f t="shared" si="37"/>
        <v>1010.1</v>
      </c>
      <c r="K106" s="24">
        <f>K107+K108+K112+K109+K110+K113+K114+K111</f>
        <v>1914.7000000000003</v>
      </c>
      <c r="L106" s="24">
        <f aca="true" t="shared" si="38" ref="L106:L117">K106*100/D106</f>
        <v>164.07026563838906</v>
      </c>
      <c r="M106" s="24">
        <f>K106/E106*100</f>
        <v>125.66946705171964</v>
      </c>
    </row>
    <row r="107" spans="1:13" ht="12.75">
      <c r="A107" s="14" t="s">
        <v>26</v>
      </c>
      <c r="B107" s="14"/>
      <c r="C107" s="25" t="s">
        <v>25</v>
      </c>
      <c r="D107" s="45">
        <v>930</v>
      </c>
      <c r="E107" s="26">
        <v>930</v>
      </c>
      <c r="F107" s="27">
        <v>137.7</v>
      </c>
      <c r="G107" s="27">
        <v>302.5</v>
      </c>
      <c r="H107" s="27">
        <v>196</v>
      </c>
      <c r="I107" s="27">
        <v>293.8</v>
      </c>
      <c r="J107" s="28">
        <f aca="true" t="shared" si="39" ref="J107:J116">F107+G107+H107</f>
        <v>636.2</v>
      </c>
      <c r="K107" s="27">
        <v>887.2</v>
      </c>
      <c r="L107" s="28">
        <f t="shared" si="38"/>
        <v>95.39784946236558</v>
      </c>
      <c r="M107" s="28">
        <f aca="true" t="shared" si="40" ref="M107:M117">K107/E107*100</f>
        <v>95.39784946236558</v>
      </c>
    </row>
    <row r="108" spans="1:13" ht="12.75">
      <c r="A108" s="29" t="s">
        <v>9</v>
      </c>
      <c r="B108" s="29"/>
      <c r="C108" s="25" t="s">
        <v>6</v>
      </c>
      <c r="D108" s="45">
        <v>90</v>
      </c>
      <c r="E108" s="26">
        <v>92</v>
      </c>
      <c r="F108" s="27"/>
      <c r="G108" s="27">
        <v>27</v>
      </c>
      <c r="H108" s="27">
        <v>38</v>
      </c>
      <c r="I108" s="27">
        <v>25</v>
      </c>
      <c r="J108" s="28">
        <f t="shared" si="39"/>
        <v>65</v>
      </c>
      <c r="K108" s="27">
        <v>48.5</v>
      </c>
      <c r="L108" s="28">
        <f t="shared" si="38"/>
        <v>53.888888888888886</v>
      </c>
      <c r="M108" s="28">
        <f t="shared" si="40"/>
        <v>52.71739130434783</v>
      </c>
    </row>
    <row r="109" spans="1:13" ht="12.75">
      <c r="A109" s="29" t="s">
        <v>10</v>
      </c>
      <c r="B109" s="29"/>
      <c r="C109" s="25" t="s">
        <v>22</v>
      </c>
      <c r="D109" s="45">
        <v>30</v>
      </c>
      <c r="E109" s="26">
        <f aca="true" t="shared" si="41" ref="E109:E114">F109+G109+H109+I109</f>
        <v>30</v>
      </c>
      <c r="F109" s="27">
        <v>3.2</v>
      </c>
      <c r="G109" s="27">
        <v>6.7</v>
      </c>
      <c r="H109" s="27">
        <v>10.4</v>
      </c>
      <c r="I109" s="27">
        <v>9.7</v>
      </c>
      <c r="J109" s="28">
        <f t="shared" si="39"/>
        <v>20.3</v>
      </c>
      <c r="K109" s="27">
        <v>26.4</v>
      </c>
      <c r="L109" s="28">
        <f t="shared" si="38"/>
        <v>88</v>
      </c>
      <c r="M109" s="28">
        <f t="shared" si="40"/>
        <v>88</v>
      </c>
    </row>
    <row r="110" spans="1:13" ht="24">
      <c r="A110" s="18" t="s">
        <v>11</v>
      </c>
      <c r="B110" s="18"/>
      <c r="C110" s="25" t="s">
        <v>17</v>
      </c>
      <c r="D110" s="45">
        <v>117</v>
      </c>
      <c r="E110" s="26">
        <v>198</v>
      </c>
      <c r="F110" s="27">
        <v>15.2</v>
      </c>
      <c r="G110" s="27">
        <v>43.2</v>
      </c>
      <c r="H110" s="27">
        <v>46.6</v>
      </c>
      <c r="I110" s="27">
        <v>43.3</v>
      </c>
      <c r="J110" s="28">
        <f t="shared" si="39"/>
        <v>105</v>
      </c>
      <c r="K110" s="27">
        <v>185</v>
      </c>
      <c r="L110" s="28">
        <f t="shared" si="38"/>
        <v>158.1196581196581</v>
      </c>
      <c r="M110" s="28">
        <f t="shared" si="40"/>
        <v>93.43434343434343</v>
      </c>
    </row>
    <row r="111" spans="1:13" ht="12.75">
      <c r="A111" s="31" t="s">
        <v>47</v>
      </c>
      <c r="B111" s="31"/>
      <c r="C111" s="25" t="s">
        <v>48</v>
      </c>
      <c r="D111" s="45"/>
      <c r="E111" s="26">
        <v>90</v>
      </c>
      <c r="F111" s="27"/>
      <c r="G111" s="27"/>
      <c r="H111" s="27"/>
      <c r="I111" s="27"/>
      <c r="J111" s="28"/>
      <c r="K111" s="27">
        <v>80.4</v>
      </c>
      <c r="L111" s="28"/>
      <c r="M111" s="28">
        <f t="shared" si="40"/>
        <v>89.33333333333334</v>
      </c>
    </row>
    <row r="112" spans="1:13" ht="12.75">
      <c r="A112" s="30" t="s">
        <v>18</v>
      </c>
      <c r="B112" s="30"/>
      <c r="C112" s="25" t="s">
        <v>15</v>
      </c>
      <c r="D112" s="45"/>
      <c r="E112" s="26">
        <f t="shared" si="41"/>
        <v>183.6</v>
      </c>
      <c r="F112" s="27"/>
      <c r="G112" s="27">
        <v>183.6</v>
      </c>
      <c r="H112" s="27"/>
      <c r="I112" s="27"/>
      <c r="J112" s="28">
        <f t="shared" si="39"/>
        <v>183.6</v>
      </c>
      <c r="K112" s="27">
        <v>183.6</v>
      </c>
      <c r="L112" s="28"/>
      <c r="M112" s="28">
        <f t="shared" si="40"/>
        <v>100</v>
      </c>
    </row>
    <row r="113" spans="1:13" ht="12.75">
      <c r="A113" s="14" t="s">
        <v>12</v>
      </c>
      <c r="B113" s="14"/>
      <c r="C113" s="25" t="s">
        <v>7</v>
      </c>
      <c r="D113" s="45"/>
      <c r="E113" s="26">
        <f t="shared" si="41"/>
        <v>0</v>
      </c>
      <c r="F113" s="27"/>
      <c r="G113" s="27"/>
      <c r="H113" s="27"/>
      <c r="I113" s="27"/>
      <c r="J113" s="28">
        <f t="shared" si="39"/>
        <v>0</v>
      </c>
      <c r="K113" s="27"/>
      <c r="L113" s="28"/>
      <c r="M113" s="28"/>
    </row>
    <row r="114" spans="1:13" ht="12.75">
      <c r="A114" s="30" t="s">
        <v>44</v>
      </c>
      <c r="B114" s="52"/>
      <c r="C114" s="34" t="s">
        <v>45</v>
      </c>
      <c r="D114" s="111"/>
      <c r="E114" s="26">
        <f t="shared" si="41"/>
        <v>0</v>
      </c>
      <c r="F114" s="27"/>
      <c r="G114" s="27"/>
      <c r="H114" s="27"/>
      <c r="I114" s="27"/>
      <c r="J114" s="28">
        <f t="shared" si="39"/>
        <v>0</v>
      </c>
      <c r="K114" s="27">
        <v>503.6</v>
      </c>
      <c r="L114" s="28"/>
      <c r="M114" s="28"/>
    </row>
    <row r="115" spans="1:13" ht="12.75">
      <c r="A115" s="22" t="s">
        <v>1</v>
      </c>
      <c r="B115" s="22"/>
      <c r="C115" s="35" t="s">
        <v>0</v>
      </c>
      <c r="D115" s="36">
        <f aca="true" t="shared" si="42" ref="D115:K115">D116</f>
        <v>23012.5</v>
      </c>
      <c r="E115" s="36">
        <f t="shared" si="42"/>
        <v>38916.4</v>
      </c>
      <c r="F115" s="36">
        <f t="shared" si="42"/>
        <v>4611.4</v>
      </c>
      <c r="G115" s="36">
        <f t="shared" si="42"/>
        <v>12763.4</v>
      </c>
      <c r="H115" s="36">
        <f t="shared" si="42"/>
        <v>13165.1</v>
      </c>
      <c r="I115" s="36">
        <f t="shared" si="42"/>
        <v>5816.1</v>
      </c>
      <c r="J115" s="36">
        <f t="shared" si="42"/>
        <v>30539.9</v>
      </c>
      <c r="K115" s="53">
        <f t="shared" si="42"/>
        <v>37138</v>
      </c>
      <c r="L115" s="24">
        <f t="shared" si="38"/>
        <v>161.3818576860402</v>
      </c>
      <c r="M115" s="24">
        <f t="shared" si="40"/>
        <v>95.43020423266283</v>
      </c>
    </row>
    <row r="116" spans="1:17" ht="24">
      <c r="A116" s="20" t="s">
        <v>21</v>
      </c>
      <c r="B116" s="29"/>
      <c r="C116" s="37" t="s">
        <v>20</v>
      </c>
      <c r="D116" s="45">
        <v>23012.5</v>
      </c>
      <c r="E116" s="26">
        <v>38916.4</v>
      </c>
      <c r="F116" s="27">
        <v>4611.4</v>
      </c>
      <c r="G116" s="27">
        <v>12763.4</v>
      </c>
      <c r="H116" s="27">
        <f>12640.9+129.5+394.7</f>
        <v>13165.1</v>
      </c>
      <c r="I116" s="27">
        <v>5816.1</v>
      </c>
      <c r="J116" s="28">
        <f t="shared" si="39"/>
        <v>30539.9</v>
      </c>
      <c r="K116" s="27">
        <v>37138</v>
      </c>
      <c r="L116" s="28">
        <f t="shared" si="38"/>
        <v>161.3818576860402</v>
      </c>
      <c r="M116" s="28">
        <f t="shared" si="40"/>
        <v>95.43020423266283</v>
      </c>
      <c r="Q116" s="3"/>
    </row>
    <row r="117" spans="1:13" ht="12.75">
      <c r="A117" s="14"/>
      <c r="B117" s="15"/>
      <c r="C117" s="16" t="s">
        <v>4</v>
      </c>
      <c r="D117" s="42">
        <f>D115+D106</f>
        <v>24179.5</v>
      </c>
      <c r="E117" s="1">
        <f>E115+E106</f>
        <v>40440</v>
      </c>
      <c r="F117" s="1">
        <f aca="true" t="shared" si="43" ref="F117:K117">F115+F106</f>
        <v>4767.5</v>
      </c>
      <c r="G117" s="1">
        <f t="shared" si="43"/>
        <v>13326.4</v>
      </c>
      <c r="H117" s="1">
        <f t="shared" si="43"/>
        <v>13456.1</v>
      </c>
      <c r="I117" s="1">
        <f t="shared" si="43"/>
        <v>6187.900000000001</v>
      </c>
      <c r="J117" s="1">
        <f t="shared" si="43"/>
        <v>31550</v>
      </c>
      <c r="K117" s="1">
        <f t="shared" si="43"/>
        <v>39052.7</v>
      </c>
      <c r="L117" s="24">
        <f t="shared" si="38"/>
        <v>161.51161107549783</v>
      </c>
      <c r="M117" s="24">
        <f t="shared" si="40"/>
        <v>96.56948565776459</v>
      </c>
    </row>
    <row r="118" spans="1:13" ht="12.75">
      <c r="A118" s="128"/>
      <c r="B118" s="129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30"/>
    </row>
    <row r="119" spans="1:13" ht="13.5" customHeight="1" hidden="1">
      <c r="A119" s="125" t="s">
        <v>34</v>
      </c>
      <c r="B119" s="126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7"/>
    </row>
    <row r="120" spans="1:13" ht="12.75">
      <c r="A120" s="22" t="s">
        <v>3</v>
      </c>
      <c r="B120" s="22"/>
      <c r="C120" s="23" t="s">
        <v>74</v>
      </c>
      <c r="D120" s="24">
        <f>D121+D122+D123+D124+D126+D128+D125+D127</f>
        <v>2174</v>
      </c>
      <c r="E120" s="24">
        <f>E121+E122+E123+E124+E126+E128+E125+E127</f>
        <v>2174</v>
      </c>
      <c r="F120" s="24">
        <f aca="true" t="shared" si="44" ref="F120:K120">F121+F122+F123+F124+F126+F128+F125+F127</f>
        <v>434.8</v>
      </c>
      <c r="G120" s="24">
        <f t="shared" si="44"/>
        <v>652.2</v>
      </c>
      <c r="H120" s="24">
        <f t="shared" si="44"/>
        <v>587</v>
      </c>
      <c r="I120" s="24">
        <f t="shared" si="44"/>
        <v>500</v>
      </c>
      <c r="J120" s="24">
        <f t="shared" si="44"/>
        <v>1674</v>
      </c>
      <c r="K120" s="24">
        <f t="shared" si="44"/>
        <v>2219.0000000000005</v>
      </c>
      <c r="L120" s="24">
        <f aca="true" t="shared" si="45" ref="L120:L131">K120*100/D120</f>
        <v>102.06991720331189</v>
      </c>
      <c r="M120" s="24">
        <f>K120/E120*100</f>
        <v>102.06991720331189</v>
      </c>
    </row>
    <row r="121" spans="1:13" ht="12.75">
      <c r="A121" s="14" t="s">
        <v>26</v>
      </c>
      <c r="B121" s="14"/>
      <c r="C121" s="25" t="s">
        <v>25</v>
      </c>
      <c r="D121" s="45">
        <v>1456</v>
      </c>
      <c r="E121" s="26">
        <f aca="true" t="shared" si="46" ref="E121:E128">F121+G121+H121+I121</f>
        <v>1456</v>
      </c>
      <c r="F121" s="27">
        <v>291.2</v>
      </c>
      <c r="G121" s="27">
        <v>436.8</v>
      </c>
      <c r="H121" s="27">
        <v>393.1</v>
      </c>
      <c r="I121" s="27">
        <v>334.9</v>
      </c>
      <c r="J121" s="28">
        <f aca="true" t="shared" si="47" ref="J121:J130">F121+G121+H121</f>
        <v>1121.1</v>
      </c>
      <c r="K121" s="27">
        <v>1567.4</v>
      </c>
      <c r="L121" s="28">
        <f t="shared" si="45"/>
        <v>107.6510989010989</v>
      </c>
      <c r="M121" s="28">
        <f aca="true" t="shared" si="48" ref="M121:M131">K121/E121*100</f>
        <v>107.65109890109892</v>
      </c>
    </row>
    <row r="122" spans="1:13" ht="12.75">
      <c r="A122" s="29" t="s">
        <v>9</v>
      </c>
      <c r="B122" s="29"/>
      <c r="C122" s="25" t="s">
        <v>6</v>
      </c>
      <c r="D122" s="45">
        <v>233</v>
      </c>
      <c r="E122" s="26">
        <f t="shared" si="46"/>
        <v>233</v>
      </c>
      <c r="F122" s="27">
        <v>46.6</v>
      </c>
      <c r="G122" s="27">
        <v>69.9</v>
      </c>
      <c r="H122" s="27">
        <v>62.9</v>
      </c>
      <c r="I122" s="27">
        <v>53.6</v>
      </c>
      <c r="J122" s="28">
        <f t="shared" si="47"/>
        <v>179.4</v>
      </c>
      <c r="K122" s="27">
        <v>186.6</v>
      </c>
      <c r="L122" s="28">
        <f t="shared" si="45"/>
        <v>80.08583690987125</v>
      </c>
      <c r="M122" s="28">
        <f t="shared" si="48"/>
        <v>80.08583690987125</v>
      </c>
    </row>
    <row r="123" spans="1:13" ht="12.75">
      <c r="A123" s="29" t="s">
        <v>10</v>
      </c>
      <c r="B123" s="29"/>
      <c r="C123" s="25" t="s">
        <v>22</v>
      </c>
      <c r="D123" s="45">
        <v>35</v>
      </c>
      <c r="E123" s="26">
        <f t="shared" si="46"/>
        <v>35</v>
      </c>
      <c r="F123" s="27">
        <v>7</v>
      </c>
      <c r="G123" s="27">
        <v>10.5</v>
      </c>
      <c r="H123" s="27">
        <v>9.5</v>
      </c>
      <c r="I123" s="27">
        <v>8</v>
      </c>
      <c r="J123" s="28">
        <f t="shared" si="47"/>
        <v>27</v>
      </c>
      <c r="K123" s="27">
        <v>52.9</v>
      </c>
      <c r="L123" s="28">
        <f t="shared" si="45"/>
        <v>151.14285714285714</v>
      </c>
      <c r="M123" s="28">
        <f t="shared" si="48"/>
        <v>151.14285714285714</v>
      </c>
    </row>
    <row r="124" spans="1:13" ht="24">
      <c r="A124" s="18" t="s">
        <v>11</v>
      </c>
      <c r="B124" s="18"/>
      <c r="C124" s="25" t="s">
        <v>17</v>
      </c>
      <c r="D124" s="45">
        <v>370</v>
      </c>
      <c r="E124" s="26">
        <f t="shared" si="46"/>
        <v>370</v>
      </c>
      <c r="F124" s="27">
        <v>74</v>
      </c>
      <c r="G124" s="27">
        <v>111</v>
      </c>
      <c r="H124" s="27">
        <v>99.9</v>
      </c>
      <c r="I124" s="27">
        <v>85.1</v>
      </c>
      <c r="J124" s="28">
        <f t="shared" si="47"/>
        <v>284.9</v>
      </c>
      <c r="K124" s="27">
        <v>334.4</v>
      </c>
      <c r="L124" s="28">
        <f t="shared" si="45"/>
        <v>90.37837837837837</v>
      </c>
      <c r="M124" s="28">
        <f t="shared" si="48"/>
        <v>90.37837837837837</v>
      </c>
    </row>
    <row r="125" spans="1:13" ht="12.75">
      <c r="A125" s="31" t="s">
        <v>47</v>
      </c>
      <c r="B125" s="31"/>
      <c r="C125" s="25" t="s">
        <v>48</v>
      </c>
      <c r="D125" s="45">
        <v>80</v>
      </c>
      <c r="E125" s="26">
        <f t="shared" si="46"/>
        <v>80</v>
      </c>
      <c r="F125" s="27">
        <v>16</v>
      </c>
      <c r="G125" s="27">
        <v>24</v>
      </c>
      <c r="H125" s="27">
        <v>21.6</v>
      </c>
      <c r="I125" s="27">
        <v>18.4</v>
      </c>
      <c r="J125" s="28">
        <f t="shared" si="47"/>
        <v>61.6</v>
      </c>
      <c r="K125" s="27">
        <v>45.3</v>
      </c>
      <c r="L125" s="28">
        <f t="shared" si="45"/>
        <v>56.625</v>
      </c>
      <c r="M125" s="28">
        <f t="shared" si="48"/>
        <v>56.62499999999999</v>
      </c>
    </row>
    <row r="126" spans="1:13" ht="12.75">
      <c r="A126" s="31" t="s">
        <v>18</v>
      </c>
      <c r="B126" s="31"/>
      <c r="C126" s="25" t="s">
        <v>15</v>
      </c>
      <c r="D126" s="45"/>
      <c r="E126" s="26">
        <f t="shared" si="46"/>
        <v>0</v>
      </c>
      <c r="F126" s="27"/>
      <c r="G126" s="27"/>
      <c r="H126" s="27"/>
      <c r="I126" s="27"/>
      <c r="J126" s="28">
        <f t="shared" si="47"/>
        <v>0</v>
      </c>
      <c r="K126" s="27">
        <v>2.1</v>
      </c>
      <c r="L126" s="28"/>
      <c r="M126" s="28"/>
    </row>
    <row r="127" spans="1:13" ht="12.75">
      <c r="A127" s="14" t="s">
        <v>12</v>
      </c>
      <c r="B127" s="14"/>
      <c r="C127" s="25" t="s">
        <v>7</v>
      </c>
      <c r="D127" s="45"/>
      <c r="E127" s="26">
        <f t="shared" si="46"/>
        <v>0</v>
      </c>
      <c r="F127" s="27"/>
      <c r="G127" s="27"/>
      <c r="H127" s="27"/>
      <c r="I127" s="27"/>
      <c r="J127" s="28">
        <f t="shared" si="47"/>
        <v>0</v>
      </c>
      <c r="K127" s="27">
        <v>30</v>
      </c>
      <c r="L127" s="28"/>
      <c r="M127" s="28"/>
    </row>
    <row r="128" spans="1:13" ht="12.75">
      <c r="A128" s="31" t="s">
        <v>44</v>
      </c>
      <c r="B128" s="52"/>
      <c r="C128" s="34" t="s">
        <v>45</v>
      </c>
      <c r="D128" s="111"/>
      <c r="E128" s="26">
        <f t="shared" si="46"/>
        <v>0</v>
      </c>
      <c r="F128" s="27"/>
      <c r="G128" s="27"/>
      <c r="H128" s="27"/>
      <c r="I128" s="27"/>
      <c r="J128" s="28">
        <f t="shared" si="47"/>
        <v>0</v>
      </c>
      <c r="K128" s="26">
        <v>0.3</v>
      </c>
      <c r="L128" s="28"/>
      <c r="M128" s="28"/>
    </row>
    <row r="129" spans="1:13" ht="12.75">
      <c r="A129" s="41" t="s">
        <v>1</v>
      </c>
      <c r="B129" s="41"/>
      <c r="C129" s="35" t="s">
        <v>0</v>
      </c>
      <c r="D129" s="36">
        <f aca="true" t="shared" si="49" ref="D129:I129">D130</f>
        <v>36593.5</v>
      </c>
      <c r="E129" s="36">
        <f t="shared" si="49"/>
        <v>60761.2</v>
      </c>
      <c r="F129" s="36">
        <f t="shared" si="49"/>
        <v>8272</v>
      </c>
      <c r="G129" s="36">
        <f t="shared" si="49"/>
        <v>18586.899999999998</v>
      </c>
      <c r="H129" s="36">
        <f t="shared" si="49"/>
        <v>17835.999999999996</v>
      </c>
      <c r="I129" s="36">
        <f t="shared" si="49"/>
        <v>10699</v>
      </c>
      <c r="J129" s="24">
        <f>F129</f>
        <v>8272</v>
      </c>
      <c r="K129" s="36">
        <f>K130</f>
        <v>57990.2</v>
      </c>
      <c r="L129" s="24">
        <f t="shared" si="45"/>
        <v>158.47131321136268</v>
      </c>
      <c r="M129" s="24">
        <f t="shared" si="48"/>
        <v>95.43952390670361</v>
      </c>
    </row>
    <row r="130" spans="1:13" ht="24">
      <c r="A130" s="20" t="s">
        <v>21</v>
      </c>
      <c r="B130" s="29"/>
      <c r="C130" s="37" t="s">
        <v>20</v>
      </c>
      <c r="D130" s="45">
        <v>36593.5</v>
      </c>
      <c r="E130" s="26">
        <v>60761.2</v>
      </c>
      <c r="F130" s="27">
        <v>8272</v>
      </c>
      <c r="G130" s="27">
        <f>17766.5+765.3+55.1</f>
        <v>18586.899999999998</v>
      </c>
      <c r="H130" s="27">
        <f>14997.2+2543.1+160.1+135.6</f>
        <v>17835.999999999996</v>
      </c>
      <c r="I130" s="27">
        <f>9194.1+1504.9</f>
        <v>10699</v>
      </c>
      <c r="J130" s="28">
        <f t="shared" si="47"/>
        <v>44694.899999999994</v>
      </c>
      <c r="K130" s="27">
        <v>57990.2</v>
      </c>
      <c r="L130" s="28">
        <f t="shared" si="45"/>
        <v>158.47131321136268</v>
      </c>
      <c r="M130" s="28">
        <f t="shared" si="48"/>
        <v>95.43952390670361</v>
      </c>
    </row>
    <row r="131" spans="1:13" ht="12.75">
      <c r="A131" s="14"/>
      <c r="B131" s="15"/>
      <c r="C131" s="16" t="s">
        <v>4</v>
      </c>
      <c r="D131" s="42">
        <f>D129+D120</f>
        <v>38767.5</v>
      </c>
      <c r="E131" s="1">
        <f>E129+E120</f>
        <v>62935.2</v>
      </c>
      <c r="F131" s="1">
        <f aca="true" t="shared" si="50" ref="F131:K131">F129+F120</f>
        <v>8706.8</v>
      </c>
      <c r="G131" s="1">
        <f t="shared" si="50"/>
        <v>19239.1</v>
      </c>
      <c r="H131" s="1">
        <f t="shared" si="50"/>
        <v>18422.999999999996</v>
      </c>
      <c r="I131" s="1">
        <f t="shared" si="50"/>
        <v>11199</v>
      </c>
      <c r="J131" s="1">
        <f t="shared" si="50"/>
        <v>9946</v>
      </c>
      <c r="K131" s="1">
        <f t="shared" si="50"/>
        <v>60209.2</v>
      </c>
      <c r="L131" s="24">
        <f t="shared" si="45"/>
        <v>155.30844134906818</v>
      </c>
      <c r="M131" s="24">
        <f t="shared" si="48"/>
        <v>95.66856067828496</v>
      </c>
    </row>
    <row r="132" spans="1:13" ht="21" customHeight="1" hidden="1">
      <c r="A132" s="131"/>
      <c r="B132" s="132"/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  <c r="M132" s="133"/>
    </row>
    <row r="133" spans="1:13" ht="12.75">
      <c r="A133" s="125" t="s">
        <v>35</v>
      </c>
      <c r="B133" s="126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7"/>
    </row>
    <row r="134" spans="1:13" ht="14.25" customHeight="1">
      <c r="A134" s="22" t="s">
        <v>3</v>
      </c>
      <c r="B134" s="22"/>
      <c r="C134" s="23" t="s">
        <v>74</v>
      </c>
      <c r="D134" s="24">
        <f>D135+D137+D139+D141+D138+D142+D140+D136+D143</f>
        <v>13373</v>
      </c>
      <c r="E134" s="24">
        <f>E135+E137+E139+E141+E138+E142+E140+E136+E143</f>
        <v>14648</v>
      </c>
      <c r="F134" s="24">
        <f aca="true" t="shared" si="51" ref="F134:K134">F135+F137+F139+F141+F138+F142+F140+F136+F143</f>
        <v>4399</v>
      </c>
      <c r="G134" s="24">
        <f t="shared" si="51"/>
        <v>4051.5</v>
      </c>
      <c r="H134" s="24">
        <f t="shared" si="51"/>
        <v>3069</v>
      </c>
      <c r="I134" s="24">
        <f t="shared" si="51"/>
        <v>3128.5</v>
      </c>
      <c r="J134" s="24">
        <f t="shared" si="51"/>
        <v>11519.5</v>
      </c>
      <c r="K134" s="24">
        <f t="shared" si="51"/>
        <v>12886.699999999997</v>
      </c>
      <c r="L134" s="24">
        <f aca="true" t="shared" si="52" ref="L134:L147">K134*100/D134</f>
        <v>96.36356838405742</v>
      </c>
      <c r="M134" s="24">
        <f>K134/E134*100</f>
        <v>87.9758328782086</v>
      </c>
    </row>
    <row r="135" spans="1:13" ht="12.75">
      <c r="A135" s="14" t="s">
        <v>26</v>
      </c>
      <c r="B135" s="14"/>
      <c r="C135" s="25" t="s">
        <v>25</v>
      </c>
      <c r="D135" s="45">
        <v>10703</v>
      </c>
      <c r="E135" s="26">
        <v>10702.7</v>
      </c>
      <c r="F135" s="27">
        <v>2600</v>
      </c>
      <c r="G135" s="27">
        <v>3301.5</v>
      </c>
      <c r="H135" s="27">
        <v>2300</v>
      </c>
      <c r="I135" s="27">
        <v>2501.5</v>
      </c>
      <c r="J135" s="28">
        <f aca="true" t="shared" si="53" ref="J135:J146">F135+G135+H135</f>
        <v>8201.5</v>
      </c>
      <c r="K135" s="27">
        <v>10787.1</v>
      </c>
      <c r="L135" s="28">
        <f t="shared" si="52"/>
        <v>100.78576100158834</v>
      </c>
      <c r="M135" s="28">
        <f aca="true" t="shared" si="54" ref="M135:M147">K135/E135*100</f>
        <v>100.78858605772373</v>
      </c>
    </row>
    <row r="136" spans="1:13" ht="12.75" customHeight="1" hidden="1">
      <c r="A136" s="29" t="s">
        <v>8</v>
      </c>
      <c r="B136" s="29"/>
      <c r="C136" s="25" t="s">
        <v>5</v>
      </c>
      <c r="D136" s="45"/>
      <c r="E136" s="26">
        <v>0.3</v>
      </c>
      <c r="F136" s="27"/>
      <c r="G136" s="27"/>
      <c r="H136" s="27"/>
      <c r="I136" s="27"/>
      <c r="J136" s="28">
        <f t="shared" si="53"/>
        <v>0</v>
      </c>
      <c r="K136" s="27">
        <v>0.3</v>
      </c>
      <c r="L136" s="28"/>
      <c r="M136" s="28">
        <f t="shared" si="54"/>
        <v>100</v>
      </c>
    </row>
    <row r="137" spans="1:13" ht="12.75">
      <c r="A137" s="29" t="s">
        <v>9</v>
      </c>
      <c r="B137" s="29"/>
      <c r="C137" s="25" t="s">
        <v>6</v>
      </c>
      <c r="D137" s="45">
        <v>694</v>
      </c>
      <c r="E137" s="26">
        <f aca="true" t="shared" si="55" ref="E137:E144">F137+G137+H137+I137</f>
        <v>694</v>
      </c>
      <c r="F137" s="27">
        <v>155</v>
      </c>
      <c r="G137" s="27">
        <v>180</v>
      </c>
      <c r="H137" s="27">
        <v>199</v>
      </c>
      <c r="I137" s="27">
        <v>160</v>
      </c>
      <c r="J137" s="28">
        <f t="shared" si="53"/>
        <v>534</v>
      </c>
      <c r="K137" s="27">
        <v>387.8</v>
      </c>
      <c r="L137" s="28">
        <f t="shared" si="52"/>
        <v>55.87896253602305</v>
      </c>
      <c r="M137" s="28">
        <f t="shared" si="54"/>
        <v>55.87896253602306</v>
      </c>
    </row>
    <row r="138" spans="1:13" ht="12.75">
      <c r="A138" s="29" t="s">
        <v>10</v>
      </c>
      <c r="B138" s="29"/>
      <c r="C138" s="25" t="s">
        <v>22</v>
      </c>
      <c r="D138" s="45">
        <v>118</v>
      </c>
      <c r="E138" s="26">
        <f t="shared" si="55"/>
        <v>118</v>
      </c>
      <c r="F138" s="27">
        <v>30</v>
      </c>
      <c r="G138" s="27">
        <v>30</v>
      </c>
      <c r="H138" s="27">
        <v>30</v>
      </c>
      <c r="I138" s="27">
        <v>28</v>
      </c>
      <c r="J138" s="28">
        <f t="shared" si="53"/>
        <v>90</v>
      </c>
      <c r="K138" s="27">
        <v>112.6</v>
      </c>
      <c r="L138" s="28">
        <f t="shared" si="52"/>
        <v>95.42372881355932</v>
      </c>
      <c r="M138" s="28">
        <f t="shared" si="54"/>
        <v>95.42372881355932</v>
      </c>
    </row>
    <row r="139" spans="1:13" ht="24">
      <c r="A139" s="18" t="s">
        <v>11</v>
      </c>
      <c r="B139" s="18"/>
      <c r="C139" s="25" t="s">
        <v>17</v>
      </c>
      <c r="D139" s="45">
        <v>1858</v>
      </c>
      <c r="E139" s="26">
        <v>1998.7</v>
      </c>
      <c r="F139" s="27">
        <v>489</v>
      </c>
      <c r="G139" s="27">
        <v>540</v>
      </c>
      <c r="H139" s="27">
        <v>540</v>
      </c>
      <c r="I139" s="27">
        <v>439</v>
      </c>
      <c r="J139" s="28">
        <f t="shared" si="53"/>
        <v>1569</v>
      </c>
      <c r="K139" s="27">
        <v>136.8</v>
      </c>
      <c r="L139" s="28">
        <f t="shared" si="52"/>
        <v>7.362755651237891</v>
      </c>
      <c r="M139" s="28">
        <f t="shared" si="54"/>
        <v>6.844448891779657</v>
      </c>
    </row>
    <row r="140" spans="1:13" ht="12.75">
      <c r="A140" s="31" t="s">
        <v>47</v>
      </c>
      <c r="B140" s="31"/>
      <c r="C140" s="25" t="s">
        <v>48</v>
      </c>
      <c r="D140" s="45"/>
      <c r="E140" s="26">
        <f t="shared" si="55"/>
        <v>0</v>
      </c>
      <c r="F140" s="27"/>
      <c r="G140" s="27"/>
      <c r="H140" s="27"/>
      <c r="I140" s="27"/>
      <c r="J140" s="28">
        <f t="shared" si="53"/>
        <v>0</v>
      </c>
      <c r="K140" s="27"/>
      <c r="L140" s="28" t="e">
        <f t="shared" si="52"/>
        <v>#DIV/0!</v>
      </c>
      <c r="M140" s="28" t="e">
        <f t="shared" si="54"/>
        <v>#DIV/0!</v>
      </c>
    </row>
    <row r="141" spans="1:13" ht="12.75">
      <c r="A141" s="30" t="s">
        <v>18</v>
      </c>
      <c r="B141" s="30"/>
      <c r="C141" s="25" t="s">
        <v>15</v>
      </c>
      <c r="D141" s="45"/>
      <c r="E141" s="26">
        <v>9.3</v>
      </c>
      <c r="F141" s="27"/>
      <c r="G141" s="27"/>
      <c r="H141" s="27"/>
      <c r="I141" s="27"/>
      <c r="J141" s="28">
        <f t="shared" si="53"/>
        <v>0</v>
      </c>
      <c r="K141" s="27">
        <v>13.3</v>
      </c>
      <c r="L141" s="28"/>
      <c r="M141" s="28">
        <f t="shared" si="54"/>
        <v>143.01075268817206</v>
      </c>
    </row>
    <row r="142" spans="1:13" ht="12.75">
      <c r="A142" s="14" t="s">
        <v>12</v>
      </c>
      <c r="B142" s="14"/>
      <c r="C142" s="25" t="s">
        <v>7</v>
      </c>
      <c r="D142" s="45"/>
      <c r="E142" s="26">
        <v>1125</v>
      </c>
      <c r="F142" s="27">
        <v>1125</v>
      </c>
      <c r="G142" s="27"/>
      <c r="H142" s="27"/>
      <c r="I142" s="27"/>
      <c r="J142" s="28">
        <f t="shared" si="53"/>
        <v>1125</v>
      </c>
      <c r="K142" s="27">
        <v>1125</v>
      </c>
      <c r="L142" s="28"/>
      <c r="M142" s="28">
        <f>K142/E142*100</f>
        <v>100</v>
      </c>
    </row>
    <row r="143" spans="1:13" ht="12.75">
      <c r="A143" s="30" t="s">
        <v>44</v>
      </c>
      <c r="B143" s="54"/>
      <c r="C143" s="34" t="s">
        <v>45</v>
      </c>
      <c r="D143" s="111"/>
      <c r="E143" s="26">
        <f t="shared" si="55"/>
        <v>0</v>
      </c>
      <c r="F143" s="27"/>
      <c r="G143" s="27"/>
      <c r="H143" s="27"/>
      <c r="I143" s="27"/>
      <c r="J143" s="28">
        <f t="shared" si="53"/>
        <v>0</v>
      </c>
      <c r="K143" s="27">
        <v>323.8</v>
      </c>
      <c r="L143" s="28"/>
      <c r="M143" s="28"/>
    </row>
    <row r="144" spans="1:13" ht="12.75">
      <c r="A144" s="30" t="s">
        <v>49</v>
      </c>
      <c r="B144" s="54"/>
      <c r="C144" s="34" t="s">
        <v>50</v>
      </c>
      <c r="D144" s="111"/>
      <c r="E144" s="26">
        <f t="shared" si="55"/>
        <v>0</v>
      </c>
      <c r="F144" s="27"/>
      <c r="G144" s="27"/>
      <c r="H144" s="27"/>
      <c r="I144" s="27"/>
      <c r="J144" s="28">
        <f t="shared" si="53"/>
        <v>0</v>
      </c>
      <c r="K144" s="27"/>
      <c r="L144" s="24" t="e">
        <f t="shared" si="52"/>
        <v>#DIV/0!</v>
      </c>
      <c r="M144" s="24"/>
    </row>
    <row r="145" spans="1:13" ht="12.75">
      <c r="A145" s="22" t="s">
        <v>1</v>
      </c>
      <c r="B145" s="22"/>
      <c r="C145" s="35" t="s">
        <v>0</v>
      </c>
      <c r="D145" s="36">
        <f aca="true" t="shared" si="56" ref="D145:K145">D146</f>
        <v>25706.6</v>
      </c>
      <c r="E145" s="36">
        <f t="shared" si="56"/>
        <v>50570.8</v>
      </c>
      <c r="F145" s="36">
        <f t="shared" si="56"/>
        <v>10865.4</v>
      </c>
      <c r="G145" s="36">
        <f t="shared" si="56"/>
        <v>13649.6</v>
      </c>
      <c r="H145" s="36">
        <f t="shared" si="56"/>
        <v>12792.8</v>
      </c>
      <c r="I145" s="36">
        <f t="shared" si="56"/>
        <v>8316.7</v>
      </c>
      <c r="J145" s="36">
        <f t="shared" si="56"/>
        <v>37307.8</v>
      </c>
      <c r="K145" s="36">
        <f t="shared" si="56"/>
        <v>45225.7</v>
      </c>
      <c r="L145" s="24">
        <f t="shared" si="52"/>
        <v>175.9303058358554</v>
      </c>
      <c r="M145" s="24">
        <f t="shared" si="54"/>
        <v>89.43046184754839</v>
      </c>
    </row>
    <row r="146" spans="1:13" ht="24">
      <c r="A146" s="20" t="s">
        <v>21</v>
      </c>
      <c r="B146" s="29"/>
      <c r="C146" s="37" t="s">
        <v>20</v>
      </c>
      <c r="D146" s="45">
        <v>25706.6</v>
      </c>
      <c r="E146" s="26">
        <v>50570.8</v>
      </c>
      <c r="F146" s="27">
        <v>10865.4</v>
      </c>
      <c r="G146" s="27">
        <f>14716.5-1066.9</f>
        <v>13649.6</v>
      </c>
      <c r="H146" s="27">
        <v>12792.8</v>
      </c>
      <c r="I146" s="27">
        <v>8316.7</v>
      </c>
      <c r="J146" s="28">
        <f t="shared" si="53"/>
        <v>37307.8</v>
      </c>
      <c r="K146" s="27">
        <v>45225.7</v>
      </c>
      <c r="L146" s="28">
        <f t="shared" si="52"/>
        <v>175.9303058358554</v>
      </c>
      <c r="M146" s="28">
        <f t="shared" si="54"/>
        <v>89.43046184754839</v>
      </c>
    </row>
    <row r="147" spans="1:13" ht="12.75">
      <c r="A147" s="14"/>
      <c r="B147" s="15"/>
      <c r="C147" s="16" t="s">
        <v>4</v>
      </c>
      <c r="D147" s="42">
        <f>D145+D134</f>
        <v>39079.6</v>
      </c>
      <c r="E147" s="1">
        <f>E145+E134</f>
        <v>65218.8</v>
      </c>
      <c r="F147" s="1">
        <f aca="true" t="shared" si="57" ref="F147:K147">F145+F134</f>
        <v>15264.4</v>
      </c>
      <c r="G147" s="1">
        <f t="shared" si="57"/>
        <v>17701.1</v>
      </c>
      <c r="H147" s="1">
        <f t="shared" si="57"/>
        <v>15861.8</v>
      </c>
      <c r="I147" s="1">
        <f t="shared" si="57"/>
        <v>11445.2</v>
      </c>
      <c r="J147" s="1">
        <f t="shared" si="57"/>
        <v>48827.3</v>
      </c>
      <c r="K147" s="1">
        <f t="shared" si="57"/>
        <v>58112.399999999994</v>
      </c>
      <c r="L147" s="24">
        <f t="shared" si="52"/>
        <v>148.70264792884265</v>
      </c>
      <c r="M147" s="24">
        <f t="shared" si="54"/>
        <v>89.10375535888424</v>
      </c>
    </row>
    <row r="148" spans="1:13" ht="12.75">
      <c r="A148" s="128"/>
      <c r="B148" s="129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30"/>
    </row>
    <row r="149" spans="1:13" ht="12.75" customHeight="1" hidden="1">
      <c r="A149" s="125" t="s">
        <v>36</v>
      </c>
      <c r="B149" s="126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7"/>
    </row>
    <row r="150" spans="1:13" ht="12.75">
      <c r="A150" s="22" t="s">
        <v>3</v>
      </c>
      <c r="B150" s="22"/>
      <c r="C150" s="23" t="s">
        <v>74</v>
      </c>
      <c r="D150" s="24">
        <f aca="true" t="shared" si="58" ref="D150:K150">D151+D152+D153+D154+D156+D157+D158+D155</f>
        <v>2456</v>
      </c>
      <c r="E150" s="24">
        <f t="shared" si="58"/>
        <v>3697</v>
      </c>
      <c r="F150" s="24">
        <f t="shared" si="58"/>
        <v>573</v>
      </c>
      <c r="G150" s="24">
        <f t="shared" si="58"/>
        <v>768</v>
      </c>
      <c r="H150" s="24">
        <f t="shared" si="58"/>
        <v>1168</v>
      </c>
      <c r="I150" s="24">
        <f t="shared" si="58"/>
        <v>1178</v>
      </c>
      <c r="J150" s="24">
        <f t="shared" si="58"/>
        <v>2509</v>
      </c>
      <c r="K150" s="24">
        <f t="shared" si="58"/>
        <v>3264.3</v>
      </c>
      <c r="L150" s="24">
        <f aca="true" t="shared" si="59" ref="L150:L162">K150*100/D150</f>
        <v>132.91123778501628</v>
      </c>
      <c r="M150" s="24">
        <f>K150/E150*100</f>
        <v>88.29591560724913</v>
      </c>
    </row>
    <row r="151" spans="1:13" ht="12.75">
      <c r="A151" s="14" t="s">
        <v>26</v>
      </c>
      <c r="B151" s="14"/>
      <c r="C151" s="25" t="s">
        <v>25</v>
      </c>
      <c r="D151" s="45">
        <v>1627</v>
      </c>
      <c r="E151" s="26">
        <f aca="true" t="shared" si="60" ref="E151:E158">F151+G151+H151+I151</f>
        <v>2627</v>
      </c>
      <c r="F151" s="27">
        <v>410</v>
      </c>
      <c r="G151" s="27">
        <v>437</v>
      </c>
      <c r="H151" s="27">
        <v>910</v>
      </c>
      <c r="I151" s="27">
        <v>870</v>
      </c>
      <c r="J151" s="28">
        <f aca="true" t="shared" si="61" ref="J151:J161">F151+G151+H151</f>
        <v>1757</v>
      </c>
      <c r="K151" s="27">
        <v>2200.9</v>
      </c>
      <c r="L151" s="28">
        <f t="shared" si="59"/>
        <v>135.27350952673632</v>
      </c>
      <c r="M151" s="28">
        <f aca="true" t="shared" si="62" ref="M151:M162">K151/E151*100</f>
        <v>83.77997716025885</v>
      </c>
    </row>
    <row r="152" spans="1:13" ht="12.75">
      <c r="A152" s="29" t="s">
        <v>9</v>
      </c>
      <c r="B152" s="29"/>
      <c r="C152" s="25" t="s">
        <v>6</v>
      </c>
      <c r="D152" s="45">
        <v>549</v>
      </c>
      <c r="E152" s="26">
        <f t="shared" si="60"/>
        <v>395.8</v>
      </c>
      <c r="F152" s="27">
        <v>50</v>
      </c>
      <c r="G152" s="27">
        <v>50</v>
      </c>
      <c r="H152" s="27">
        <v>60.8</v>
      </c>
      <c r="I152" s="27">
        <v>235</v>
      </c>
      <c r="J152" s="28">
        <f t="shared" si="61"/>
        <v>160.8</v>
      </c>
      <c r="K152" s="27">
        <v>290</v>
      </c>
      <c r="L152" s="28">
        <f t="shared" si="59"/>
        <v>52.82331511839708</v>
      </c>
      <c r="M152" s="28">
        <f t="shared" si="62"/>
        <v>73.26932794340576</v>
      </c>
    </row>
    <row r="153" spans="1:13" ht="12.75">
      <c r="A153" s="29" t="s">
        <v>10</v>
      </c>
      <c r="B153" s="29"/>
      <c r="C153" s="25" t="s">
        <v>22</v>
      </c>
      <c r="D153" s="45">
        <v>20</v>
      </c>
      <c r="E153" s="26">
        <f t="shared" si="60"/>
        <v>40</v>
      </c>
      <c r="F153" s="27">
        <v>6</v>
      </c>
      <c r="G153" s="27">
        <v>12</v>
      </c>
      <c r="H153" s="27">
        <v>8</v>
      </c>
      <c r="I153" s="27">
        <v>14</v>
      </c>
      <c r="J153" s="28">
        <f t="shared" si="61"/>
        <v>26</v>
      </c>
      <c r="K153" s="27">
        <v>45.8</v>
      </c>
      <c r="L153" s="28">
        <f t="shared" si="59"/>
        <v>229</v>
      </c>
      <c r="M153" s="28">
        <f t="shared" si="62"/>
        <v>114.5</v>
      </c>
    </row>
    <row r="154" spans="1:13" ht="24">
      <c r="A154" s="18" t="s">
        <v>11</v>
      </c>
      <c r="B154" s="18"/>
      <c r="C154" s="25" t="s">
        <v>17</v>
      </c>
      <c r="D154" s="45">
        <v>180</v>
      </c>
      <c r="E154" s="26">
        <v>271</v>
      </c>
      <c r="F154" s="27">
        <v>87</v>
      </c>
      <c r="G154" s="27">
        <v>91</v>
      </c>
      <c r="H154" s="27">
        <v>54</v>
      </c>
      <c r="I154" s="27">
        <v>29</v>
      </c>
      <c r="J154" s="28">
        <f t="shared" si="61"/>
        <v>232</v>
      </c>
      <c r="K154" s="27">
        <v>346.7</v>
      </c>
      <c r="L154" s="28">
        <f t="shared" si="59"/>
        <v>192.61111111111111</v>
      </c>
      <c r="M154" s="28">
        <f t="shared" si="62"/>
        <v>127.93357933579334</v>
      </c>
    </row>
    <row r="155" spans="1:13" ht="12.75">
      <c r="A155" s="31" t="s">
        <v>47</v>
      </c>
      <c r="B155" s="31"/>
      <c r="C155" s="25" t="s">
        <v>48</v>
      </c>
      <c r="D155" s="45">
        <v>80</v>
      </c>
      <c r="E155" s="26">
        <f t="shared" si="60"/>
        <v>80</v>
      </c>
      <c r="F155" s="27">
        <v>20</v>
      </c>
      <c r="G155" s="27">
        <v>20</v>
      </c>
      <c r="H155" s="27">
        <v>10</v>
      </c>
      <c r="I155" s="27">
        <v>30</v>
      </c>
      <c r="J155" s="28">
        <f t="shared" si="61"/>
        <v>50</v>
      </c>
      <c r="K155" s="27">
        <v>68</v>
      </c>
      <c r="L155" s="28">
        <f t="shared" si="59"/>
        <v>85</v>
      </c>
      <c r="M155" s="28">
        <f t="shared" si="62"/>
        <v>85</v>
      </c>
    </row>
    <row r="156" spans="1:13" ht="12.75">
      <c r="A156" s="30" t="s">
        <v>18</v>
      </c>
      <c r="B156" s="30"/>
      <c r="C156" s="25" t="s">
        <v>15</v>
      </c>
      <c r="D156" s="45"/>
      <c r="E156" s="26">
        <f t="shared" si="60"/>
        <v>36</v>
      </c>
      <c r="F156" s="27"/>
      <c r="G156" s="27">
        <v>36</v>
      </c>
      <c r="H156" s="27"/>
      <c r="I156" s="27"/>
      <c r="J156" s="28">
        <f t="shared" si="61"/>
        <v>36</v>
      </c>
      <c r="K156" s="27">
        <v>35.9</v>
      </c>
      <c r="L156" s="28"/>
      <c r="M156" s="28">
        <f t="shared" si="62"/>
        <v>99.72222222222223</v>
      </c>
    </row>
    <row r="157" spans="1:13" ht="12.75">
      <c r="A157" s="14" t="s">
        <v>12</v>
      </c>
      <c r="B157" s="14"/>
      <c r="C157" s="25" t="s">
        <v>7</v>
      </c>
      <c r="D157" s="45"/>
      <c r="E157" s="26">
        <f t="shared" si="60"/>
        <v>0</v>
      </c>
      <c r="F157" s="27"/>
      <c r="G157" s="27"/>
      <c r="H157" s="27"/>
      <c r="I157" s="27"/>
      <c r="J157" s="28">
        <f t="shared" si="61"/>
        <v>0</v>
      </c>
      <c r="K157" s="27"/>
      <c r="L157" s="28"/>
      <c r="M157" s="28" t="e">
        <f>K157/E157*100</f>
        <v>#DIV/0!</v>
      </c>
    </row>
    <row r="158" spans="1:13" ht="17.25" customHeight="1" hidden="1">
      <c r="A158" s="48" t="s">
        <v>44</v>
      </c>
      <c r="B158" s="33"/>
      <c r="C158" s="34" t="s">
        <v>45</v>
      </c>
      <c r="D158" s="111"/>
      <c r="E158" s="26">
        <f t="shared" si="60"/>
        <v>247.2</v>
      </c>
      <c r="F158" s="27"/>
      <c r="G158" s="27">
        <v>122</v>
      </c>
      <c r="H158" s="27">
        <v>125.2</v>
      </c>
      <c r="I158" s="27"/>
      <c r="J158" s="28">
        <f t="shared" si="61"/>
        <v>247.2</v>
      </c>
      <c r="K158" s="27">
        <v>277</v>
      </c>
      <c r="L158" s="28"/>
      <c r="M158" s="28">
        <f>K158/E158*100</f>
        <v>112.05501618122977</v>
      </c>
    </row>
    <row r="159" spans="1:13" ht="12.75">
      <c r="A159" s="22" t="s">
        <v>1</v>
      </c>
      <c r="B159" s="22"/>
      <c r="C159" s="35" t="s">
        <v>0</v>
      </c>
      <c r="D159" s="36">
        <f>D160+D161</f>
        <v>20500.5</v>
      </c>
      <c r="E159" s="36">
        <f>E160+E161</f>
        <v>41816.5</v>
      </c>
      <c r="F159" s="36">
        <f aca="true" t="shared" si="63" ref="F159:K159">F160+F161</f>
        <v>12329.6</v>
      </c>
      <c r="G159" s="36">
        <f t="shared" si="63"/>
        <v>13038.400000000001</v>
      </c>
      <c r="H159" s="36">
        <f t="shared" si="63"/>
        <v>5659.5</v>
      </c>
      <c r="I159" s="36">
        <f t="shared" si="63"/>
        <v>5193.1</v>
      </c>
      <c r="J159" s="36">
        <f t="shared" si="63"/>
        <v>31027.500000000004</v>
      </c>
      <c r="K159" s="36">
        <f t="shared" si="63"/>
        <v>40148.899999999994</v>
      </c>
      <c r="L159" s="24">
        <f t="shared" si="59"/>
        <v>195.84351601180458</v>
      </c>
      <c r="M159" s="24">
        <f t="shared" si="62"/>
        <v>96.01210048664998</v>
      </c>
    </row>
    <row r="160" spans="1:13" ht="24">
      <c r="A160" s="20" t="s">
        <v>21</v>
      </c>
      <c r="B160" s="29"/>
      <c r="C160" s="37" t="s">
        <v>20</v>
      </c>
      <c r="D160" s="45">
        <v>20500.5</v>
      </c>
      <c r="E160" s="26">
        <v>41551.8</v>
      </c>
      <c r="F160" s="27">
        <v>12329.6</v>
      </c>
      <c r="G160" s="27">
        <v>12788.7</v>
      </c>
      <c r="H160" s="27">
        <v>5644.5</v>
      </c>
      <c r="I160" s="27">
        <f>4627+566.1</f>
        <v>5193.1</v>
      </c>
      <c r="J160" s="28">
        <f t="shared" si="61"/>
        <v>30762.800000000003</v>
      </c>
      <c r="K160" s="27">
        <v>39854.2</v>
      </c>
      <c r="L160" s="28">
        <f t="shared" si="59"/>
        <v>194.40599009780246</v>
      </c>
      <c r="M160" s="28">
        <f t="shared" si="62"/>
        <v>95.91449708556547</v>
      </c>
    </row>
    <row r="161" spans="1:13" ht="12.75">
      <c r="A161" s="19" t="s">
        <v>2</v>
      </c>
      <c r="B161" s="19"/>
      <c r="C161" s="38" t="s">
        <v>19</v>
      </c>
      <c r="D161" s="113"/>
      <c r="E161" s="26">
        <f>F161+G161+H161+I161</f>
        <v>264.7</v>
      </c>
      <c r="F161" s="27"/>
      <c r="G161" s="27">
        <v>249.7</v>
      </c>
      <c r="H161" s="27">
        <v>15</v>
      </c>
      <c r="I161" s="27"/>
      <c r="J161" s="28">
        <f t="shared" si="61"/>
        <v>264.7</v>
      </c>
      <c r="K161" s="27">
        <v>294.7</v>
      </c>
      <c r="L161" s="28"/>
      <c r="M161" s="28">
        <f>K161/E161*100</f>
        <v>111.33358519078203</v>
      </c>
    </row>
    <row r="162" spans="1:13" ht="12.75">
      <c r="A162" s="14"/>
      <c r="B162" s="15"/>
      <c r="C162" s="16" t="s">
        <v>4</v>
      </c>
      <c r="D162" s="42">
        <f>D159+D150</f>
        <v>22956.5</v>
      </c>
      <c r="E162" s="1">
        <f>E159+E150</f>
        <v>45513.5</v>
      </c>
      <c r="F162" s="1">
        <f aca="true" t="shared" si="64" ref="F162:K162">F159+F150</f>
        <v>12902.6</v>
      </c>
      <c r="G162" s="1">
        <f t="shared" si="64"/>
        <v>13806.400000000001</v>
      </c>
      <c r="H162" s="1">
        <f t="shared" si="64"/>
        <v>6827.5</v>
      </c>
      <c r="I162" s="1">
        <f t="shared" si="64"/>
        <v>6371.1</v>
      </c>
      <c r="J162" s="1">
        <f t="shared" si="64"/>
        <v>33536.5</v>
      </c>
      <c r="K162" s="1">
        <f t="shared" si="64"/>
        <v>43413.2</v>
      </c>
      <c r="L162" s="24">
        <f t="shared" si="59"/>
        <v>189.11070938514146</v>
      </c>
      <c r="M162" s="24">
        <f t="shared" si="62"/>
        <v>95.38532523317257</v>
      </c>
    </row>
    <row r="163" spans="1:13" ht="12.75">
      <c r="A163" s="128"/>
      <c r="B163" s="129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30"/>
    </row>
    <row r="164" spans="1:13" ht="12.75">
      <c r="A164" s="125" t="s">
        <v>37</v>
      </c>
      <c r="B164" s="126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7"/>
    </row>
    <row r="165" spans="1:13" ht="12.75">
      <c r="A165" s="22" t="s">
        <v>3</v>
      </c>
      <c r="B165" s="22"/>
      <c r="C165" s="23" t="s">
        <v>74</v>
      </c>
      <c r="D165" s="114">
        <f>D166+D167+D168+D169+D170+D172+D174+D173+D171</f>
        <v>13178</v>
      </c>
      <c r="E165" s="24">
        <f>E166+E167+E168+E169+E170+E172+E174+E173+E171</f>
        <v>16681.1</v>
      </c>
      <c r="F165" s="24">
        <f aca="true" t="shared" si="65" ref="F165:K165">F166+F167+F168+F169+F170+F172+F174+F173+F171</f>
        <v>2999.5</v>
      </c>
      <c r="G165" s="24">
        <f t="shared" si="65"/>
        <v>4486.3</v>
      </c>
      <c r="H165" s="24">
        <f t="shared" si="65"/>
        <v>4470.8</v>
      </c>
      <c r="I165" s="24">
        <f t="shared" si="65"/>
        <v>3665.5</v>
      </c>
      <c r="J165" s="24">
        <f t="shared" si="65"/>
        <v>11956.6</v>
      </c>
      <c r="K165" s="24">
        <f t="shared" si="65"/>
        <v>16272.899999999998</v>
      </c>
      <c r="L165" s="24">
        <f aca="true" t="shared" si="66" ref="L165:L178">K165*100/D165</f>
        <v>123.48535437850963</v>
      </c>
      <c r="M165" s="24">
        <f>K165/E165*100</f>
        <v>97.55291917199705</v>
      </c>
    </row>
    <row r="166" spans="1:13" ht="12.75">
      <c r="A166" s="14" t="s">
        <v>26</v>
      </c>
      <c r="B166" s="14"/>
      <c r="C166" s="25" t="s">
        <v>25</v>
      </c>
      <c r="D166" s="104">
        <v>11221</v>
      </c>
      <c r="E166" s="26">
        <v>11351</v>
      </c>
      <c r="F166" s="27">
        <v>2553</v>
      </c>
      <c r="G166" s="27">
        <v>2854</v>
      </c>
      <c r="H166" s="27">
        <v>2833</v>
      </c>
      <c r="I166" s="27">
        <v>3061</v>
      </c>
      <c r="J166" s="28">
        <f aca="true" t="shared" si="67" ref="J166:J177">F166+G166+H166</f>
        <v>8240</v>
      </c>
      <c r="K166" s="27">
        <v>10950.7</v>
      </c>
      <c r="L166" s="28">
        <f t="shared" si="66"/>
        <v>97.59112378575884</v>
      </c>
      <c r="M166" s="28">
        <f aca="true" t="shared" si="68" ref="M166:M178">K166/E166*100</f>
        <v>96.4734384635715</v>
      </c>
    </row>
    <row r="167" spans="1:13" ht="12.75">
      <c r="A167" s="29" t="s">
        <v>8</v>
      </c>
      <c r="B167" s="29"/>
      <c r="C167" s="25" t="s">
        <v>5</v>
      </c>
      <c r="D167" s="104"/>
      <c r="E167" s="26">
        <f>F167+G167+H167+I167</f>
        <v>0</v>
      </c>
      <c r="F167" s="27"/>
      <c r="G167" s="27"/>
      <c r="H167" s="27"/>
      <c r="I167" s="27"/>
      <c r="J167" s="28">
        <f t="shared" si="67"/>
        <v>0</v>
      </c>
      <c r="K167" s="27"/>
      <c r="L167" s="28" t="e">
        <f t="shared" si="66"/>
        <v>#DIV/0!</v>
      </c>
      <c r="M167" s="28"/>
    </row>
    <row r="168" spans="1:13" ht="12.75">
      <c r="A168" s="29" t="s">
        <v>9</v>
      </c>
      <c r="B168" s="29"/>
      <c r="C168" s="25" t="s">
        <v>6</v>
      </c>
      <c r="D168" s="104">
        <v>704</v>
      </c>
      <c r="E168" s="26">
        <v>3144</v>
      </c>
      <c r="F168" s="27">
        <v>133.5</v>
      </c>
      <c r="G168" s="27">
        <v>833.5</v>
      </c>
      <c r="H168" s="27">
        <v>1101.5</v>
      </c>
      <c r="I168" s="27">
        <v>125.5</v>
      </c>
      <c r="J168" s="28">
        <f t="shared" si="67"/>
        <v>2068.5</v>
      </c>
      <c r="K168" s="27">
        <v>3190.8</v>
      </c>
      <c r="L168" s="28">
        <f t="shared" si="66"/>
        <v>453.2386363636364</v>
      </c>
      <c r="M168" s="28">
        <f t="shared" si="68"/>
        <v>101.4885496183206</v>
      </c>
    </row>
    <row r="169" spans="1:13" ht="12.75">
      <c r="A169" s="29" t="s">
        <v>10</v>
      </c>
      <c r="B169" s="29"/>
      <c r="C169" s="25" t="s">
        <v>22</v>
      </c>
      <c r="D169" s="104">
        <v>213</v>
      </c>
      <c r="E169" s="26">
        <v>163</v>
      </c>
      <c r="F169" s="27">
        <v>43</v>
      </c>
      <c r="G169" s="27">
        <v>50</v>
      </c>
      <c r="H169" s="27">
        <v>60</v>
      </c>
      <c r="I169" s="27">
        <v>60</v>
      </c>
      <c r="J169" s="28">
        <f t="shared" si="67"/>
        <v>153</v>
      </c>
      <c r="K169" s="27">
        <v>157.4</v>
      </c>
      <c r="L169" s="28">
        <f t="shared" si="66"/>
        <v>73.89671361502347</v>
      </c>
      <c r="M169" s="28">
        <f t="shared" si="68"/>
        <v>96.56441717791412</v>
      </c>
    </row>
    <row r="170" spans="1:13" ht="24">
      <c r="A170" s="18" t="s">
        <v>11</v>
      </c>
      <c r="B170" s="18"/>
      <c r="C170" s="25" t="s">
        <v>17</v>
      </c>
      <c r="D170" s="104">
        <v>933</v>
      </c>
      <c r="E170" s="26">
        <f>F170+G170+H170+I170</f>
        <v>1053</v>
      </c>
      <c r="F170" s="27">
        <v>178</v>
      </c>
      <c r="G170" s="27">
        <v>233</v>
      </c>
      <c r="H170" s="27">
        <v>253</v>
      </c>
      <c r="I170" s="27">
        <v>389</v>
      </c>
      <c r="J170" s="28">
        <f t="shared" si="67"/>
        <v>664</v>
      </c>
      <c r="K170" s="27">
        <v>1087.4</v>
      </c>
      <c r="L170" s="28">
        <f t="shared" si="66"/>
        <v>116.54876741693464</v>
      </c>
      <c r="M170" s="28">
        <f t="shared" si="68"/>
        <v>103.26685660018995</v>
      </c>
    </row>
    <row r="171" spans="1:13" ht="12.75">
      <c r="A171" s="31" t="s">
        <v>47</v>
      </c>
      <c r="B171" s="31"/>
      <c r="C171" s="25" t="s">
        <v>48</v>
      </c>
      <c r="D171" s="104"/>
      <c r="E171" s="26">
        <v>280</v>
      </c>
      <c r="F171" s="27">
        <v>75</v>
      </c>
      <c r="G171" s="27">
        <v>60</v>
      </c>
      <c r="H171" s="27">
        <v>75</v>
      </c>
      <c r="I171" s="27"/>
      <c r="J171" s="28">
        <f t="shared" si="67"/>
        <v>210</v>
      </c>
      <c r="K171" s="27">
        <v>256.3</v>
      </c>
      <c r="L171" s="28"/>
      <c r="M171" s="28">
        <f t="shared" si="68"/>
        <v>91.53571428571429</v>
      </c>
    </row>
    <row r="172" spans="1:13" ht="12.75">
      <c r="A172" s="31" t="s">
        <v>18</v>
      </c>
      <c r="B172" s="31"/>
      <c r="C172" s="25" t="s">
        <v>15</v>
      </c>
      <c r="D172" s="104">
        <v>107</v>
      </c>
      <c r="E172" s="26">
        <v>164</v>
      </c>
      <c r="F172" s="27">
        <v>17</v>
      </c>
      <c r="G172" s="27">
        <v>60</v>
      </c>
      <c r="H172" s="27">
        <v>30</v>
      </c>
      <c r="I172" s="27">
        <v>30</v>
      </c>
      <c r="J172" s="28">
        <f t="shared" si="67"/>
        <v>107</v>
      </c>
      <c r="K172" s="27">
        <v>109</v>
      </c>
      <c r="L172" s="28">
        <f t="shared" si="66"/>
        <v>101.86915887850468</v>
      </c>
      <c r="M172" s="28">
        <f t="shared" si="68"/>
        <v>66.46341463414635</v>
      </c>
    </row>
    <row r="173" spans="1:13" ht="12.75">
      <c r="A173" s="14" t="s">
        <v>12</v>
      </c>
      <c r="B173" s="14"/>
      <c r="C173" s="25" t="s">
        <v>7</v>
      </c>
      <c r="D173" s="104"/>
      <c r="E173" s="26">
        <v>526.1</v>
      </c>
      <c r="F173" s="27"/>
      <c r="G173" s="27">
        <v>395.8</v>
      </c>
      <c r="H173" s="27">
        <v>118.3</v>
      </c>
      <c r="I173" s="27"/>
      <c r="J173" s="28">
        <f t="shared" si="67"/>
        <v>514.1</v>
      </c>
      <c r="K173" s="27">
        <v>521.3</v>
      </c>
      <c r="L173" s="28"/>
      <c r="M173" s="28">
        <f t="shared" si="68"/>
        <v>99.08762592662991</v>
      </c>
    </row>
    <row r="174" spans="1:13" ht="12.75">
      <c r="A174" s="48" t="s">
        <v>44</v>
      </c>
      <c r="B174" s="33"/>
      <c r="C174" s="34" t="s">
        <v>45</v>
      </c>
      <c r="D174" s="105"/>
      <c r="E174" s="26">
        <f>F174+G174+H174+I174</f>
        <v>0</v>
      </c>
      <c r="F174" s="27"/>
      <c r="G174" s="27"/>
      <c r="H174" s="27"/>
      <c r="I174" s="27"/>
      <c r="J174" s="28">
        <f t="shared" si="67"/>
        <v>0</v>
      </c>
      <c r="K174" s="27"/>
      <c r="L174" s="28"/>
      <c r="M174" s="28"/>
    </row>
    <row r="175" spans="1:13" ht="12.75">
      <c r="A175" s="22" t="s">
        <v>1</v>
      </c>
      <c r="B175" s="22"/>
      <c r="C175" s="35" t="s">
        <v>0</v>
      </c>
      <c r="D175" s="1">
        <f>D176+D177</f>
        <v>34042.1</v>
      </c>
      <c r="E175" s="42">
        <f>E176+E177</f>
        <v>70053.4</v>
      </c>
      <c r="F175" s="42">
        <f aca="true" t="shared" si="69" ref="F175:K175">F176+F177</f>
        <v>14427.6</v>
      </c>
      <c r="G175" s="42">
        <f t="shared" si="69"/>
        <v>25425.7</v>
      </c>
      <c r="H175" s="42">
        <f t="shared" si="69"/>
        <v>18034.6</v>
      </c>
      <c r="I175" s="42">
        <f t="shared" si="69"/>
        <v>8606</v>
      </c>
      <c r="J175" s="42">
        <f t="shared" si="69"/>
        <v>57887.9</v>
      </c>
      <c r="K175" s="42">
        <f t="shared" si="69"/>
        <v>67818.4</v>
      </c>
      <c r="L175" s="24">
        <f t="shared" si="66"/>
        <v>199.219202105628</v>
      </c>
      <c r="M175" s="24">
        <f t="shared" si="68"/>
        <v>96.80957669435031</v>
      </c>
    </row>
    <row r="176" spans="1:13" ht="24">
      <c r="A176" s="20" t="s">
        <v>21</v>
      </c>
      <c r="B176" s="29"/>
      <c r="C176" s="37" t="s">
        <v>20</v>
      </c>
      <c r="D176" s="104">
        <v>34042.1</v>
      </c>
      <c r="E176" s="26">
        <v>69953.5</v>
      </c>
      <c r="F176" s="27">
        <v>14427.6</v>
      </c>
      <c r="G176" s="27">
        <v>25325.8</v>
      </c>
      <c r="H176" s="27">
        <v>18034.6</v>
      </c>
      <c r="I176" s="27">
        <v>8606</v>
      </c>
      <c r="J176" s="28">
        <f t="shared" si="67"/>
        <v>57788</v>
      </c>
      <c r="K176" s="27">
        <v>67718.5</v>
      </c>
      <c r="L176" s="28">
        <f t="shared" si="66"/>
        <v>198.9257419489397</v>
      </c>
      <c r="M176" s="28">
        <f t="shared" si="68"/>
        <v>96.80502047788889</v>
      </c>
    </row>
    <row r="177" spans="1:13" ht="12.75" customHeight="1" hidden="1">
      <c r="A177" s="19" t="s">
        <v>2</v>
      </c>
      <c r="B177" s="19"/>
      <c r="C177" s="38" t="s">
        <v>19</v>
      </c>
      <c r="D177" s="106"/>
      <c r="E177" s="26">
        <f>F177+G177+H177+I177</f>
        <v>99.9</v>
      </c>
      <c r="F177" s="27"/>
      <c r="G177" s="27">
        <v>99.9</v>
      </c>
      <c r="H177" s="27"/>
      <c r="I177" s="27"/>
      <c r="J177" s="28">
        <f t="shared" si="67"/>
        <v>99.9</v>
      </c>
      <c r="K177" s="27">
        <v>99.9</v>
      </c>
      <c r="L177" s="28"/>
      <c r="M177" s="28">
        <f>K177/E177*100</f>
        <v>100</v>
      </c>
    </row>
    <row r="178" spans="1:13" ht="12.75">
      <c r="A178" s="14"/>
      <c r="B178" s="15"/>
      <c r="C178" s="16" t="s">
        <v>4</v>
      </c>
      <c r="D178" s="1">
        <f>D175+D165</f>
        <v>47220.1</v>
      </c>
      <c r="E178" s="1">
        <f>E175+E165</f>
        <v>86734.5</v>
      </c>
      <c r="F178" s="1">
        <f aca="true" t="shared" si="70" ref="F178:K178">F175+F165</f>
        <v>17427.1</v>
      </c>
      <c r="G178" s="1">
        <f t="shared" si="70"/>
        <v>29912</v>
      </c>
      <c r="H178" s="1">
        <f t="shared" si="70"/>
        <v>22505.399999999998</v>
      </c>
      <c r="I178" s="1">
        <f t="shared" si="70"/>
        <v>12271.5</v>
      </c>
      <c r="J178" s="1">
        <f t="shared" si="70"/>
        <v>69844.5</v>
      </c>
      <c r="K178" s="1">
        <f t="shared" si="70"/>
        <v>84091.29999999999</v>
      </c>
      <c r="L178" s="24">
        <f t="shared" si="66"/>
        <v>178.0836974085188</v>
      </c>
      <c r="M178" s="24">
        <f t="shared" si="68"/>
        <v>96.95253907038143</v>
      </c>
    </row>
    <row r="179" spans="1:13" ht="12.75" customHeight="1" hidden="1">
      <c r="A179" s="128"/>
      <c r="B179" s="129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  <c r="M179" s="130"/>
    </row>
    <row r="180" spans="1:13" ht="12.75">
      <c r="A180" s="125" t="s">
        <v>38</v>
      </c>
      <c r="B180" s="126"/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  <c r="M180" s="127"/>
    </row>
    <row r="181" spans="1:13" ht="12.75">
      <c r="A181" s="22" t="s">
        <v>3</v>
      </c>
      <c r="B181" s="22"/>
      <c r="C181" s="23" t="s">
        <v>74</v>
      </c>
      <c r="D181" s="24">
        <f>D182+D183+D185+D187+D184+D188+D189+D190+D186</f>
        <v>1228</v>
      </c>
      <c r="E181" s="24">
        <f aca="true" t="shared" si="71" ref="E181:K181">E182+E183+E185+E187+E184+E188+E189+E190+E186</f>
        <v>1306</v>
      </c>
      <c r="F181" s="24">
        <f t="shared" si="71"/>
        <v>161</v>
      </c>
      <c r="G181" s="24">
        <f t="shared" si="71"/>
        <v>388</v>
      </c>
      <c r="H181" s="24">
        <f t="shared" si="71"/>
        <v>394</v>
      </c>
      <c r="I181" s="24">
        <f t="shared" si="71"/>
        <v>363</v>
      </c>
      <c r="J181" s="24">
        <f t="shared" si="71"/>
        <v>943</v>
      </c>
      <c r="K181" s="24">
        <f t="shared" si="71"/>
        <v>1404.0000000000002</v>
      </c>
      <c r="L181" s="24">
        <f aca="true" t="shared" si="72" ref="L181:L194">K181*100/D181</f>
        <v>114.33224755700329</v>
      </c>
      <c r="M181" s="24">
        <f>K181/E181*100</f>
        <v>107.50382848392039</v>
      </c>
    </row>
    <row r="182" spans="1:13" ht="12.75">
      <c r="A182" s="14" t="s">
        <v>26</v>
      </c>
      <c r="B182" s="14"/>
      <c r="C182" s="25" t="s">
        <v>25</v>
      </c>
      <c r="D182" s="45">
        <v>920</v>
      </c>
      <c r="E182" s="26">
        <f aca="true" t="shared" si="73" ref="E182:E190">F182+G182+H182+I182</f>
        <v>920</v>
      </c>
      <c r="F182" s="27">
        <v>125</v>
      </c>
      <c r="G182" s="27">
        <v>248</v>
      </c>
      <c r="H182" s="27">
        <v>280</v>
      </c>
      <c r="I182" s="27">
        <v>267</v>
      </c>
      <c r="J182" s="28">
        <f aca="true" t="shared" si="74" ref="J182:J189">F182+G182+H182</f>
        <v>653</v>
      </c>
      <c r="K182" s="27">
        <v>892.3</v>
      </c>
      <c r="L182" s="28">
        <f t="shared" si="72"/>
        <v>96.98913043478261</v>
      </c>
      <c r="M182" s="28">
        <f aca="true" t="shared" si="75" ref="M182:M194">K182/E182*100</f>
        <v>96.9891304347826</v>
      </c>
    </row>
    <row r="183" spans="1:13" ht="12.75">
      <c r="A183" s="29" t="s">
        <v>9</v>
      </c>
      <c r="B183" s="29"/>
      <c r="C183" s="25" t="s">
        <v>6</v>
      </c>
      <c r="D183" s="45">
        <v>178</v>
      </c>
      <c r="E183" s="26">
        <f t="shared" si="73"/>
        <v>116.1</v>
      </c>
      <c r="F183" s="27">
        <v>31</v>
      </c>
      <c r="G183" s="27">
        <v>32.6</v>
      </c>
      <c r="H183" s="27">
        <f>53-31.5</f>
        <v>21.5</v>
      </c>
      <c r="I183" s="27">
        <f>61-30</f>
        <v>31</v>
      </c>
      <c r="J183" s="28">
        <f t="shared" si="74"/>
        <v>85.1</v>
      </c>
      <c r="K183" s="27">
        <v>103.2</v>
      </c>
      <c r="L183" s="28">
        <f t="shared" si="72"/>
        <v>57.97752808988764</v>
      </c>
      <c r="M183" s="28">
        <f t="shared" si="75"/>
        <v>88.8888888888889</v>
      </c>
    </row>
    <row r="184" spans="1:13" ht="12.75">
      <c r="A184" s="29" t="s">
        <v>10</v>
      </c>
      <c r="B184" s="29"/>
      <c r="C184" s="25" t="s">
        <v>22</v>
      </c>
      <c r="D184" s="45">
        <v>27</v>
      </c>
      <c r="E184" s="26">
        <f t="shared" si="73"/>
        <v>27</v>
      </c>
      <c r="F184" s="27">
        <v>5</v>
      </c>
      <c r="G184" s="27">
        <v>5</v>
      </c>
      <c r="H184" s="27">
        <v>9</v>
      </c>
      <c r="I184" s="27">
        <v>8</v>
      </c>
      <c r="J184" s="28">
        <f t="shared" si="74"/>
        <v>19</v>
      </c>
      <c r="K184" s="27">
        <v>28.7</v>
      </c>
      <c r="L184" s="28">
        <f t="shared" si="72"/>
        <v>106.29629629629629</v>
      </c>
      <c r="M184" s="28">
        <f t="shared" si="75"/>
        <v>106.29629629629629</v>
      </c>
    </row>
    <row r="185" spans="1:13" ht="24">
      <c r="A185" s="18" t="s">
        <v>11</v>
      </c>
      <c r="B185" s="18"/>
      <c r="C185" s="25" t="s">
        <v>17</v>
      </c>
      <c r="D185" s="45">
        <v>103</v>
      </c>
      <c r="E185" s="26">
        <v>192.5</v>
      </c>
      <c r="F185" s="27"/>
      <c r="G185" s="27">
        <v>52</v>
      </c>
      <c r="H185" s="27">
        <f>24+31.5+28</f>
        <v>83.5</v>
      </c>
      <c r="I185" s="27">
        <f>27+30</f>
        <v>57</v>
      </c>
      <c r="J185" s="28">
        <f t="shared" si="74"/>
        <v>135.5</v>
      </c>
      <c r="K185" s="27">
        <v>270.5</v>
      </c>
      <c r="L185" s="28">
        <f t="shared" si="72"/>
        <v>262.621359223301</v>
      </c>
      <c r="M185" s="28">
        <f t="shared" si="75"/>
        <v>140.5194805194805</v>
      </c>
    </row>
    <row r="186" spans="1:13" ht="12.75">
      <c r="A186" s="31" t="s">
        <v>47</v>
      </c>
      <c r="B186" s="31"/>
      <c r="C186" s="25" t="s">
        <v>48</v>
      </c>
      <c r="D186" s="45"/>
      <c r="E186" s="26"/>
      <c r="F186" s="27"/>
      <c r="G186" s="27"/>
      <c r="H186" s="27"/>
      <c r="I186" s="27"/>
      <c r="J186" s="28"/>
      <c r="K186" s="27">
        <v>26.9</v>
      </c>
      <c r="L186" s="28"/>
      <c r="M186" s="28"/>
    </row>
    <row r="187" spans="1:13" ht="12.75">
      <c r="A187" s="30" t="s">
        <v>18</v>
      </c>
      <c r="B187" s="30"/>
      <c r="C187" s="25" t="s">
        <v>15</v>
      </c>
      <c r="D187" s="45"/>
      <c r="E187" s="26">
        <v>0.4</v>
      </c>
      <c r="F187" s="27"/>
      <c r="G187" s="27">
        <v>0.4</v>
      </c>
      <c r="H187" s="27"/>
      <c r="I187" s="27"/>
      <c r="J187" s="28">
        <f t="shared" si="74"/>
        <v>0.4</v>
      </c>
      <c r="K187" s="27">
        <v>1</v>
      </c>
      <c r="L187" s="28"/>
      <c r="M187" s="28">
        <f t="shared" si="75"/>
        <v>250</v>
      </c>
    </row>
    <row r="188" spans="1:13" ht="12.75">
      <c r="A188" s="30" t="s">
        <v>12</v>
      </c>
      <c r="B188" s="54"/>
      <c r="C188" s="25" t="s">
        <v>7</v>
      </c>
      <c r="D188" s="45"/>
      <c r="E188" s="26">
        <f t="shared" si="73"/>
        <v>50</v>
      </c>
      <c r="F188" s="27"/>
      <c r="G188" s="27">
        <v>50</v>
      </c>
      <c r="H188" s="27"/>
      <c r="I188" s="27"/>
      <c r="J188" s="28">
        <f t="shared" si="74"/>
        <v>50</v>
      </c>
      <c r="K188" s="27">
        <v>80.5</v>
      </c>
      <c r="L188" s="28"/>
      <c r="M188" s="28">
        <f>K188/E188*100</f>
        <v>161</v>
      </c>
    </row>
    <row r="189" spans="1:13" ht="12.75">
      <c r="A189" s="48" t="s">
        <v>44</v>
      </c>
      <c r="B189" s="33"/>
      <c r="C189" s="34" t="s">
        <v>45</v>
      </c>
      <c r="D189" s="111"/>
      <c r="E189" s="26">
        <f t="shared" si="73"/>
        <v>0</v>
      </c>
      <c r="F189" s="27"/>
      <c r="G189" s="27"/>
      <c r="H189" s="27"/>
      <c r="I189" s="27"/>
      <c r="J189" s="28">
        <f t="shared" si="74"/>
        <v>0</v>
      </c>
      <c r="K189" s="27">
        <v>0.9</v>
      </c>
      <c r="L189" s="28"/>
      <c r="M189" s="28"/>
    </row>
    <row r="190" spans="1:13" ht="12.75">
      <c r="A190" s="32" t="s">
        <v>49</v>
      </c>
      <c r="B190" s="33"/>
      <c r="C190" s="34" t="s">
        <v>50</v>
      </c>
      <c r="D190" s="111"/>
      <c r="E190" s="26">
        <f t="shared" si="73"/>
        <v>0</v>
      </c>
      <c r="F190" s="26"/>
      <c r="G190" s="26"/>
      <c r="H190" s="26"/>
      <c r="I190" s="26"/>
      <c r="J190" s="24">
        <f>F190</f>
        <v>0</v>
      </c>
      <c r="K190" s="27"/>
      <c r="L190" s="24" t="e">
        <f t="shared" si="72"/>
        <v>#DIV/0!</v>
      </c>
      <c r="M190" s="24"/>
    </row>
    <row r="191" spans="1:13" ht="12.75">
      <c r="A191" s="22" t="s">
        <v>1</v>
      </c>
      <c r="B191" s="22"/>
      <c r="C191" s="35" t="s">
        <v>0</v>
      </c>
      <c r="D191" s="36">
        <f>D192+D193</f>
        <v>17834.4</v>
      </c>
      <c r="E191" s="36">
        <f aca="true" t="shared" si="76" ref="E191:K191">E192+E193</f>
        <v>26877.7</v>
      </c>
      <c r="F191" s="36">
        <f t="shared" si="76"/>
        <v>9533</v>
      </c>
      <c r="G191" s="36">
        <f t="shared" si="76"/>
        <v>6840.3</v>
      </c>
      <c r="H191" s="36">
        <f t="shared" si="76"/>
        <v>4969.900000000001</v>
      </c>
      <c r="I191" s="36">
        <f t="shared" si="76"/>
        <v>4363.099999999999</v>
      </c>
      <c r="J191" s="36">
        <f t="shared" si="76"/>
        <v>21343.2</v>
      </c>
      <c r="K191" s="36">
        <f t="shared" si="76"/>
        <v>25495.8</v>
      </c>
      <c r="L191" s="24">
        <f t="shared" si="72"/>
        <v>142.95855201184227</v>
      </c>
      <c r="M191" s="24">
        <f t="shared" si="75"/>
        <v>94.85856304668926</v>
      </c>
    </row>
    <row r="192" spans="1:13" ht="24">
      <c r="A192" s="20" t="s">
        <v>21</v>
      </c>
      <c r="B192" s="29"/>
      <c r="C192" s="37" t="s">
        <v>20</v>
      </c>
      <c r="D192" s="45">
        <v>17834.4</v>
      </c>
      <c r="E192" s="26">
        <v>26877.7</v>
      </c>
      <c r="F192" s="27">
        <v>9533</v>
      </c>
      <c r="G192" s="27">
        <v>6840.3</v>
      </c>
      <c r="H192" s="27">
        <f>4811.3+120.1+38.5</f>
        <v>4969.900000000001</v>
      </c>
      <c r="I192" s="27">
        <f>4105.9+257.2</f>
        <v>4363.099999999999</v>
      </c>
      <c r="J192" s="28">
        <f>F192+G192+H192</f>
        <v>21343.2</v>
      </c>
      <c r="K192" s="27">
        <v>25522.7</v>
      </c>
      <c r="L192" s="28">
        <f t="shared" si="72"/>
        <v>143.10938411160453</v>
      </c>
      <c r="M192" s="28">
        <f t="shared" si="75"/>
        <v>94.95864601509801</v>
      </c>
    </row>
    <row r="193" spans="1:13" ht="24">
      <c r="A193" s="19" t="s">
        <v>260</v>
      </c>
      <c r="B193" s="39"/>
      <c r="C193" s="40" t="s">
        <v>72</v>
      </c>
      <c r="D193" s="45"/>
      <c r="E193" s="26"/>
      <c r="F193" s="27"/>
      <c r="G193" s="27"/>
      <c r="H193" s="27"/>
      <c r="I193" s="27"/>
      <c r="J193" s="28"/>
      <c r="K193" s="27">
        <v>-26.9</v>
      </c>
      <c r="L193" s="28"/>
      <c r="M193" s="28"/>
    </row>
    <row r="194" spans="1:13" ht="12.75">
      <c r="A194" s="14"/>
      <c r="B194" s="15"/>
      <c r="C194" s="16" t="s">
        <v>4</v>
      </c>
      <c r="D194" s="1">
        <f aca="true" t="shared" si="77" ref="D194:K194">D191+D181</f>
        <v>19062.4</v>
      </c>
      <c r="E194" s="1">
        <f t="shared" si="77"/>
        <v>28183.7</v>
      </c>
      <c r="F194" s="1">
        <f t="shared" si="77"/>
        <v>9694</v>
      </c>
      <c r="G194" s="1">
        <f t="shared" si="77"/>
        <v>7228.3</v>
      </c>
      <c r="H194" s="1">
        <f t="shared" si="77"/>
        <v>5363.900000000001</v>
      </c>
      <c r="I194" s="1">
        <f t="shared" si="77"/>
        <v>4726.099999999999</v>
      </c>
      <c r="J194" s="1">
        <f t="shared" si="77"/>
        <v>22286.2</v>
      </c>
      <c r="K194" s="1">
        <f t="shared" si="77"/>
        <v>26899.8</v>
      </c>
      <c r="L194" s="24">
        <f t="shared" si="72"/>
        <v>141.11444519053214</v>
      </c>
      <c r="M194" s="24">
        <f t="shared" si="75"/>
        <v>95.44452999428748</v>
      </c>
    </row>
    <row r="195" spans="1:13" ht="12.75">
      <c r="A195" s="128"/>
      <c r="B195" s="129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30"/>
    </row>
    <row r="196" spans="1:13" ht="12.75">
      <c r="A196" s="125" t="s">
        <v>39</v>
      </c>
      <c r="B196" s="126"/>
      <c r="C196" s="126"/>
      <c r="D196" s="126"/>
      <c r="E196" s="126"/>
      <c r="F196" s="126"/>
      <c r="G196" s="126"/>
      <c r="H196" s="126"/>
      <c r="I196" s="126"/>
      <c r="J196" s="126"/>
      <c r="K196" s="126"/>
      <c r="L196" s="126"/>
      <c r="M196" s="127"/>
    </row>
    <row r="197" spans="1:13" ht="12.75">
      <c r="A197" s="22" t="s">
        <v>3</v>
      </c>
      <c r="B197" s="55"/>
      <c r="C197" s="23" t="s">
        <v>74</v>
      </c>
      <c r="D197" s="24">
        <f aca="true" t="shared" si="78" ref="D197:K197">D198+D199+D200+D201+D203+D204+D206+D208+D205+D202+D211+D209+D207+D210</f>
        <v>758969</v>
      </c>
      <c r="E197" s="24">
        <f t="shared" si="78"/>
        <v>798108.2999999999</v>
      </c>
      <c r="F197" s="24">
        <f t="shared" si="78"/>
        <v>179253.40000000002</v>
      </c>
      <c r="G197" s="24">
        <f t="shared" si="78"/>
        <v>206511.80000000002</v>
      </c>
      <c r="H197" s="24">
        <f t="shared" si="78"/>
        <v>190022.1</v>
      </c>
      <c r="I197" s="24">
        <f t="shared" si="78"/>
        <v>199965.49999999997</v>
      </c>
      <c r="J197" s="24">
        <f t="shared" si="78"/>
        <v>575787.3000000002</v>
      </c>
      <c r="K197" s="24">
        <f t="shared" si="78"/>
        <v>755936.0000000001</v>
      </c>
      <c r="L197" s="24">
        <f aca="true" t="shared" si="79" ref="L197:L216">K197*100/D197</f>
        <v>99.60037893510804</v>
      </c>
      <c r="M197" s="24">
        <f>K197/E197*100</f>
        <v>94.71596774522959</v>
      </c>
    </row>
    <row r="198" spans="1:13" ht="12.75" customHeight="1" hidden="1">
      <c r="A198" s="14" t="s">
        <v>26</v>
      </c>
      <c r="B198" s="56" t="s">
        <v>60</v>
      </c>
      <c r="C198" s="25" t="s">
        <v>25</v>
      </c>
      <c r="D198" s="27">
        <f aca="true" t="shared" si="80" ref="D198:J198">D10+D33+D46+D60+D75+D92+D107+D121+D135+D151+D166+D182</f>
        <v>540478</v>
      </c>
      <c r="E198" s="27">
        <f t="shared" si="80"/>
        <v>564324</v>
      </c>
      <c r="F198" s="27">
        <f t="shared" si="80"/>
        <v>131173.2</v>
      </c>
      <c r="G198" s="27">
        <f t="shared" si="80"/>
        <v>144457.09999999998</v>
      </c>
      <c r="H198" s="27">
        <f t="shared" si="80"/>
        <v>133118.1</v>
      </c>
      <c r="I198" s="27">
        <f t="shared" si="80"/>
        <v>142204.09999999998</v>
      </c>
      <c r="J198" s="27">
        <f t="shared" si="80"/>
        <v>408748.4</v>
      </c>
      <c r="K198" s="27">
        <f>K10+K33+K46+K60+K75+K92+K107+K121+K135+K151+K166+K182</f>
        <v>522853.4000000001</v>
      </c>
      <c r="L198" s="28">
        <f t="shared" si="79"/>
        <v>96.73907171059693</v>
      </c>
      <c r="M198" s="28">
        <f aca="true" t="shared" si="81" ref="M198:M216">K198/E198*100</f>
        <v>92.65127834364657</v>
      </c>
    </row>
    <row r="199" spans="1:13" ht="12.75" customHeight="1" hidden="1">
      <c r="A199" s="29" t="s">
        <v>8</v>
      </c>
      <c r="B199" s="57" t="s">
        <v>61</v>
      </c>
      <c r="C199" s="25" t="s">
        <v>5</v>
      </c>
      <c r="D199" s="27">
        <f aca="true" t="shared" si="82" ref="D199:J199">D11+D47+D61+D136</f>
        <v>28437</v>
      </c>
      <c r="E199" s="27">
        <f t="shared" si="82"/>
        <v>39185.5</v>
      </c>
      <c r="F199" s="27">
        <f t="shared" si="82"/>
        <v>8361.7</v>
      </c>
      <c r="G199" s="27">
        <f t="shared" si="82"/>
        <v>12340.9</v>
      </c>
      <c r="H199" s="27">
        <f t="shared" si="82"/>
        <v>8000.8</v>
      </c>
      <c r="I199" s="27">
        <f t="shared" si="82"/>
        <v>8665.2</v>
      </c>
      <c r="J199" s="27">
        <f t="shared" si="82"/>
        <v>28703.399999999998</v>
      </c>
      <c r="K199" s="27">
        <f>K11+K47+K61+K136</f>
        <v>37100.4</v>
      </c>
      <c r="L199" s="28">
        <f t="shared" si="79"/>
        <v>130.46523894925625</v>
      </c>
      <c r="M199" s="28">
        <f t="shared" si="81"/>
        <v>94.67889908256882</v>
      </c>
    </row>
    <row r="200" spans="1:13" ht="12.75">
      <c r="A200" s="29" t="s">
        <v>9</v>
      </c>
      <c r="B200" s="57" t="s">
        <v>62</v>
      </c>
      <c r="C200" s="25" t="s">
        <v>6</v>
      </c>
      <c r="D200" s="27">
        <f aca="true" t="shared" si="83" ref="D200:J200">D12+D34+D48+D62+D77+D93+D108+D122+D137+D152+D168+D183</f>
        <v>30714</v>
      </c>
      <c r="E200" s="27">
        <f t="shared" si="83"/>
        <v>38621.9</v>
      </c>
      <c r="F200" s="27">
        <f t="shared" si="83"/>
        <v>5394.700000000001</v>
      </c>
      <c r="G200" s="27">
        <f t="shared" si="83"/>
        <v>5912.1</v>
      </c>
      <c r="H200" s="27">
        <f t="shared" si="83"/>
        <v>12630.599999999999</v>
      </c>
      <c r="I200" s="27">
        <f t="shared" si="83"/>
        <v>9876.5</v>
      </c>
      <c r="J200" s="27">
        <f t="shared" si="83"/>
        <v>23937.399999999998</v>
      </c>
      <c r="K200" s="27">
        <f>K12+K34+K48+K62+K77+K93+K108+K122+K137+K152+K168+K183</f>
        <v>37166.9</v>
      </c>
      <c r="L200" s="28">
        <f t="shared" si="79"/>
        <v>121.00963729895162</v>
      </c>
      <c r="M200" s="28">
        <f t="shared" si="81"/>
        <v>96.23270734997502</v>
      </c>
    </row>
    <row r="201" spans="1:13" ht="12.75">
      <c r="A201" s="29" t="s">
        <v>10</v>
      </c>
      <c r="B201" s="57" t="s">
        <v>55</v>
      </c>
      <c r="C201" s="25" t="s">
        <v>22</v>
      </c>
      <c r="D201" s="27">
        <f aca="true" t="shared" si="84" ref="D201:J201">D13+D35+D63+D94+D109+D123+D138+D153+D169+D184</f>
        <v>9593</v>
      </c>
      <c r="E201" s="27">
        <f t="shared" si="84"/>
        <v>4670</v>
      </c>
      <c r="F201" s="27">
        <f t="shared" si="84"/>
        <v>165.4</v>
      </c>
      <c r="G201" s="27">
        <f t="shared" si="84"/>
        <v>1455.2</v>
      </c>
      <c r="H201" s="27">
        <f t="shared" si="84"/>
        <v>1542.8000000000002</v>
      </c>
      <c r="I201" s="27">
        <f t="shared" si="84"/>
        <v>1546.6000000000001</v>
      </c>
      <c r="J201" s="27">
        <f t="shared" si="84"/>
        <v>3163.4000000000005</v>
      </c>
      <c r="K201" s="27">
        <f>K13+K35+K63+K94+K109+K123+K138+K153+K169+K184</f>
        <v>4901.499999999999</v>
      </c>
      <c r="L201" s="28">
        <f t="shared" si="79"/>
        <v>51.0945481079954</v>
      </c>
      <c r="M201" s="28">
        <f t="shared" si="81"/>
        <v>104.95717344753746</v>
      </c>
    </row>
    <row r="202" spans="1:13" ht="24">
      <c r="A202" s="29" t="s">
        <v>42</v>
      </c>
      <c r="B202" s="57" t="s">
        <v>63</v>
      </c>
      <c r="C202" s="25" t="s">
        <v>43</v>
      </c>
      <c r="D202" s="58">
        <f aca="true" t="shared" si="85" ref="D202:J202">D14</f>
        <v>0</v>
      </c>
      <c r="E202" s="58">
        <f t="shared" si="85"/>
        <v>0</v>
      </c>
      <c r="F202" s="58">
        <f t="shared" si="85"/>
        <v>0</v>
      </c>
      <c r="G202" s="58">
        <f t="shared" si="85"/>
        <v>0</v>
      </c>
      <c r="H202" s="58">
        <f t="shared" si="85"/>
        <v>0</v>
      </c>
      <c r="I202" s="58">
        <f t="shared" si="85"/>
        <v>0</v>
      </c>
      <c r="J202" s="58">
        <f t="shared" si="85"/>
        <v>0</v>
      </c>
      <c r="K202" s="58">
        <f>K14</f>
        <v>2.4</v>
      </c>
      <c r="L202" s="28"/>
      <c r="M202" s="28"/>
    </row>
    <row r="203" spans="1:13" ht="24">
      <c r="A203" s="18" t="s">
        <v>11</v>
      </c>
      <c r="B203" s="59" t="s">
        <v>54</v>
      </c>
      <c r="C203" s="25" t="s">
        <v>17</v>
      </c>
      <c r="D203" s="27">
        <f aca="true" t="shared" si="86" ref="D203:J203">D15+D36+D50+D64+D79+D95+D110+D124+D139+D154+D170+D185</f>
        <v>75211</v>
      </c>
      <c r="E203" s="27">
        <f t="shared" si="86"/>
        <v>80518.7</v>
      </c>
      <c r="F203" s="27">
        <f t="shared" si="86"/>
        <v>20474.4</v>
      </c>
      <c r="G203" s="27">
        <f t="shared" si="86"/>
        <v>17933.699999999997</v>
      </c>
      <c r="H203" s="27">
        <f t="shared" si="86"/>
        <v>19025.4</v>
      </c>
      <c r="I203" s="27">
        <f t="shared" si="86"/>
        <v>22787.799999999996</v>
      </c>
      <c r="J203" s="27">
        <f t="shared" si="86"/>
        <v>57433.49999999999</v>
      </c>
      <c r="K203" s="27">
        <f>K15+K36+K50+K64+K79+K95+K110+K124+K139+K154+K170+K185</f>
        <v>87361.09999999998</v>
      </c>
      <c r="L203" s="28">
        <f t="shared" si="79"/>
        <v>116.15468482003959</v>
      </c>
      <c r="M203" s="28">
        <f t="shared" si="81"/>
        <v>108.4979017296603</v>
      </c>
    </row>
    <row r="204" spans="1:13" ht="12.75">
      <c r="A204" s="30" t="s">
        <v>14</v>
      </c>
      <c r="B204" s="60" t="s">
        <v>53</v>
      </c>
      <c r="C204" s="25" t="s">
        <v>13</v>
      </c>
      <c r="D204" s="27">
        <f aca="true" t="shared" si="87" ref="D204:J204">D16</f>
        <v>12581</v>
      </c>
      <c r="E204" s="27">
        <f t="shared" si="87"/>
        <v>12581</v>
      </c>
      <c r="F204" s="27">
        <f t="shared" si="87"/>
        <v>532.8</v>
      </c>
      <c r="G204" s="27">
        <f t="shared" si="87"/>
        <v>6148.2</v>
      </c>
      <c r="H204" s="27">
        <f t="shared" si="87"/>
        <v>2950</v>
      </c>
      <c r="I204" s="27">
        <f t="shared" si="87"/>
        <v>2950</v>
      </c>
      <c r="J204" s="27">
        <f t="shared" si="87"/>
        <v>9631</v>
      </c>
      <c r="K204" s="27">
        <f>K16</f>
        <v>13939.9</v>
      </c>
      <c r="L204" s="28">
        <f t="shared" si="79"/>
        <v>110.80120817105158</v>
      </c>
      <c r="M204" s="28">
        <f t="shared" si="81"/>
        <v>110.80120817105158</v>
      </c>
    </row>
    <row r="205" spans="1:13" ht="12.75">
      <c r="A205" s="31" t="s">
        <v>47</v>
      </c>
      <c r="B205" s="61" t="s">
        <v>64</v>
      </c>
      <c r="C205" s="25" t="s">
        <v>48</v>
      </c>
      <c r="D205" s="62">
        <f aca="true" t="shared" si="88" ref="D205:J205">D17+D80+D96+D125+D155+D171+D186+D111</f>
        <v>52060</v>
      </c>
      <c r="E205" s="62">
        <f t="shared" si="88"/>
        <v>29964.4</v>
      </c>
      <c r="F205" s="62">
        <f t="shared" si="88"/>
        <v>5717.2</v>
      </c>
      <c r="G205" s="62">
        <f t="shared" si="88"/>
        <v>10064</v>
      </c>
      <c r="H205" s="62">
        <f t="shared" si="88"/>
        <v>6983.6</v>
      </c>
      <c r="I205" s="62">
        <f t="shared" si="88"/>
        <v>6998.599999999999</v>
      </c>
      <c r="J205" s="62">
        <f t="shared" si="88"/>
        <v>22764.8</v>
      </c>
      <c r="K205" s="62">
        <f>K17+K80+K96+K125+K155+K171+K186+K111</f>
        <v>21336.600000000002</v>
      </c>
      <c r="L205" s="28">
        <f t="shared" si="79"/>
        <v>40.9846331156358</v>
      </c>
      <c r="M205" s="28">
        <f>K205/E205*100</f>
        <v>71.20649837807532</v>
      </c>
    </row>
    <row r="206" spans="1:13" ht="12.75">
      <c r="A206" s="31" t="s">
        <v>18</v>
      </c>
      <c r="B206" s="61" t="s">
        <v>59</v>
      </c>
      <c r="C206" s="25" t="s">
        <v>15</v>
      </c>
      <c r="D206" s="27">
        <f aca="true" t="shared" si="89" ref="D206:J206">D18+D37+D51+D65+D81+D97+D141+D126+D156+D172+D187+D112</f>
        <v>5114</v>
      </c>
      <c r="E206" s="27">
        <f t="shared" si="89"/>
        <v>17081</v>
      </c>
      <c r="F206" s="27">
        <f t="shared" si="89"/>
        <v>1207</v>
      </c>
      <c r="G206" s="27">
        <f t="shared" si="89"/>
        <v>6684.9</v>
      </c>
      <c r="H206" s="27">
        <f t="shared" si="89"/>
        <v>4067.9</v>
      </c>
      <c r="I206" s="27">
        <f t="shared" si="89"/>
        <v>3867.9</v>
      </c>
      <c r="J206" s="27">
        <f t="shared" si="89"/>
        <v>11959.8</v>
      </c>
      <c r="K206" s="27">
        <f>K18+K37+K51+K65+K81+K97+K141+K126+K156+K172+K187+K112</f>
        <v>17195.100000000002</v>
      </c>
      <c r="L206" s="28">
        <f t="shared" si="79"/>
        <v>336.2358232303481</v>
      </c>
      <c r="M206" s="28">
        <f t="shared" si="81"/>
        <v>100.6679936771852</v>
      </c>
    </row>
    <row r="207" spans="1:13" ht="12.75">
      <c r="A207" s="31" t="s">
        <v>69</v>
      </c>
      <c r="B207" s="31"/>
      <c r="C207" s="25" t="s">
        <v>70</v>
      </c>
      <c r="D207" s="27">
        <f aca="true" t="shared" si="90" ref="D207:J207">D19</f>
        <v>7</v>
      </c>
      <c r="E207" s="27">
        <f t="shared" si="90"/>
        <v>17</v>
      </c>
      <c r="F207" s="27">
        <f t="shared" si="90"/>
        <v>3.3</v>
      </c>
      <c r="G207" s="27">
        <f t="shared" si="90"/>
        <v>0.7</v>
      </c>
      <c r="H207" s="27">
        <f t="shared" si="90"/>
        <v>2</v>
      </c>
      <c r="I207" s="27">
        <f t="shared" si="90"/>
        <v>1</v>
      </c>
      <c r="J207" s="27">
        <f t="shared" si="90"/>
        <v>6</v>
      </c>
      <c r="K207" s="27">
        <f>K19</f>
        <v>30.3</v>
      </c>
      <c r="L207" s="28">
        <f t="shared" si="79"/>
        <v>432.85714285714283</v>
      </c>
      <c r="M207" s="28">
        <f t="shared" si="81"/>
        <v>178.23529411764707</v>
      </c>
    </row>
    <row r="208" spans="1:13" ht="12.75">
      <c r="A208" s="14" t="s">
        <v>12</v>
      </c>
      <c r="B208" s="56" t="s">
        <v>56</v>
      </c>
      <c r="C208" s="25" t="s">
        <v>7</v>
      </c>
      <c r="D208" s="27">
        <f aca="true" t="shared" si="91" ref="D208:J208">D20+D52+D66+D82+D98+D127+D142+D173+D188</f>
        <v>4774</v>
      </c>
      <c r="E208" s="27">
        <f t="shared" si="91"/>
        <v>10897.599999999999</v>
      </c>
      <c r="F208" s="27">
        <f t="shared" si="91"/>
        <v>6223.7</v>
      </c>
      <c r="G208" s="27">
        <f t="shared" si="91"/>
        <v>1393</v>
      </c>
      <c r="H208" s="27">
        <f t="shared" si="91"/>
        <v>1575.6999999999998</v>
      </c>
      <c r="I208" s="27">
        <f t="shared" si="91"/>
        <v>1067.8</v>
      </c>
      <c r="J208" s="27">
        <f t="shared" si="91"/>
        <v>9192.4</v>
      </c>
      <c r="K208" s="27">
        <f>K20+K52+K66+K82+K98+K127+K142+K173+K188</f>
        <v>12604.599999999999</v>
      </c>
      <c r="L208" s="28">
        <f t="shared" si="79"/>
        <v>264.025974025974</v>
      </c>
      <c r="M208" s="28">
        <f t="shared" si="81"/>
        <v>115.66399941271473</v>
      </c>
    </row>
    <row r="209" spans="1:13" ht="12.75">
      <c r="A209" s="32" t="s">
        <v>44</v>
      </c>
      <c r="B209" s="63" t="s">
        <v>63</v>
      </c>
      <c r="C209" s="34" t="s">
        <v>45</v>
      </c>
      <c r="D209" s="27">
        <f aca="true" t="shared" si="92" ref="D209:J209">D21+D38+D53+D67+D83+D99+D114+D128+D143+D158+D174+D189</f>
        <v>0</v>
      </c>
      <c r="E209" s="27">
        <f t="shared" si="92"/>
        <v>247.2</v>
      </c>
      <c r="F209" s="27">
        <f t="shared" si="92"/>
        <v>0</v>
      </c>
      <c r="G209" s="27">
        <f t="shared" si="92"/>
        <v>122</v>
      </c>
      <c r="H209" s="27">
        <f t="shared" si="92"/>
        <v>125.2</v>
      </c>
      <c r="I209" s="27">
        <f t="shared" si="92"/>
        <v>0</v>
      </c>
      <c r="J209" s="27">
        <f t="shared" si="92"/>
        <v>247.2</v>
      </c>
      <c r="K209" s="27">
        <f>K21+K38+K53+K67+K83+K99+K114+K128+K143+K158+K174+K189</f>
        <v>1443.8</v>
      </c>
      <c r="L209" s="28"/>
      <c r="M209" s="28">
        <f t="shared" si="81"/>
        <v>584.0614886731391</v>
      </c>
    </row>
    <row r="210" spans="1:13" ht="12.75">
      <c r="A210" s="32" t="s">
        <v>67</v>
      </c>
      <c r="B210" s="33"/>
      <c r="C210" s="34" t="s">
        <v>68</v>
      </c>
      <c r="D210" s="34"/>
      <c r="E210" s="26">
        <f>F210+G210+H210+I210</f>
        <v>0</v>
      </c>
      <c r="F210" s="27">
        <f aca="true" t="shared" si="93" ref="F210:I211">F22</f>
        <v>0</v>
      </c>
      <c r="G210" s="27">
        <f t="shared" si="93"/>
        <v>0</v>
      </c>
      <c r="H210" s="27">
        <f t="shared" si="93"/>
        <v>0</v>
      </c>
      <c r="I210" s="27">
        <f t="shared" si="93"/>
        <v>0</v>
      </c>
      <c r="J210" s="28">
        <f>F210</f>
        <v>0</v>
      </c>
      <c r="K210" s="27">
        <f>K22</f>
        <v>0</v>
      </c>
      <c r="L210" s="24" t="e">
        <f t="shared" si="79"/>
        <v>#DIV/0!</v>
      </c>
      <c r="M210" s="28"/>
    </row>
    <row r="211" spans="1:13" ht="12.75" customHeight="1">
      <c r="A211" s="32" t="s">
        <v>49</v>
      </c>
      <c r="B211" s="63" t="s">
        <v>63</v>
      </c>
      <c r="C211" s="34" t="s">
        <v>50</v>
      </c>
      <c r="D211" s="34"/>
      <c r="E211" s="26">
        <f>F211+G211+H211+I211</f>
        <v>0</v>
      </c>
      <c r="F211" s="27">
        <f t="shared" si="93"/>
        <v>0</v>
      </c>
      <c r="G211" s="27">
        <f t="shared" si="93"/>
        <v>0</v>
      </c>
      <c r="H211" s="27">
        <f t="shared" si="93"/>
        <v>0</v>
      </c>
      <c r="I211" s="27">
        <f t="shared" si="93"/>
        <v>0</v>
      </c>
      <c r="J211" s="28">
        <f>F211</f>
        <v>0</v>
      </c>
      <c r="K211" s="27">
        <f>K23+K190+K84+K144</f>
        <v>0</v>
      </c>
      <c r="L211" s="24" t="e">
        <f t="shared" si="79"/>
        <v>#DIV/0!</v>
      </c>
      <c r="M211" s="28"/>
    </row>
    <row r="212" spans="1:13" ht="12.75" customHeight="1">
      <c r="A212" s="22" t="s">
        <v>1</v>
      </c>
      <c r="B212" s="55"/>
      <c r="C212" s="35" t="s">
        <v>0</v>
      </c>
      <c r="D212" s="36">
        <f aca="true" t="shared" si="94" ref="D212:K212">D213+D214+D215</f>
        <v>2751958.3</v>
      </c>
      <c r="E212" s="36">
        <f t="shared" si="94"/>
        <v>3060006.6000000006</v>
      </c>
      <c r="F212" s="36">
        <f t="shared" si="94"/>
        <v>762322</v>
      </c>
      <c r="G212" s="36">
        <f t="shared" si="94"/>
        <v>1441323.4000000001</v>
      </c>
      <c r="H212" s="36">
        <f t="shared" si="94"/>
        <v>70088.90000000001</v>
      </c>
      <c r="I212" s="36">
        <f t="shared" si="94"/>
        <v>659776.4</v>
      </c>
      <c r="J212" s="36">
        <f t="shared" si="94"/>
        <v>2310385.7</v>
      </c>
      <c r="K212" s="36">
        <f t="shared" si="94"/>
        <v>2632947.7000000007</v>
      </c>
      <c r="L212" s="24">
        <f t="shared" si="79"/>
        <v>95.67542138992444</v>
      </c>
      <c r="M212" s="24">
        <f t="shared" si="81"/>
        <v>86.04385689887076</v>
      </c>
    </row>
    <row r="213" spans="1:13" ht="24">
      <c r="A213" s="20" t="s">
        <v>21</v>
      </c>
      <c r="B213" s="57" t="s">
        <v>57</v>
      </c>
      <c r="C213" s="37" t="s">
        <v>20</v>
      </c>
      <c r="D213" s="26">
        <f>D25-12420.1</f>
        <v>2716958.3</v>
      </c>
      <c r="E213" s="26">
        <f>E25-29548.3</f>
        <v>2979859.9000000004</v>
      </c>
      <c r="F213" s="26">
        <f>F25-18325.7</f>
        <v>756002</v>
      </c>
      <c r="G213" s="26">
        <f>G25-18325.7</f>
        <v>1423812.3</v>
      </c>
      <c r="H213" s="26">
        <f>H25-18325.7</f>
        <v>61365.90000000001</v>
      </c>
      <c r="I213" s="26">
        <f>I25-18325.7</f>
        <v>650676.4</v>
      </c>
      <c r="J213" s="26">
        <f>J25-18325.7</f>
        <v>2277831.6</v>
      </c>
      <c r="K213" s="26">
        <f>K25-29548.3</f>
        <v>2557297.9000000004</v>
      </c>
      <c r="L213" s="28">
        <f t="shared" si="79"/>
        <v>94.12356089528501</v>
      </c>
      <c r="M213" s="28">
        <f t="shared" si="81"/>
        <v>85.81940043557081</v>
      </c>
    </row>
    <row r="214" spans="1:13" ht="12.75" customHeight="1">
      <c r="A214" s="19" t="s">
        <v>2</v>
      </c>
      <c r="B214" s="19" t="s">
        <v>58</v>
      </c>
      <c r="C214" s="38" t="s">
        <v>19</v>
      </c>
      <c r="D214" s="27">
        <f aca="true" t="shared" si="95" ref="D214:J214">D26+D87+D70+D161+D177+D102</f>
        <v>35000</v>
      </c>
      <c r="E214" s="27">
        <f t="shared" si="95"/>
        <v>80146.7</v>
      </c>
      <c r="F214" s="27">
        <f t="shared" si="95"/>
        <v>6320</v>
      </c>
      <c r="G214" s="27">
        <f t="shared" si="95"/>
        <v>17511.100000000002</v>
      </c>
      <c r="H214" s="27">
        <f t="shared" si="95"/>
        <v>8723</v>
      </c>
      <c r="I214" s="27">
        <f t="shared" si="95"/>
        <v>9100</v>
      </c>
      <c r="J214" s="27">
        <f t="shared" si="95"/>
        <v>32554.100000000002</v>
      </c>
      <c r="K214" s="27">
        <f>K26+K87+K70+K161+K177+K102</f>
        <v>76853.7</v>
      </c>
      <c r="L214" s="28">
        <f t="shared" si="79"/>
        <v>219.582</v>
      </c>
      <c r="M214" s="28">
        <f t="shared" si="81"/>
        <v>95.89128435730979</v>
      </c>
    </row>
    <row r="215" spans="1:13" ht="24">
      <c r="A215" s="19" t="s">
        <v>260</v>
      </c>
      <c r="B215" s="64"/>
      <c r="C215" s="40" t="s">
        <v>72</v>
      </c>
      <c r="D215" s="27">
        <f aca="true" t="shared" si="96" ref="D215:J215">D28</f>
        <v>0</v>
      </c>
      <c r="E215" s="27">
        <f t="shared" si="96"/>
        <v>0</v>
      </c>
      <c r="F215" s="27">
        <f t="shared" si="96"/>
        <v>0</v>
      </c>
      <c r="G215" s="27">
        <f t="shared" si="96"/>
        <v>0</v>
      </c>
      <c r="H215" s="27">
        <f t="shared" si="96"/>
        <v>0</v>
      </c>
      <c r="I215" s="27">
        <f t="shared" si="96"/>
        <v>0</v>
      </c>
      <c r="J215" s="27">
        <f t="shared" si="96"/>
        <v>0</v>
      </c>
      <c r="K215" s="27">
        <f>K28</f>
        <v>-1203.9</v>
      </c>
      <c r="L215" s="28"/>
      <c r="M215" s="24"/>
    </row>
    <row r="216" spans="1:13" ht="12.75">
      <c r="A216" s="14"/>
      <c r="B216" s="15"/>
      <c r="C216" s="16" t="s">
        <v>4</v>
      </c>
      <c r="D216" s="1">
        <f>D212+D197</f>
        <v>3510927.3</v>
      </c>
      <c r="E216" s="1">
        <f>E212+E197</f>
        <v>3858114.9000000004</v>
      </c>
      <c r="F216" s="1">
        <f aca="true" t="shared" si="97" ref="F216:K216">F212+F197</f>
        <v>941575.4</v>
      </c>
      <c r="G216" s="1">
        <f t="shared" si="97"/>
        <v>1647835.2000000002</v>
      </c>
      <c r="H216" s="1">
        <f t="shared" si="97"/>
        <v>260111</v>
      </c>
      <c r="I216" s="1">
        <f t="shared" si="97"/>
        <v>859741.9</v>
      </c>
      <c r="J216" s="1">
        <f t="shared" si="97"/>
        <v>2886173.0000000005</v>
      </c>
      <c r="K216" s="1">
        <f t="shared" si="97"/>
        <v>3388883.7000000007</v>
      </c>
      <c r="L216" s="24">
        <f t="shared" si="79"/>
        <v>96.52389270492729</v>
      </c>
      <c r="M216" s="24">
        <f t="shared" si="81"/>
        <v>87.83781167326043</v>
      </c>
    </row>
    <row r="217" spans="3:11" ht="12.75">
      <c r="C217" s="17"/>
      <c r="D217" s="6"/>
      <c r="E217" s="5"/>
      <c r="F217" s="5"/>
      <c r="G217" s="6"/>
      <c r="H217" s="6"/>
      <c r="I217" s="5"/>
      <c r="J217" s="6"/>
      <c r="K217" s="6"/>
    </row>
    <row r="218" spans="3:11" ht="12.75">
      <c r="C218" s="17"/>
      <c r="D218" s="6"/>
      <c r="E218" s="5"/>
      <c r="F218" s="5"/>
      <c r="G218" s="6"/>
      <c r="H218" s="6"/>
      <c r="I218" s="5"/>
      <c r="J218" s="6"/>
      <c r="K218" s="6"/>
    </row>
    <row r="219" spans="3:11" ht="12.75">
      <c r="C219" s="17"/>
      <c r="D219" s="6"/>
      <c r="E219" s="5"/>
      <c r="F219" s="5"/>
      <c r="G219" s="6"/>
      <c r="H219" s="6"/>
      <c r="I219" s="5"/>
      <c r="J219" s="6"/>
      <c r="K219" s="6"/>
    </row>
    <row r="220" spans="4:11" ht="12.75">
      <c r="D220" s="6"/>
      <c r="E220" s="5"/>
      <c r="F220" s="5"/>
      <c r="G220" s="6"/>
      <c r="H220" s="6"/>
      <c r="I220" s="5"/>
      <c r="J220" s="6"/>
      <c r="K220" s="6"/>
    </row>
    <row r="221" spans="4:11" ht="12.75">
      <c r="D221" s="6"/>
      <c r="E221" s="5"/>
      <c r="F221" s="5"/>
      <c r="G221" s="6"/>
      <c r="H221" s="6"/>
      <c r="I221" s="5"/>
      <c r="J221" s="6"/>
      <c r="K221" s="6"/>
    </row>
    <row r="222" spans="4:11" ht="12.75">
      <c r="D222" s="6"/>
      <c r="E222" s="5"/>
      <c r="F222" s="5"/>
      <c r="G222" s="6"/>
      <c r="H222" s="6"/>
      <c r="I222" s="5"/>
      <c r="J222" s="6"/>
      <c r="K222" s="6"/>
    </row>
    <row r="223" spans="3:11" ht="12.75">
      <c r="C223" s="17"/>
      <c r="D223" s="6"/>
      <c r="E223" s="5"/>
      <c r="F223" s="5"/>
      <c r="G223" s="6"/>
      <c r="H223" s="6"/>
      <c r="I223" s="5"/>
      <c r="J223" s="6"/>
      <c r="K223" s="6"/>
    </row>
    <row r="224" spans="3:11" ht="12.75">
      <c r="C224" s="17"/>
      <c r="D224" s="6"/>
      <c r="E224" s="5"/>
      <c r="F224" s="5"/>
      <c r="G224" s="6"/>
      <c r="H224" s="6"/>
      <c r="I224" s="5"/>
      <c r="J224" s="6"/>
      <c r="K224" s="6"/>
    </row>
    <row r="225" spans="3:11" ht="12.75">
      <c r="C225" s="17"/>
      <c r="D225" s="6"/>
      <c r="E225" s="5"/>
      <c r="F225" s="5"/>
      <c r="G225" s="6"/>
      <c r="H225" s="6"/>
      <c r="I225" s="5"/>
      <c r="J225" s="6"/>
      <c r="K225" s="6"/>
    </row>
    <row r="226" spans="3:11" ht="12.75">
      <c r="C226" s="17"/>
      <c r="D226" s="6"/>
      <c r="E226" s="5"/>
      <c r="F226" s="5"/>
      <c r="G226" s="6"/>
      <c r="H226" s="6"/>
      <c r="I226" s="5"/>
      <c r="J226" s="6"/>
      <c r="K226" s="6"/>
    </row>
    <row r="227" spans="3:11" ht="12.75">
      <c r="C227" s="17"/>
      <c r="D227" s="5"/>
      <c r="E227" s="5"/>
      <c r="F227" s="5"/>
      <c r="G227" s="5"/>
      <c r="H227" s="5"/>
      <c r="I227" s="5"/>
      <c r="J227" s="5"/>
      <c r="K227" s="6"/>
    </row>
    <row r="228" spans="3:11" ht="12.75" customHeight="1">
      <c r="C228" s="17"/>
      <c r="D228" s="6"/>
      <c r="E228" s="6"/>
      <c r="F228" s="6"/>
      <c r="G228" s="6"/>
      <c r="H228" s="6"/>
      <c r="I228" s="6"/>
      <c r="J228" s="6"/>
      <c r="K228" s="6"/>
    </row>
    <row r="229" spans="3:11" ht="12.75">
      <c r="C229" s="17"/>
      <c r="D229" s="7"/>
      <c r="E229" s="5"/>
      <c r="F229" s="5"/>
      <c r="G229" s="5"/>
      <c r="H229" s="5"/>
      <c r="I229" s="5"/>
      <c r="J229" s="6"/>
      <c r="K229" s="6"/>
    </row>
  </sheetData>
  <sheetProtection/>
  <mergeCells count="27">
    <mergeCell ref="A44:M44"/>
    <mergeCell ref="A57:M57"/>
    <mergeCell ref="A58:M58"/>
    <mergeCell ref="A72:M72"/>
    <mergeCell ref="A73:M73"/>
    <mergeCell ref="A89:M89"/>
    <mergeCell ref="A1:C1"/>
    <mergeCell ref="A2:M2"/>
    <mergeCell ref="A8:M8"/>
    <mergeCell ref="A31:M31"/>
    <mergeCell ref="C43:M43"/>
    <mergeCell ref="A30:M30"/>
    <mergeCell ref="A90:M90"/>
    <mergeCell ref="A104:M104"/>
    <mergeCell ref="A105:M105"/>
    <mergeCell ref="A118:M118"/>
    <mergeCell ref="A119:M119"/>
    <mergeCell ref="A132:M132"/>
    <mergeCell ref="A180:M180"/>
    <mergeCell ref="A195:M195"/>
    <mergeCell ref="A196:M196"/>
    <mergeCell ref="A133:M133"/>
    <mergeCell ref="A148:M148"/>
    <mergeCell ref="A149:M149"/>
    <mergeCell ref="A163:M163"/>
    <mergeCell ref="A164:M164"/>
    <mergeCell ref="A179:M179"/>
  </mergeCells>
  <printOptions/>
  <pageMargins left="0.79" right="0.1968503937007874" top="0.1968503937007874" bottom="0.19" header="0.15748031496062992" footer="0.1968503937007874"/>
  <pageSetup fitToHeight="7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0"/>
  <sheetViews>
    <sheetView tabSelected="1" zoomScalePageLayoutView="0" workbookViewId="0" topLeftCell="A115">
      <selection activeCell="B16" sqref="B16"/>
    </sheetView>
  </sheetViews>
  <sheetFormatPr defaultColWidth="9.00390625" defaultRowHeight="12.75"/>
  <cols>
    <col min="2" max="2" width="46.25390625" style="0" customWidth="1"/>
    <col min="3" max="3" width="13.625" style="0" customWidth="1"/>
    <col min="4" max="4" width="12.375" style="0" customWidth="1"/>
    <col min="5" max="5" width="11.25390625" style="0" customWidth="1"/>
    <col min="6" max="6" width="14.00390625" style="0" customWidth="1"/>
    <col min="7" max="7" width="11.375" style="0" customWidth="1"/>
    <col min="9" max="9" width="12.00390625" style="0" customWidth="1"/>
    <col min="10" max="10" width="12.875" style="0" customWidth="1"/>
  </cols>
  <sheetData>
    <row r="1" spans="1:11" ht="14.25" customHeight="1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13.5" thickBot="1">
      <c r="A2" s="117"/>
      <c r="B2" s="118"/>
      <c r="C2" s="119"/>
      <c r="D2" s="65"/>
      <c r="E2" s="120"/>
      <c r="F2" s="66"/>
      <c r="G2" s="67"/>
      <c r="H2" s="67"/>
      <c r="I2" s="68"/>
      <c r="J2" s="69"/>
      <c r="K2" s="69"/>
    </row>
    <row r="3" spans="1:11" ht="12.75" customHeight="1">
      <c r="A3" s="145" t="s">
        <v>75</v>
      </c>
      <c r="B3" s="147" t="s">
        <v>76</v>
      </c>
      <c r="C3" s="149" t="s">
        <v>77</v>
      </c>
      <c r="D3" s="149"/>
      <c r="E3" s="149"/>
      <c r="F3" s="150" t="s">
        <v>78</v>
      </c>
      <c r="G3" s="150"/>
      <c r="H3" s="150"/>
      <c r="I3" s="151" t="s">
        <v>79</v>
      </c>
      <c r="J3" s="151"/>
      <c r="K3" s="152"/>
    </row>
    <row r="4" spans="1:11" ht="12.75" customHeight="1">
      <c r="A4" s="146"/>
      <c r="B4" s="148"/>
      <c r="C4" s="153" t="s">
        <v>80</v>
      </c>
      <c r="D4" s="153" t="s">
        <v>253</v>
      </c>
      <c r="E4" s="153" t="s">
        <v>81</v>
      </c>
      <c r="F4" s="153" t="s">
        <v>80</v>
      </c>
      <c r="G4" s="155" t="s">
        <v>253</v>
      </c>
      <c r="H4" s="155" t="s">
        <v>81</v>
      </c>
      <c r="I4" s="156" t="s">
        <v>80</v>
      </c>
      <c r="J4" s="158" t="s">
        <v>254</v>
      </c>
      <c r="K4" s="160" t="s">
        <v>81</v>
      </c>
    </row>
    <row r="5" spans="1:11" ht="24.75" customHeight="1">
      <c r="A5" s="146"/>
      <c r="B5" s="148"/>
      <c r="C5" s="154"/>
      <c r="D5" s="153"/>
      <c r="E5" s="159"/>
      <c r="F5" s="154"/>
      <c r="G5" s="155"/>
      <c r="H5" s="154"/>
      <c r="I5" s="157"/>
      <c r="J5" s="158"/>
      <c r="K5" s="161"/>
    </row>
    <row r="6" spans="1:11" ht="12.75">
      <c r="A6" s="146"/>
      <c r="B6" s="162" t="s">
        <v>82</v>
      </c>
      <c r="C6" s="162"/>
      <c r="D6" s="162"/>
      <c r="E6" s="162"/>
      <c r="F6" s="162"/>
      <c r="G6" s="162"/>
      <c r="H6" s="162"/>
      <c r="I6" s="162"/>
      <c r="J6" s="162"/>
      <c r="K6" s="163"/>
    </row>
    <row r="7" spans="1:11" ht="12.75">
      <c r="A7" s="146"/>
      <c r="B7" s="162"/>
      <c r="C7" s="162"/>
      <c r="D7" s="162"/>
      <c r="E7" s="162"/>
      <c r="F7" s="162"/>
      <c r="G7" s="162"/>
      <c r="H7" s="162"/>
      <c r="I7" s="162"/>
      <c r="J7" s="162"/>
      <c r="K7" s="163"/>
    </row>
    <row r="8" spans="1:11" ht="12.75">
      <c r="A8" s="146"/>
      <c r="B8" s="162"/>
      <c r="C8" s="162"/>
      <c r="D8" s="162"/>
      <c r="E8" s="162"/>
      <c r="F8" s="162"/>
      <c r="G8" s="162"/>
      <c r="H8" s="162"/>
      <c r="I8" s="162"/>
      <c r="J8" s="162"/>
      <c r="K8" s="163"/>
    </row>
    <row r="9" spans="1:11" ht="12.75">
      <c r="A9" s="166" t="s">
        <v>83</v>
      </c>
      <c r="B9" s="167" t="s">
        <v>84</v>
      </c>
      <c r="C9" s="168">
        <f>SUM(C10:C16)</f>
        <v>272095.9</v>
      </c>
      <c r="D9" s="168">
        <f>SUM(D10:D16)</f>
        <v>212043.1</v>
      </c>
      <c r="E9" s="168">
        <f>D9/C9*100</f>
        <v>77.92954616368714</v>
      </c>
      <c r="F9" s="168">
        <f>F10+F11+F12+F13+F14+F15+F16</f>
        <v>203093.5</v>
      </c>
      <c r="G9" s="168">
        <f>SUM(G10:G16)</f>
        <v>168577.2</v>
      </c>
      <c r="H9" s="116">
        <f>G9/F9*100</f>
        <v>83.00472442495699</v>
      </c>
      <c r="I9" s="168">
        <f>SUM(I10:I16)</f>
        <v>474515.4</v>
      </c>
      <c r="J9" s="168">
        <f>SUM(J10:J16)</f>
        <v>379946.30000000005</v>
      </c>
      <c r="K9" s="169">
        <f>J9/I9*100</f>
        <v>80.07038338481745</v>
      </c>
    </row>
    <row r="10" spans="1:11" ht="12.75">
      <c r="A10" s="170" t="s">
        <v>85</v>
      </c>
      <c r="B10" s="171" t="s">
        <v>86</v>
      </c>
      <c r="C10" s="115">
        <v>14367</v>
      </c>
      <c r="D10" s="115">
        <v>13099.9</v>
      </c>
      <c r="E10" s="115">
        <f>D10/C10*100</f>
        <v>91.18048305143732</v>
      </c>
      <c r="F10" s="116">
        <v>34688.3</v>
      </c>
      <c r="G10" s="116">
        <v>31683.9</v>
      </c>
      <c r="H10" s="116">
        <f>G10/F10*100</f>
        <v>91.33886641893663</v>
      </c>
      <c r="I10" s="172">
        <f aca="true" t="shared" si="0" ref="I10:J83">C10+F10</f>
        <v>49055.3</v>
      </c>
      <c r="J10" s="172">
        <f t="shared" si="0"/>
        <v>44783.8</v>
      </c>
      <c r="K10" s="169">
        <f aca="true" t="shared" si="1" ref="K10:K85">J10/I10*100</f>
        <v>91.29248011937548</v>
      </c>
    </row>
    <row r="11" spans="1:11" ht="22.5">
      <c r="A11" s="170" t="s">
        <v>87</v>
      </c>
      <c r="B11" s="171" t="s">
        <v>88</v>
      </c>
      <c r="C11" s="115">
        <v>27167.7</v>
      </c>
      <c r="D11" s="115">
        <v>24096.9</v>
      </c>
      <c r="E11" s="115">
        <f aca="true" t="shared" si="2" ref="E11:E18">D11/C11*100</f>
        <v>88.69687165273469</v>
      </c>
      <c r="F11" s="116">
        <v>0</v>
      </c>
      <c r="G11" s="116">
        <v>0</v>
      </c>
      <c r="H11" s="116">
        <v>0</v>
      </c>
      <c r="I11" s="172">
        <f t="shared" si="0"/>
        <v>27167.7</v>
      </c>
      <c r="J11" s="172">
        <f t="shared" si="0"/>
        <v>24096.9</v>
      </c>
      <c r="K11" s="169">
        <f t="shared" si="1"/>
        <v>88.69687165273469</v>
      </c>
    </row>
    <row r="12" spans="1:11" ht="12.75">
      <c r="A12" s="170" t="s">
        <v>89</v>
      </c>
      <c r="B12" s="171" t="s">
        <v>90</v>
      </c>
      <c r="C12" s="115">
        <v>143942</v>
      </c>
      <c r="D12" s="115">
        <v>116624.4</v>
      </c>
      <c r="E12" s="115">
        <f t="shared" si="2"/>
        <v>81.02180044740243</v>
      </c>
      <c r="F12" s="116">
        <v>116068.2</v>
      </c>
      <c r="G12" s="116">
        <v>100649.1</v>
      </c>
      <c r="H12" s="116">
        <f aca="true" t="shared" si="3" ref="H12:H18">G12/F12*100</f>
        <v>86.7154827937368</v>
      </c>
      <c r="I12" s="172">
        <f t="shared" si="0"/>
        <v>260010.2</v>
      </c>
      <c r="J12" s="172">
        <f t="shared" si="0"/>
        <v>217273.5</v>
      </c>
      <c r="K12" s="169">
        <f t="shared" si="1"/>
        <v>83.5634525107092</v>
      </c>
    </row>
    <row r="13" spans="1:11" ht="12.75">
      <c r="A13" s="170" t="s">
        <v>91</v>
      </c>
      <c r="B13" s="171" t="s">
        <v>92</v>
      </c>
      <c r="C13" s="115">
        <v>22.7</v>
      </c>
      <c r="D13" s="115">
        <v>7</v>
      </c>
      <c r="E13" s="115">
        <f t="shared" si="2"/>
        <v>30.837004405286343</v>
      </c>
      <c r="F13" s="116">
        <v>0</v>
      </c>
      <c r="G13" s="116">
        <v>0</v>
      </c>
      <c r="H13" s="116">
        <v>0</v>
      </c>
      <c r="I13" s="172">
        <f t="shared" si="0"/>
        <v>22.7</v>
      </c>
      <c r="J13" s="172">
        <f t="shared" si="0"/>
        <v>7</v>
      </c>
      <c r="K13" s="169">
        <f t="shared" si="1"/>
        <v>30.837004405286343</v>
      </c>
    </row>
    <row r="14" spans="1:11" ht="12.75">
      <c r="A14" s="170" t="s">
        <v>93</v>
      </c>
      <c r="B14" s="171" t="s">
        <v>94</v>
      </c>
      <c r="C14" s="115">
        <v>28392</v>
      </c>
      <c r="D14" s="115">
        <v>24550</v>
      </c>
      <c r="E14" s="115">
        <f t="shared" si="2"/>
        <v>86.46801916032685</v>
      </c>
      <c r="F14" s="116">
        <v>594</v>
      </c>
      <c r="G14" s="116">
        <v>502.4</v>
      </c>
      <c r="H14" s="116">
        <f t="shared" si="3"/>
        <v>84.57912457912458</v>
      </c>
      <c r="I14" s="172">
        <f>C14+F14-594</f>
        <v>28392</v>
      </c>
      <c r="J14" s="172">
        <f>D14+G14-594</f>
        <v>24458.4</v>
      </c>
      <c r="K14" s="169">
        <f t="shared" si="1"/>
        <v>86.14539306847</v>
      </c>
    </row>
    <row r="15" spans="1:11" ht="12.75">
      <c r="A15" s="173" t="s">
        <v>95</v>
      </c>
      <c r="B15" s="171" t="s">
        <v>96</v>
      </c>
      <c r="C15" s="115">
        <v>3958.6</v>
      </c>
      <c r="D15" s="115">
        <v>0</v>
      </c>
      <c r="E15" s="115">
        <f t="shared" si="2"/>
        <v>0</v>
      </c>
      <c r="F15" s="116">
        <v>1132</v>
      </c>
      <c r="G15" s="116">
        <v>0</v>
      </c>
      <c r="H15" s="116">
        <f t="shared" si="3"/>
        <v>0</v>
      </c>
      <c r="I15" s="172">
        <f t="shared" si="0"/>
        <v>5090.6</v>
      </c>
      <c r="J15" s="172">
        <f t="shared" si="0"/>
        <v>0</v>
      </c>
      <c r="K15" s="169">
        <f t="shared" si="1"/>
        <v>0</v>
      </c>
    </row>
    <row r="16" spans="1:11" ht="12.75">
      <c r="A16" s="170" t="s">
        <v>97</v>
      </c>
      <c r="B16" s="171" t="s">
        <v>98</v>
      </c>
      <c r="C16" s="115">
        <v>54245.9</v>
      </c>
      <c r="D16" s="115">
        <v>33664.9</v>
      </c>
      <c r="E16" s="115">
        <f t="shared" si="2"/>
        <v>62.059805441517234</v>
      </c>
      <c r="F16" s="116">
        <v>50611</v>
      </c>
      <c r="G16" s="116">
        <v>35741.8</v>
      </c>
      <c r="H16" s="116">
        <f t="shared" si="3"/>
        <v>70.62061607160499</v>
      </c>
      <c r="I16" s="172">
        <f>C16+F16-80</f>
        <v>104776.9</v>
      </c>
      <c r="J16" s="172">
        <f>D16+G16-80</f>
        <v>69326.70000000001</v>
      </c>
      <c r="K16" s="169">
        <f t="shared" si="1"/>
        <v>66.16601560076698</v>
      </c>
    </row>
    <row r="17" spans="1:11" ht="12.75">
      <c r="A17" s="166" t="s">
        <v>99</v>
      </c>
      <c r="B17" s="167" t="s">
        <v>100</v>
      </c>
      <c r="C17" s="168">
        <f aca="true" t="shared" si="4" ref="C17:J17">C18</f>
        <v>4771.1</v>
      </c>
      <c r="D17" s="168">
        <f t="shared" si="4"/>
        <v>4771.1</v>
      </c>
      <c r="E17" s="168">
        <f t="shared" si="4"/>
        <v>100</v>
      </c>
      <c r="F17" s="168">
        <f t="shared" si="4"/>
        <v>4771.1</v>
      </c>
      <c r="G17" s="168">
        <f t="shared" si="4"/>
        <v>3873.9</v>
      </c>
      <c r="H17" s="115">
        <f t="shared" si="4"/>
        <v>81.1951122382679</v>
      </c>
      <c r="I17" s="168">
        <f t="shared" si="4"/>
        <v>4771.1</v>
      </c>
      <c r="J17" s="168">
        <f t="shared" si="4"/>
        <v>3873.8999999999996</v>
      </c>
      <c r="K17" s="174">
        <f t="shared" si="1"/>
        <v>81.19511223826788</v>
      </c>
    </row>
    <row r="18" spans="1:11" ht="12.75">
      <c r="A18" s="170" t="s">
        <v>101</v>
      </c>
      <c r="B18" s="171" t="s">
        <v>102</v>
      </c>
      <c r="C18" s="115">
        <v>4771.1</v>
      </c>
      <c r="D18" s="115">
        <v>4771.1</v>
      </c>
      <c r="E18" s="115">
        <f t="shared" si="2"/>
        <v>100</v>
      </c>
      <c r="F18" s="116">
        <v>4771.1</v>
      </c>
      <c r="G18" s="116">
        <v>3873.9</v>
      </c>
      <c r="H18" s="116">
        <f t="shared" si="3"/>
        <v>81.1951122382679</v>
      </c>
      <c r="I18" s="172">
        <f>C18+F18-4771.1</f>
        <v>4771.1</v>
      </c>
      <c r="J18" s="172">
        <f>D18+G18-4771.1</f>
        <v>3873.8999999999996</v>
      </c>
      <c r="K18" s="169">
        <f t="shared" si="1"/>
        <v>81.19511223826788</v>
      </c>
    </row>
    <row r="19" spans="1:11" ht="12.75" customHeight="1">
      <c r="A19" s="175" t="s">
        <v>103</v>
      </c>
      <c r="B19" s="176" t="s">
        <v>104</v>
      </c>
      <c r="C19" s="177">
        <f>C22+C23+C21</f>
        <v>14531.8</v>
      </c>
      <c r="D19" s="177">
        <f>D22+D23+D21</f>
        <v>12573.599999999999</v>
      </c>
      <c r="E19" s="177">
        <f>D19/C19*100</f>
        <v>86.52472508567416</v>
      </c>
      <c r="F19" s="177">
        <f>F22+F23+F21</f>
        <v>9863.2</v>
      </c>
      <c r="G19" s="177">
        <f>G22+G23+G21</f>
        <v>5437.4</v>
      </c>
      <c r="H19" s="177">
        <f>G19/F19*100</f>
        <v>55.128153134885224</v>
      </c>
      <c r="I19" s="177">
        <f>I22+I23+I21</f>
        <v>21251</v>
      </c>
      <c r="J19" s="177">
        <f>SUM(J21:J23)</f>
        <v>14956.699999999999</v>
      </c>
      <c r="K19" s="177">
        <f>J19/I19*100</f>
        <v>70.38115853371606</v>
      </c>
    </row>
    <row r="20" spans="1:11" ht="12.75" customHeight="1">
      <c r="A20" s="175"/>
      <c r="B20" s="176"/>
      <c r="C20" s="177"/>
      <c r="D20" s="177"/>
      <c r="E20" s="177"/>
      <c r="F20" s="177"/>
      <c r="G20" s="177"/>
      <c r="H20" s="177"/>
      <c r="I20" s="177"/>
      <c r="J20" s="177"/>
      <c r="K20" s="177"/>
    </row>
    <row r="21" spans="1:11" ht="12.75">
      <c r="A21" s="173" t="s">
        <v>105</v>
      </c>
      <c r="B21" s="171" t="s">
        <v>106</v>
      </c>
      <c r="C21" s="115">
        <v>4578.2</v>
      </c>
      <c r="D21" s="115">
        <v>3964.2</v>
      </c>
      <c r="E21" s="115">
        <f aca="true" t="shared" si="5" ref="E21:E99">D21/C21*100</f>
        <v>86.58861561312307</v>
      </c>
      <c r="F21" s="116">
        <v>619</v>
      </c>
      <c r="G21" s="116">
        <v>527.4</v>
      </c>
      <c r="H21" s="116">
        <f>G21/F21*100</f>
        <v>85.20193861066235</v>
      </c>
      <c r="I21" s="172">
        <f>C21+F21-619</f>
        <v>4578.2</v>
      </c>
      <c r="J21" s="172">
        <f>D21+G21-619</f>
        <v>3872.5999999999995</v>
      </c>
      <c r="K21" s="169">
        <f>J21/I21*100</f>
        <v>84.58782927788214</v>
      </c>
    </row>
    <row r="22" spans="1:11" ht="12.75">
      <c r="A22" s="170" t="s">
        <v>107</v>
      </c>
      <c r="B22" s="171" t="s">
        <v>108</v>
      </c>
      <c r="C22" s="115">
        <v>9665</v>
      </c>
      <c r="D22" s="115">
        <v>8388</v>
      </c>
      <c r="E22" s="115">
        <f t="shared" si="5"/>
        <v>86.78737713398861</v>
      </c>
      <c r="F22" s="116">
        <v>9204.2</v>
      </c>
      <c r="G22" s="116">
        <v>4910</v>
      </c>
      <c r="H22" s="116">
        <f>G22/F22*100</f>
        <v>53.34521196844918</v>
      </c>
      <c r="I22" s="172">
        <f>C22+F22-2485</f>
        <v>16384.2</v>
      </c>
      <c r="J22" s="172">
        <f>D22+G22-2395.3</f>
        <v>10902.7</v>
      </c>
      <c r="K22" s="169">
        <f>J22/I22*100</f>
        <v>66.5439875001526</v>
      </c>
    </row>
    <row r="23" spans="1:11" ht="22.5">
      <c r="A23" s="173" t="s">
        <v>109</v>
      </c>
      <c r="B23" s="171" t="s">
        <v>110</v>
      </c>
      <c r="C23" s="115">
        <v>288.6</v>
      </c>
      <c r="D23" s="115">
        <v>221.4</v>
      </c>
      <c r="E23" s="115">
        <f t="shared" si="5"/>
        <v>76.71517671517671</v>
      </c>
      <c r="F23" s="116">
        <v>40</v>
      </c>
      <c r="G23" s="116">
        <v>0</v>
      </c>
      <c r="H23" s="116">
        <v>0</v>
      </c>
      <c r="I23" s="172">
        <f>C23+F23-40</f>
        <v>288.6</v>
      </c>
      <c r="J23" s="172">
        <f>D23+G23-40</f>
        <v>181.4</v>
      </c>
      <c r="K23" s="169">
        <f>J23/I23*100</f>
        <v>62.85516285516285</v>
      </c>
    </row>
    <row r="24" spans="1:11" ht="12.75">
      <c r="A24" s="166" t="s">
        <v>111</v>
      </c>
      <c r="B24" s="167" t="s">
        <v>112</v>
      </c>
      <c r="C24" s="168">
        <f>SUM(C25:C41)</f>
        <v>257214.10000000003</v>
      </c>
      <c r="D24" s="168">
        <f>SUM(D25:D41)</f>
        <v>202299.3</v>
      </c>
      <c r="E24" s="168">
        <f>D24/C24*100</f>
        <v>78.6501595363551</v>
      </c>
      <c r="F24" s="168">
        <f>SUM(F25:F41)</f>
        <v>139118.1</v>
      </c>
      <c r="G24" s="168">
        <f>SUM(G25:G41)</f>
        <v>124845.29999999999</v>
      </c>
      <c r="H24" s="116">
        <f>G24/F24*100</f>
        <v>89.74051543257131</v>
      </c>
      <c r="I24" s="168">
        <f>SUM(I25:I41)</f>
        <v>312914.3</v>
      </c>
      <c r="J24" s="168">
        <f>SUM(J25:J41)</f>
        <v>245730.29999999996</v>
      </c>
      <c r="K24" s="169">
        <f t="shared" si="1"/>
        <v>78.52958461789696</v>
      </c>
    </row>
    <row r="25" spans="1:11" ht="22.5">
      <c r="A25" s="173" t="s">
        <v>113</v>
      </c>
      <c r="B25" s="171" t="s">
        <v>114</v>
      </c>
      <c r="C25" s="115">
        <v>11977.1</v>
      </c>
      <c r="D25" s="115">
        <v>9866.7</v>
      </c>
      <c r="E25" s="115">
        <f t="shared" si="5"/>
        <v>82.37970794265725</v>
      </c>
      <c r="F25" s="115">
        <v>11763.4</v>
      </c>
      <c r="G25" s="116">
        <v>10332</v>
      </c>
      <c r="H25" s="116">
        <f>G25/F25*100</f>
        <v>87.831749324175</v>
      </c>
      <c r="I25" s="172">
        <f>C25+F25-8559.8</f>
        <v>15180.7</v>
      </c>
      <c r="J25" s="172">
        <f>D25+G25-7569.1</f>
        <v>12629.6</v>
      </c>
      <c r="K25" s="169">
        <f t="shared" si="1"/>
        <v>83.19510957992713</v>
      </c>
    </row>
    <row r="26" spans="1:11" ht="12.75">
      <c r="A26" s="170" t="s">
        <v>115</v>
      </c>
      <c r="B26" s="171" t="s">
        <v>116</v>
      </c>
      <c r="C26" s="115">
        <v>47028.5</v>
      </c>
      <c r="D26" s="115">
        <v>40532.7</v>
      </c>
      <c r="E26" s="115">
        <f t="shared" si="5"/>
        <v>86.18752458615519</v>
      </c>
      <c r="F26" s="116">
        <v>0</v>
      </c>
      <c r="G26" s="116">
        <v>0</v>
      </c>
      <c r="H26" s="116">
        <v>0</v>
      </c>
      <c r="I26" s="172">
        <f t="shared" si="0"/>
        <v>47028.5</v>
      </c>
      <c r="J26" s="172">
        <f t="shared" si="0"/>
        <v>40532.7</v>
      </c>
      <c r="K26" s="169">
        <f t="shared" si="1"/>
        <v>86.18752458615519</v>
      </c>
    </row>
    <row r="27" spans="1:11" ht="12.75">
      <c r="A27" s="170" t="s">
        <v>117</v>
      </c>
      <c r="B27" s="171" t="s">
        <v>118</v>
      </c>
      <c r="C27" s="115">
        <v>9350</v>
      </c>
      <c r="D27" s="115">
        <v>6796.7</v>
      </c>
      <c r="E27" s="115">
        <f t="shared" si="5"/>
        <v>72.69197860962566</v>
      </c>
      <c r="F27" s="116">
        <v>0</v>
      </c>
      <c r="G27" s="116">
        <v>0</v>
      </c>
      <c r="H27" s="116">
        <v>0</v>
      </c>
      <c r="I27" s="172">
        <f t="shared" si="0"/>
        <v>9350</v>
      </c>
      <c r="J27" s="172">
        <f t="shared" si="0"/>
        <v>6796.7</v>
      </c>
      <c r="K27" s="169">
        <f t="shared" si="1"/>
        <v>72.69197860962566</v>
      </c>
    </row>
    <row r="28" spans="1:11" ht="12.75">
      <c r="A28" s="170" t="s">
        <v>117</v>
      </c>
      <c r="B28" s="171" t="s">
        <v>119</v>
      </c>
      <c r="C28" s="115">
        <v>14885.6</v>
      </c>
      <c r="D28" s="115">
        <v>14398.5</v>
      </c>
      <c r="E28" s="115">
        <f t="shared" si="5"/>
        <v>96.7277100016123</v>
      </c>
      <c r="F28" s="116">
        <v>10606.9</v>
      </c>
      <c r="G28" s="116">
        <v>8796.7</v>
      </c>
      <c r="H28" s="116">
        <f>G28/F28*100</f>
        <v>82.93375067173257</v>
      </c>
      <c r="I28" s="172">
        <f t="shared" si="0"/>
        <v>25492.5</v>
      </c>
      <c r="J28" s="172">
        <f t="shared" si="0"/>
        <v>23195.2</v>
      </c>
      <c r="K28" s="169">
        <f t="shared" si="1"/>
        <v>90.98832990095126</v>
      </c>
    </row>
    <row r="29" spans="1:11" ht="12.75">
      <c r="A29" s="170" t="s">
        <v>117</v>
      </c>
      <c r="B29" s="171" t="s">
        <v>120</v>
      </c>
      <c r="C29" s="115">
        <v>8813</v>
      </c>
      <c r="D29" s="115">
        <v>7243.1</v>
      </c>
      <c r="E29" s="115">
        <f t="shared" si="5"/>
        <v>82.18654260751164</v>
      </c>
      <c r="F29" s="116">
        <v>0</v>
      </c>
      <c r="G29" s="116">
        <v>0</v>
      </c>
      <c r="H29" s="116">
        <v>0</v>
      </c>
      <c r="I29" s="172">
        <f t="shared" si="0"/>
        <v>8813</v>
      </c>
      <c r="J29" s="172">
        <f t="shared" si="0"/>
        <v>7243.1</v>
      </c>
      <c r="K29" s="169">
        <f t="shared" si="1"/>
        <v>82.18654260751164</v>
      </c>
    </row>
    <row r="30" spans="1:11" ht="12.75">
      <c r="A30" s="170" t="s">
        <v>121</v>
      </c>
      <c r="B30" s="171" t="s">
        <v>122</v>
      </c>
      <c r="C30" s="115">
        <v>67212</v>
      </c>
      <c r="D30" s="115">
        <v>63632.4</v>
      </c>
      <c r="E30" s="115">
        <f t="shared" si="5"/>
        <v>94.67416532762007</v>
      </c>
      <c r="F30" s="116">
        <v>66623.6</v>
      </c>
      <c r="G30" s="116">
        <v>66273.5</v>
      </c>
      <c r="H30" s="116">
        <f>G30/F30*100</f>
        <v>99.47451053380483</v>
      </c>
      <c r="I30" s="172">
        <f>C30+F30-62161.4</f>
        <v>71674.20000000001</v>
      </c>
      <c r="J30" s="172">
        <f>D30+G30-62161.3</f>
        <v>67744.59999999999</v>
      </c>
      <c r="K30" s="169">
        <f t="shared" si="1"/>
        <v>94.51741351839293</v>
      </c>
    </row>
    <row r="31" spans="1:11" ht="33.75">
      <c r="A31" s="170" t="s">
        <v>121</v>
      </c>
      <c r="B31" s="178" t="s">
        <v>219</v>
      </c>
      <c r="C31" s="115">
        <v>3039.2</v>
      </c>
      <c r="D31" s="115">
        <v>1316.5</v>
      </c>
      <c r="E31" s="115">
        <f t="shared" si="5"/>
        <v>43.31732034745986</v>
      </c>
      <c r="F31" s="116">
        <v>316.1</v>
      </c>
      <c r="G31" s="116">
        <v>116.5</v>
      </c>
      <c r="H31" s="116">
        <v>0</v>
      </c>
      <c r="I31" s="172">
        <f t="shared" si="0"/>
        <v>3355.2999999999997</v>
      </c>
      <c r="J31" s="172">
        <f t="shared" si="0"/>
        <v>1433</v>
      </c>
      <c r="K31" s="169">
        <f t="shared" si="1"/>
        <v>42.70855065120854</v>
      </c>
    </row>
    <row r="32" spans="1:11" ht="12.75">
      <c r="A32" s="173" t="s">
        <v>121</v>
      </c>
      <c r="B32" s="171" t="s">
        <v>198</v>
      </c>
      <c r="C32" s="115">
        <v>0</v>
      </c>
      <c r="D32" s="115">
        <v>0</v>
      </c>
      <c r="E32" s="115">
        <v>0</v>
      </c>
      <c r="F32" s="116">
        <v>31653.7</v>
      </c>
      <c r="G32" s="116">
        <v>24506.4</v>
      </c>
      <c r="H32" s="116">
        <f>G32/F32*100</f>
        <v>77.42033316800247</v>
      </c>
      <c r="I32" s="172">
        <f>C32+F32</f>
        <v>31653.7</v>
      </c>
      <c r="J32" s="172">
        <f>D32+G32</f>
        <v>24506.4</v>
      </c>
      <c r="K32" s="169">
        <f>J32/I32*100</f>
        <v>77.42033316800247</v>
      </c>
    </row>
    <row r="33" spans="1:11" ht="12.75">
      <c r="A33" s="170" t="s">
        <v>123</v>
      </c>
      <c r="B33" s="171" t="s">
        <v>124</v>
      </c>
      <c r="C33" s="115">
        <v>3848.4</v>
      </c>
      <c r="D33" s="115">
        <v>2858.7</v>
      </c>
      <c r="E33" s="115">
        <f t="shared" si="5"/>
        <v>74.28281883380106</v>
      </c>
      <c r="F33" s="116">
        <v>3904.5</v>
      </c>
      <c r="G33" s="116">
        <v>3428.4</v>
      </c>
      <c r="H33" s="116">
        <f>G33/F33*100</f>
        <v>87.80637725701115</v>
      </c>
      <c r="I33" s="172">
        <f t="shared" si="0"/>
        <v>7752.9</v>
      </c>
      <c r="J33" s="172">
        <f t="shared" si="0"/>
        <v>6287.1</v>
      </c>
      <c r="K33" s="169">
        <f t="shared" si="1"/>
        <v>81.093526293387</v>
      </c>
    </row>
    <row r="34" spans="1:11" ht="12.75">
      <c r="A34" s="170" t="s">
        <v>125</v>
      </c>
      <c r="B34" s="171" t="s">
        <v>126</v>
      </c>
      <c r="C34" s="115">
        <v>4400</v>
      </c>
      <c r="D34" s="115">
        <v>2506.9</v>
      </c>
      <c r="E34" s="115">
        <f t="shared" si="5"/>
        <v>56.974999999999994</v>
      </c>
      <c r="F34" s="116">
        <v>1192.8</v>
      </c>
      <c r="G34" s="116">
        <v>858.4</v>
      </c>
      <c r="H34" s="116">
        <f>G34/F34*100</f>
        <v>71.96512407780014</v>
      </c>
      <c r="I34" s="172">
        <f t="shared" si="0"/>
        <v>5592.8</v>
      </c>
      <c r="J34" s="172">
        <f t="shared" si="0"/>
        <v>3365.3</v>
      </c>
      <c r="K34" s="169">
        <f t="shared" si="1"/>
        <v>60.17200686597054</v>
      </c>
    </row>
    <row r="35" spans="1:11" ht="56.25">
      <c r="A35" s="170" t="s">
        <v>125</v>
      </c>
      <c r="B35" s="178" t="s">
        <v>127</v>
      </c>
      <c r="C35" s="115">
        <v>34344.8</v>
      </c>
      <c r="D35" s="115">
        <v>9989.8</v>
      </c>
      <c r="E35" s="115">
        <f t="shared" si="5"/>
        <v>29.086790431156967</v>
      </c>
      <c r="F35" s="116">
        <v>0</v>
      </c>
      <c r="G35" s="116">
        <v>0</v>
      </c>
      <c r="H35" s="116">
        <v>0</v>
      </c>
      <c r="I35" s="172">
        <f t="shared" si="0"/>
        <v>34344.8</v>
      </c>
      <c r="J35" s="172">
        <f t="shared" si="0"/>
        <v>9989.8</v>
      </c>
      <c r="K35" s="169">
        <f t="shared" si="1"/>
        <v>29.086790431156967</v>
      </c>
    </row>
    <row r="36" spans="1:11" ht="33.75">
      <c r="A36" s="170" t="s">
        <v>125</v>
      </c>
      <c r="B36" s="178" t="s">
        <v>220</v>
      </c>
      <c r="C36" s="115">
        <v>1790</v>
      </c>
      <c r="D36" s="116">
        <v>1754.3</v>
      </c>
      <c r="E36" s="115">
        <f t="shared" si="5"/>
        <v>98.00558659217877</v>
      </c>
      <c r="F36" s="116">
        <v>0</v>
      </c>
      <c r="G36" s="116">
        <v>0</v>
      </c>
      <c r="H36" s="116">
        <v>0</v>
      </c>
      <c r="I36" s="172">
        <f t="shared" si="0"/>
        <v>1790</v>
      </c>
      <c r="J36" s="172">
        <f t="shared" si="0"/>
        <v>1754.3</v>
      </c>
      <c r="K36" s="169">
        <f t="shared" si="1"/>
        <v>98.00558659217877</v>
      </c>
    </row>
    <row r="37" spans="1:11" ht="33.75">
      <c r="A37" s="170" t="s">
        <v>125</v>
      </c>
      <c r="B37" s="178" t="s">
        <v>221</v>
      </c>
      <c r="C37" s="115">
        <v>3000</v>
      </c>
      <c r="D37" s="116">
        <v>2863</v>
      </c>
      <c r="E37" s="115">
        <f t="shared" si="5"/>
        <v>95.43333333333334</v>
      </c>
      <c r="F37" s="116">
        <v>0</v>
      </c>
      <c r="G37" s="116">
        <v>0</v>
      </c>
      <c r="H37" s="116">
        <v>0</v>
      </c>
      <c r="I37" s="172">
        <f t="shared" si="0"/>
        <v>3000</v>
      </c>
      <c r="J37" s="172">
        <f t="shared" si="0"/>
        <v>2863</v>
      </c>
      <c r="K37" s="169">
        <f t="shared" si="1"/>
        <v>95.43333333333334</v>
      </c>
    </row>
    <row r="38" spans="1:11" ht="22.5">
      <c r="A38" s="173" t="s">
        <v>125</v>
      </c>
      <c r="B38" s="178" t="s">
        <v>128</v>
      </c>
      <c r="C38" s="115">
        <v>13201.1</v>
      </c>
      <c r="D38" s="116">
        <v>5820.4</v>
      </c>
      <c r="E38" s="115">
        <f t="shared" si="5"/>
        <v>44.090265205172294</v>
      </c>
      <c r="F38" s="116">
        <v>0</v>
      </c>
      <c r="G38" s="116">
        <v>0</v>
      </c>
      <c r="H38" s="116">
        <v>0</v>
      </c>
      <c r="I38" s="172">
        <f t="shared" si="0"/>
        <v>13201.1</v>
      </c>
      <c r="J38" s="172">
        <f t="shared" si="0"/>
        <v>5820.4</v>
      </c>
      <c r="K38" s="169">
        <f t="shared" si="1"/>
        <v>44.090265205172294</v>
      </c>
    </row>
    <row r="39" spans="1:11" ht="22.5">
      <c r="A39" s="173" t="s">
        <v>125</v>
      </c>
      <c r="B39" s="178" t="s">
        <v>129</v>
      </c>
      <c r="C39" s="115">
        <v>1588.6</v>
      </c>
      <c r="D39" s="116">
        <v>946.2</v>
      </c>
      <c r="E39" s="115">
        <f>D39/C39*100</f>
        <v>59.561878383482316</v>
      </c>
      <c r="F39" s="116">
        <v>0</v>
      </c>
      <c r="G39" s="116">
        <v>0</v>
      </c>
      <c r="H39" s="116">
        <v>0</v>
      </c>
      <c r="I39" s="172">
        <f t="shared" si="0"/>
        <v>1588.6</v>
      </c>
      <c r="J39" s="172">
        <f t="shared" si="0"/>
        <v>946.2</v>
      </c>
      <c r="K39" s="169">
        <f>J39/I39*100</f>
        <v>59.561878383482316</v>
      </c>
    </row>
    <row r="40" spans="1:11" ht="45">
      <c r="A40" s="173" t="s">
        <v>125</v>
      </c>
      <c r="B40" s="178" t="s">
        <v>222</v>
      </c>
      <c r="C40" s="115">
        <v>200</v>
      </c>
      <c r="D40" s="116">
        <v>200</v>
      </c>
      <c r="E40" s="115">
        <f>D40/C40*100</f>
        <v>100</v>
      </c>
      <c r="F40" s="116"/>
      <c r="G40" s="116"/>
      <c r="H40" s="116"/>
      <c r="I40" s="172">
        <f t="shared" si="0"/>
        <v>200</v>
      </c>
      <c r="J40" s="172">
        <f t="shared" si="0"/>
        <v>200</v>
      </c>
      <c r="K40" s="169">
        <f>J40/I40*100</f>
        <v>100</v>
      </c>
    </row>
    <row r="41" spans="1:11" ht="33.75">
      <c r="A41" s="173" t="s">
        <v>125</v>
      </c>
      <c r="B41" s="178" t="s">
        <v>252</v>
      </c>
      <c r="C41" s="115">
        <f>23981.2+7454.6+1100</f>
        <v>32535.800000000003</v>
      </c>
      <c r="D41" s="116">
        <v>31573.4</v>
      </c>
      <c r="E41" s="115">
        <f>D41/C41*100</f>
        <v>97.04202755118976</v>
      </c>
      <c r="F41" s="116">
        <f>7531+4420.5+1105.6</f>
        <v>13057.1</v>
      </c>
      <c r="G41" s="116">
        <v>10533.4</v>
      </c>
      <c r="H41" s="116">
        <f>G41/F41*100</f>
        <v>80.67181839765338</v>
      </c>
      <c r="I41" s="172">
        <f>C41+F41-12696.7</f>
        <v>32896.2</v>
      </c>
      <c r="J41" s="172">
        <f>D41+G41-11683.9</f>
        <v>30422.9</v>
      </c>
      <c r="K41" s="169">
        <f>J41/I41*100</f>
        <v>92.48150242277224</v>
      </c>
    </row>
    <row r="42" spans="1:11" ht="12.75">
      <c r="A42" s="166" t="s">
        <v>130</v>
      </c>
      <c r="B42" s="167" t="s">
        <v>131</v>
      </c>
      <c r="C42" s="168">
        <f>SUM(C43:C69)</f>
        <v>663753.8999999999</v>
      </c>
      <c r="D42" s="168">
        <f>SUM(D43:D69)</f>
        <v>396779.89999999997</v>
      </c>
      <c r="E42" s="168">
        <f>D42/C42*100</f>
        <v>59.77816476859873</v>
      </c>
      <c r="F42" s="172">
        <f>SUM(F43:F68)</f>
        <v>208626.5</v>
      </c>
      <c r="G42" s="172">
        <f>SUM(G43:G68)</f>
        <v>151560.7</v>
      </c>
      <c r="H42" s="172">
        <f>G42/F42*100</f>
        <v>72.64690727208672</v>
      </c>
      <c r="I42" s="168">
        <f>SUM(I43:I69)</f>
        <v>783201.7</v>
      </c>
      <c r="J42" s="168">
        <f>SUM(J43:J69)</f>
        <v>463675.8999999999</v>
      </c>
      <c r="K42" s="169">
        <f t="shared" si="1"/>
        <v>59.20261664396285</v>
      </c>
    </row>
    <row r="43" spans="1:11" ht="12.75">
      <c r="A43" s="170" t="s">
        <v>132</v>
      </c>
      <c r="B43" s="171" t="s">
        <v>133</v>
      </c>
      <c r="C43" s="115">
        <v>959.3</v>
      </c>
      <c r="D43" s="115">
        <v>806.6</v>
      </c>
      <c r="E43" s="115">
        <f t="shared" si="5"/>
        <v>84.08214322943813</v>
      </c>
      <c r="F43" s="116">
        <v>43419.5</v>
      </c>
      <c r="G43" s="116">
        <v>37317.9</v>
      </c>
      <c r="H43" s="116">
        <f>G43/F43*100</f>
        <v>85.94732781354</v>
      </c>
      <c r="I43" s="172">
        <f t="shared" si="0"/>
        <v>44378.8</v>
      </c>
      <c r="J43" s="172">
        <f t="shared" si="0"/>
        <v>38124.5</v>
      </c>
      <c r="K43" s="169">
        <f t="shared" si="1"/>
        <v>85.90700965325786</v>
      </c>
    </row>
    <row r="44" spans="1:11" ht="45">
      <c r="A44" s="170" t="s">
        <v>132</v>
      </c>
      <c r="B44" s="171" t="s">
        <v>199</v>
      </c>
      <c r="C44" s="115">
        <v>194897.7</v>
      </c>
      <c r="D44" s="115">
        <v>85053.6</v>
      </c>
      <c r="E44" s="115">
        <f t="shared" si="5"/>
        <v>43.64012505021865</v>
      </c>
      <c r="F44" s="116">
        <v>0</v>
      </c>
      <c r="G44" s="116">
        <v>0</v>
      </c>
      <c r="H44" s="116">
        <v>0</v>
      </c>
      <c r="I44" s="172">
        <f>C44+F44</f>
        <v>194897.7</v>
      </c>
      <c r="J44" s="172">
        <f>D44+G44</f>
        <v>85053.6</v>
      </c>
      <c r="K44" s="169">
        <f t="shared" si="1"/>
        <v>43.64012505021865</v>
      </c>
    </row>
    <row r="45" spans="1:11" ht="33.75">
      <c r="A45" s="170" t="s">
        <v>132</v>
      </c>
      <c r="B45" s="171" t="s">
        <v>223</v>
      </c>
      <c r="C45" s="115">
        <v>43458</v>
      </c>
      <c r="D45" s="115">
        <v>16105.9</v>
      </c>
      <c r="E45" s="115">
        <f t="shared" si="5"/>
        <v>37.060840351603844</v>
      </c>
      <c r="F45" s="116">
        <v>0</v>
      </c>
      <c r="G45" s="116">
        <v>0</v>
      </c>
      <c r="H45" s="116">
        <v>0</v>
      </c>
      <c r="I45" s="172">
        <f t="shared" si="0"/>
        <v>43458</v>
      </c>
      <c r="J45" s="172">
        <f t="shared" si="0"/>
        <v>16105.9</v>
      </c>
      <c r="K45" s="169">
        <f t="shared" si="1"/>
        <v>37.060840351603844</v>
      </c>
    </row>
    <row r="46" spans="1:11" ht="33.75">
      <c r="A46" s="173" t="s">
        <v>132</v>
      </c>
      <c r="B46" s="171" t="s">
        <v>237</v>
      </c>
      <c r="C46" s="115">
        <f>25104.5-16528-3216.2</f>
        <v>5360.3</v>
      </c>
      <c r="D46" s="115">
        <f>23115.8-14539.3-3216.2</f>
        <v>5360.3</v>
      </c>
      <c r="E46" s="115">
        <f t="shared" si="5"/>
        <v>100</v>
      </c>
      <c r="F46" s="116">
        <f>6254.2+2.8</f>
        <v>6257</v>
      </c>
      <c r="G46" s="116">
        <v>5324</v>
      </c>
      <c r="H46" s="116">
        <f aca="true" t="shared" si="6" ref="H46:H52">G46/F46*100</f>
        <v>85.08870065526611</v>
      </c>
      <c r="I46" s="172">
        <f>C46+F46-5360.3</f>
        <v>6256.999999999999</v>
      </c>
      <c r="J46" s="172">
        <f>D46+G46-5360.3</f>
        <v>5323.999999999999</v>
      </c>
      <c r="K46" s="169">
        <f t="shared" si="1"/>
        <v>85.08870065526611</v>
      </c>
    </row>
    <row r="47" spans="1:11" ht="22.5">
      <c r="A47" s="173" t="s">
        <v>132</v>
      </c>
      <c r="B47" s="171" t="s">
        <v>238</v>
      </c>
      <c r="C47" s="115">
        <v>3216.2</v>
      </c>
      <c r="D47" s="115">
        <v>3215.4</v>
      </c>
      <c r="E47" s="115">
        <f t="shared" si="5"/>
        <v>99.97512592500468</v>
      </c>
      <c r="F47" s="116">
        <v>3841.8</v>
      </c>
      <c r="G47" s="116">
        <v>3677.9</v>
      </c>
      <c r="H47" s="116">
        <f t="shared" si="6"/>
        <v>95.7337706283513</v>
      </c>
      <c r="I47" s="172">
        <f>C47+F47-3216.2</f>
        <v>3841.8</v>
      </c>
      <c r="J47" s="172">
        <f>D47+G47-3215.4</f>
        <v>3677.9</v>
      </c>
      <c r="K47" s="169">
        <f t="shared" si="1"/>
        <v>95.7337706283513</v>
      </c>
    </row>
    <row r="48" spans="1:11" ht="22.5">
      <c r="A48" s="173" t="s">
        <v>132</v>
      </c>
      <c r="B48" s="171" t="s">
        <v>239</v>
      </c>
      <c r="C48" s="115">
        <v>17121.5</v>
      </c>
      <c r="D48" s="115">
        <v>17121.5</v>
      </c>
      <c r="E48" s="115">
        <f t="shared" si="5"/>
        <v>100</v>
      </c>
      <c r="F48" s="116">
        <v>18409</v>
      </c>
      <c r="G48" s="116">
        <v>18409</v>
      </c>
      <c r="H48" s="116">
        <f t="shared" si="6"/>
        <v>100</v>
      </c>
      <c r="I48" s="172">
        <f>C48+F48-17121.5</f>
        <v>18409</v>
      </c>
      <c r="J48" s="172">
        <f>D48+G48-17121.5</f>
        <v>18409</v>
      </c>
      <c r="K48" s="169">
        <f t="shared" si="1"/>
        <v>100</v>
      </c>
    </row>
    <row r="49" spans="1:11" ht="33.75">
      <c r="A49" s="173" t="s">
        <v>132</v>
      </c>
      <c r="B49" s="171" t="s">
        <v>224</v>
      </c>
      <c r="C49" s="115">
        <v>0</v>
      </c>
      <c r="D49" s="115">
        <v>0</v>
      </c>
      <c r="E49" s="115">
        <v>0</v>
      </c>
      <c r="F49" s="116">
        <v>363.3</v>
      </c>
      <c r="G49" s="116">
        <v>100</v>
      </c>
      <c r="H49" s="116">
        <f t="shared" si="6"/>
        <v>27.52546105147261</v>
      </c>
      <c r="I49" s="172">
        <f t="shared" si="0"/>
        <v>363.3</v>
      </c>
      <c r="J49" s="172">
        <f t="shared" si="0"/>
        <v>100</v>
      </c>
      <c r="K49" s="169">
        <f t="shared" si="1"/>
        <v>27.52546105147261</v>
      </c>
    </row>
    <row r="50" spans="1:11" ht="33.75">
      <c r="A50" s="170" t="s">
        <v>134</v>
      </c>
      <c r="B50" s="171" t="s">
        <v>135</v>
      </c>
      <c r="C50" s="115">
        <v>5786.2</v>
      </c>
      <c r="D50" s="115">
        <v>4509.3</v>
      </c>
      <c r="E50" s="115">
        <f t="shared" si="5"/>
        <v>77.93197608102037</v>
      </c>
      <c r="F50" s="116">
        <v>6512</v>
      </c>
      <c r="G50" s="116">
        <v>5237.9</v>
      </c>
      <c r="H50" s="116">
        <f t="shared" si="6"/>
        <v>80.4345823095823</v>
      </c>
      <c r="I50" s="172">
        <f t="shared" si="0"/>
        <v>12298.2</v>
      </c>
      <c r="J50" s="172">
        <f t="shared" si="0"/>
        <v>9747.2</v>
      </c>
      <c r="K50" s="169">
        <f t="shared" si="1"/>
        <v>79.25712705924445</v>
      </c>
    </row>
    <row r="51" spans="1:11" ht="33.75">
      <c r="A51" s="170" t="s">
        <v>134</v>
      </c>
      <c r="B51" s="171" t="s">
        <v>136</v>
      </c>
      <c r="C51" s="115">
        <v>10419.8</v>
      </c>
      <c r="D51" s="87">
        <v>6682.7</v>
      </c>
      <c r="E51" s="115">
        <f t="shared" si="5"/>
        <v>64.13462830380622</v>
      </c>
      <c r="F51" s="116">
        <v>794</v>
      </c>
      <c r="G51" s="116">
        <v>793.4</v>
      </c>
      <c r="H51" s="116">
        <f t="shared" si="6"/>
        <v>99.92443324937027</v>
      </c>
      <c r="I51" s="172">
        <f t="shared" si="0"/>
        <v>11213.8</v>
      </c>
      <c r="J51" s="172">
        <f t="shared" si="0"/>
        <v>7476.099999999999</v>
      </c>
      <c r="K51" s="169">
        <f t="shared" si="1"/>
        <v>66.66874743619469</v>
      </c>
    </row>
    <row r="52" spans="1:11" ht="12.75">
      <c r="A52" s="170" t="s">
        <v>134</v>
      </c>
      <c r="B52" s="171" t="s">
        <v>137</v>
      </c>
      <c r="C52" s="115">
        <v>8240.4</v>
      </c>
      <c r="D52" s="87">
        <v>8047</v>
      </c>
      <c r="E52" s="115">
        <f>D52/C52*100</f>
        <v>97.65302655210913</v>
      </c>
      <c r="F52" s="116">
        <v>19820.8</v>
      </c>
      <c r="G52" s="116">
        <v>13944.1</v>
      </c>
      <c r="H52" s="116">
        <f t="shared" si="6"/>
        <v>70.35084355828222</v>
      </c>
      <c r="I52" s="172">
        <f>C52+F52-1365.4-5000</f>
        <v>21695.799999999996</v>
      </c>
      <c r="J52" s="172">
        <f>D52+G52-1365.4-4941.9</f>
        <v>15683.799999999997</v>
      </c>
      <c r="K52" s="169">
        <f>J52/I52*100</f>
        <v>72.2895675660727</v>
      </c>
    </row>
    <row r="53" spans="1:11" ht="33.75">
      <c r="A53" s="170" t="s">
        <v>134</v>
      </c>
      <c r="B53" s="171" t="s">
        <v>205</v>
      </c>
      <c r="C53" s="115">
        <v>45188.1</v>
      </c>
      <c r="D53" s="87">
        <v>24832.2</v>
      </c>
      <c r="E53" s="115">
        <f>D53/C53*100</f>
        <v>54.95296328015562</v>
      </c>
      <c r="F53" s="116">
        <v>0</v>
      </c>
      <c r="G53" s="116">
        <v>0</v>
      </c>
      <c r="H53" s="116">
        <v>0</v>
      </c>
      <c r="I53" s="172">
        <f>C53+F53</f>
        <v>45188.1</v>
      </c>
      <c r="J53" s="172">
        <f>D53+G53</f>
        <v>24832.2</v>
      </c>
      <c r="K53" s="169">
        <f>J53/I53*100</f>
        <v>54.95296328015562</v>
      </c>
    </row>
    <row r="54" spans="1:11" ht="33.75">
      <c r="A54" s="173" t="s">
        <v>134</v>
      </c>
      <c r="B54" s="171" t="s">
        <v>225</v>
      </c>
      <c r="C54" s="115">
        <v>456.5</v>
      </c>
      <c r="D54" s="87">
        <v>250.8</v>
      </c>
      <c r="E54" s="115">
        <f t="shared" si="5"/>
        <v>54.93975903614457</v>
      </c>
      <c r="F54" s="116">
        <v>0</v>
      </c>
      <c r="G54" s="116">
        <v>0</v>
      </c>
      <c r="H54" s="116">
        <v>0</v>
      </c>
      <c r="I54" s="179">
        <f>C54+F54</f>
        <v>456.5</v>
      </c>
      <c r="J54" s="172">
        <f>D54+G54</f>
        <v>250.8</v>
      </c>
      <c r="K54" s="172">
        <f>J54/I54*100</f>
        <v>54.93975903614457</v>
      </c>
    </row>
    <row r="55" spans="1:11" ht="33.75">
      <c r="A55" s="170" t="s">
        <v>134</v>
      </c>
      <c r="B55" s="178" t="s">
        <v>200</v>
      </c>
      <c r="C55" s="115">
        <v>51927.6</v>
      </c>
      <c r="D55" s="87">
        <v>40384.2</v>
      </c>
      <c r="E55" s="115">
        <f t="shared" si="5"/>
        <v>77.77020312897187</v>
      </c>
      <c r="F55" s="116"/>
      <c r="G55" s="116">
        <v>0</v>
      </c>
      <c r="H55" s="116">
        <v>0</v>
      </c>
      <c r="I55" s="172">
        <f t="shared" si="0"/>
        <v>51927.6</v>
      </c>
      <c r="J55" s="172">
        <f t="shared" si="0"/>
        <v>40384.2</v>
      </c>
      <c r="K55" s="169">
        <f t="shared" si="1"/>
        <v>77.77020312897187</v>
      </c>
    </row>
    <row r="56" spans="1:11" ht="33.75">
      <c r="A56" s="170" t="s">
        <v>134</v>
      </c>
      <c r="B56" s="178" t="s">
        <v>201</v>
      </c>
      <c r="C56" s="115">
        <v>173661.8</v>
      </c>
      <c r="D56" s="115">
        <v>106243.4</v>
      </c>
      <c r="E56" s="115">
        <f t="shared" si="5"/>
        <v>61.17833628351198</v>
      </c>
      <c r="F56" s="116">
        <v>0</v>
      </c>
      <c r="G56" s="116">
        <v>0</v>
      </c>
      <c r="H56" s="116">
        <v>0</v>
      </c>
      <c r="I56" s="172">
        <f t="shared" si="0"/>
        <v>173661.8</v>
      </c>
      <c r="J56" s="172">
        <f t="shared" si="0"/>
        <v>106243.4</v>
      </c>
      <c r="K56" s="169">
        <f t="shared" si="1"/>
        <v>61.17833628351198</v>
      </c>
    </row>
    <row r="57" spans="1:11" ht="56.25">
      <c r="A57" s="173" t="s">
        <v>134</v>
      </c>
      <c r="B57" s="178" t="s">
        <v>213</v>
      </c>
      <c r="C57" s="115">
        <v>11057</v>
      </c>
      <c r="D57" s="87">
        <v>9500.3</v>
      </c>
      <c r="E57" s="115">
        <f t="shared" si="5"/>
        <v>85.92113593198877</v>
      </c>
      <c r="F57" s="116">
        <v>5525.1</v>
      </c>
      <c r="G57" s="116">
        <v>3414.2</v>
      </c>
      <c r="H57" s="116">
        <f>G57/F57*100</f>
        <v>61.79435666322781</v>
      </c>
      <c r="I57" s="172">
        <f>C57+F57-5525.1</f>
        <v>11056.999999999998</v>
      </c>
      <c r="J57" s="172">
        <f>D57+G57-4275</f>
        <v>8639.5</v>
      </c>
      <c r="K57" s="169">
        <f t="shared" si="1"/>
        <v>78.13602242923037</v>
      </c>
    </row>
    <row r="58" spans="1:11" ht="56.25">
      <c r="A58" s="173" t="s">
        <v>134</v>
      </c>
      <c r="B58" s="178" t="s">
        <v>214</v>
      </c>
      <c r="C58" s="115">
        <v>35005.7</v>
      </c>
      <c r="D58" s="87">
        <v>31800.7</v>
      </c>
      <c r="E58" s="115">
        <f t="shared" si="5"/>
        <v>90.84434820614929</v>
      </c>
      <c r="F58" s="116">
        <v>35508.3</v>
      </c>
      <c r="G58" s="116">
        <v>10949.1</v>
      </c>
      <c r="H58" s="116">
        <f>G58/F58*100</f>
        <v>30.835325825229592</v>
      </c>
      <c r="I58" s="172">
        <f>C58+F58-35005.7</f>
        <v>35508.3</v>
      </c>
      <c r="J58" s="172">
        <f>D58+G58-31800.7</f>
        <v>10949.100000000002</v>
      </c>
      <c r="K58" s="169">
        <f t="shared" si="1"/>
        <v>30.8353258252296</v>
      </c>
    </row>
    <row r="59" spans="1:11" ht="45">
      <c r="A59" s="173" t="s">
        <v>134</v>
      </c>
      <c r="B59" s="178" t="s">
        <v>215</v>
      </c>
      <c r="C59" s="115">
        <v>2235.9</v>
      </c>
      <c r="D59" s="87">
        <v>1957.8</v>
      </c>
      <c r="E59" s="115">
        <f t="shared" si="5"/>
        <v>87.56205554810143</v>
      </c>
      <c r="F59" s="116"/>
      <c r="G59" s="116"/>
      <c r="H59" s="116"/>
      <c r="I59" s="172">
        <f>C59+F59</f>
        <v>2235.9</v>
      </c>
      <c r="J59" s="172">
        <f>D59+G59</f>
        <v>1957.8</v>
      </c>
      <c r="K59" s="169">
        <f t="shared" si="1"/>
        <v>87.56205554810143</v>
      </c>
    </row>
    <row r="60" spans="1:11" ht="22.5">
      <c r="A60" s="170" t="s">
        <v>134</v>
      </c>
      <c r="B60" s="171" t="s">
        <v>226</v>
      </c>
      <c r="C60" s="115">
        <v>5024.7</v>
      </c>
      <c r="D60" s="115">
        <v>2602.8</v>
      </c>
      <c r="E60" s="115">
        <f t="shared" si="5"/>
        <v>51.80010746910264</v>
      </c>
      <c r="F60" s="116">
        <v>0</v>
      </c>
      <c r="G60" s="116">
        <v>0</v>
      </c>
      <c r="H60" s="116">
        <v>0</v>
      </c>
      <c r="I60" s="172">
        <f t="shared" si="0"/>
        <v>5024.7</v>
      </c>
      <c r="J60" s="172">
        <f t="shared" si="0"/>
        <v>2602.8</v>
      </c>
      <c r="K60" s="169">
        <f t="shared" si="1"/>
        <v>51.80010746910264</v>
      </c>
    </row>
    <row r="61" spans="1:11" ht="22.5">
      <c r="A61" s="170" t="s">
        <v>134</v>
      </c>
      <c r="B61" s="171" t="s">
        <v>227</v>
      </c>
      <c r="C61" s="115">
        <v>5101.3</v>
      </c>
      <c r="D61" s="115">
        <v>4651.8</v>
      </c>
      <c r="E61" s="115">
        <f t="shared" si="5"/>
        <v>91.18852057318722</v>
      </c>
      <c r="F61" s="116">
        <v>0</v>
      </c>
      <c r="G61" s="116">
        <v>0</v>
      </c>
      <c r="H61" s="116">
        <v>0</v>
      </c>
      <c r="I61" s="172">
        <f t="shared" si="0"/>
        <v>5101.3</v>
      </c>
      <c r="J61" s="172">
        <f t="shared" si="0"/>
        <v>4651.8</v>
      </c>
      <c r="K61" s="169">
        <f t="shared" si="1"/>
        <v>91.18852057318722</v>
      </c>
    </row>
    <row r="62" spans="1:11" ht="22.5">
      <c r="A62" s="170" t="s">
        <v>134</v>
      </c>
      <c r="B62" s="171" t="s">
        <v>228</v>
      </c>
      <c r="C62" s="115">
        <v>3391.4</v>
      </c>
      <c r="D62" s="115">
        <v>1271.8</v>
      </c>
      <c r="E62" s="115">
        <f t="shared" si="5"/>
        <v>37.50073715869552</v>
      </c>
      <c r="F62" s="116">
        <v>0</v>
      </c>
      <c r="G62" s="116">
        <v>0</v>
      </c>
      <c r="H62" s="116">
        <v>0</v>
      </c>
      <c r="I62" s="172">
        <f t="shared" si="0"/>
        <v>3391.4</v>
      </c>
      <c r="J62" s="172">
        <f t="shared" si="0"/>
        <v>1271.8</v>
      </c>
      <c r="K62" s="169">
        <f t="shared" si="1"/>
        <v>37.50073715869552</v>
      </c>
    </row>
    <row r="63" spans="1:11" ht="22.5">
      <c r="A63" s="170" t="s">
        <v>134</v>
      </c>
      <c r="B63" s="171" t="s">
        <v>229</v>
      </c>
      <c r="C63" s="115">
        <v>419.2</v>
      </c>
      <c r="D63" s="115">
        <v>193.8</v>
      </c>
      <c r="E63" s="115">
        <f t="shared" si="5"/>
        <v>46.23091603053435</v>
      </c>
      <c r="F63" s="116">
        <v>0</v>
      </c>
      <c r="G63" s="116">
        <v>0</v>
      </c>
      <c r="H63" s="116">
        <v>0</v>
      </c>
      <c r="I63" s="172">
        <f>C63+F63</f>
        <v>419.2</v>
      </c>
      <c r="J63" s="172">
        <f>D63+G63</f>
        <v>193.8</v>
      </c>
      <c r="K63" s="169">
        <f t="shared" si="1"/>
        <v>46.23091603053435</v>
      </c>
    </row>
    <row r="64" spans="1:11" ht="33.75">
      <c r="A64" s="173" t="s">
        <v>134</v>
      </c>
      <c r="B64" s="171" t="s">
        <v>230</v>
      </c>
      <c r="C64" s="115">
        <v>3608.4</v>
      </c>
      <c r="D64" s="115">
        <v>2156.8</v>
      </c>
      <c r="E64" s="115">
        <f t="shared" si="5"/>
        <v>59.771643941913325</v>
      </c>
      <c r="F64" s="116">
        <v>0</v>
      </c>
      <c r="G64" s="116">
        <v>0</v>
      </c>
      <c r="H64" s="116">
        <v>0</v>
      </c>
      <c r="I64" s="172">
        <f t="shared" si="0"/>
        <v>3608.4</v>
      </c>
      <c r="J64" s="172">
        <f t="shared" si="0"/>
        <v>2156.8</v>
      </c>
      <c r="K64" s="169">
        <f t="shared" si="1"/>
        <v>59.771643941913325</v>
      </c>
    </row>
    <row r="65" spans="1:11" ht="33.75">
      <c r="A65" s="170" t="s">
        <v>138</v>
      </c>
      <c r="B65" s="171" t="s">
        <v>206</v>
      </c>
      <c r="C65" s="115">
        <v>5800</v>
      </c>
      <c r="D65" s="115">
        <v>473.1</v>
      </c>
      <c r="E65" s="115">
        <f t="shared" si="5"/>
        <v>8.156896551724138</v>
      </c>
      <c r="F65" s="116">
        <v>0</v>
      </c>
      <c r="G65" s="116">
        <v>0</v>
      </c>
      <c r="H65" s="116">
        <v>0</v>
      </c>
      <c r="I65" s="172">
        <f t="shared" si="0"/>
        <v>5800</v>
      </c>
      <c r="J65" s="172">
        <f t="shared" si="0"/>
        <v>473.1</v>
      </c>
      <c r="K65" s="169">
        <f t="shared" si="1"/>
        <v>8.156896551724138</v>
      </c>
    </row>
    <row r="66" spans="1:11" ht="22.5">
      <c r="A66" s="173" t="s">
        <v>138</v>
      </c>
      <c r="B66" s="171" t="s">
        <v>238</v>
      </c>
      <c r="C66" s="115">
        <v>2144.1</v>
      </c>
      <c r="D66" s="115">
        <v>2144.1</v>
      </c>
      <c r="E66" s="115">
        <f t="shared" si="5"/>
        <v>100</v>
      </c>
      <c r="F66" s="116">
        <v>2253</v>
      </c>
      <c r="G66" s="116">
        <v>1498.3</v>
      </c>
      <c r="H66" s="116">
        <f>G66/F66*100</f>
        <v>66.50244118952507</v>
      </c>
      <c r="I66" s="172">
        <f>C66+F66-2144.1</f>
        <v>2253.0000000000005</v>
      </c>
      <c r="J66" s="172">
        <f>D66+G66-2144.1</f>
        <v>1498.2999999999997</v>
      </c>
      <c r="K66" s="169">
        <f t="shared" si="1"/>
        <v>66.50244118952506</v>
      </c>
    </row>
    <row r="67" spans="1:11" ht="22.5">
      <c r="A67" s="170" t="s">
        <v>138</v>
      </c>
      <c r="B67" s="171" t="s">
        <v>207</v>
      </c>
      <c r="C67" s="115">
        <v>21440.5</v>
      </c>
      <c r="D67" s="115">
        <v>15150.4</v>
      </c>
      <c r="E67" s="115">
        <f>D67/C67*100</f>
        <v>70.66253119097036</v>
      </c>
      <c r="F67" s="116">
        <v>13528.4</v>
      </c>
      <c r="G67" s="116">
        <v>13528.4</v>
      </c>
      <c r="H67" s="116">
        <f>G67/F67*100</f>
        <v>100</v>
      </c>
      <c r="I67" s="172">
        <f>C67+F67-13440.4</f>
        <v>21528.5</v>
      </c>
      <c r="J67" s="172">
        <f>D67+G67-13440.4</f>
        <v>15238.4</v>
      </c>
      <c r="K67" s="169">
        <f>J67/I67*100</f>
        <v>70.78245116938012</v>
      </c>
    </row>
    <row r="68" spans="1:11" ht="22.5">
      <c r="A68" s="170" t="s">
        <v>138</v>
      </c>
      <c r="B68" s="171" t="s">
        <v>139</v>
      </c>
      <c r="C68" s="115">
        <v>7753.4</v>
      </c>
      <c r="D68" s="115">
        <v>6184.7</v>
      </c>
      <c r="E68" s="115">
        <f t="shared" si="5"/>
        <v>79.76758583331184</v>
      </c>
      <c r="F68" s="116">
        <v>52394.3</v>
      </c>
      <c r="G68" s="116">
        <v>37366.5</v>
      </c>
      <c r="H68" s="116">
        <f>G68/F68*100</f>
        <v>71.31787236397852</v>
      </c>
      <c r="I68" s="172">
        <f>C68+F68-1000</f>
        <v>59147.700000000004</v>
      </c>
      <c r="J68" s="172">
        <f>D68+G68-1000</f>
        <v>42551.2</v>
      </c>
      <c r="K68" s="169">
        <f t="shared" si="1"/>
        <v>71.94058264311207</v>
      </c>
    </row>
    <row r="69" spans="1:11" ht="22.5">
      <c r="A69" s="173" t="s">
        <v>216</v>
      </c>
      <c r="B69" s="171" t="s">
        <v>217</v>
      </c>
      <c r="C69" s="115">
        <v>78.9</v>
      </c>
      <c r="D69" s="115">
        <v>78.9</v>
      </c>
      <c r="E69" s="115">
        <f t="shared" si="5"/>
        <v>100</v>
      </c>
      <c r="F69" s="116"/>
      <c r="G69" s="116"/>
      <c r="H69" s="116"/>
      <c r="I69" s="172">
        <f t="shared" si="0"/>
        <v>78.9</v>
      </c>
      <c r="J69" s="172">
        <f t="shared" si="0"/>
        <v>78.9</v>
      </c>
      <c r="K69" s="169">
        <f t="shared" si="1"/>
        <v>100</v>
      </c>
    </row>
    <row r="70" spans="1:11" ht="12.75">
      <c r="A70" s="180" t="s">
        <v>140</v>
      </c>
      <c r="B70" s="181" t="s">
        <v>141</v>
      </c>
      <c r="C70" s="172">
        <f aca="true" t="shared" si="7" ref="C70:H70">C71</f>
        <v>350</v>
      </c>
      <c r="D70" s="172">
        <f t="shared" si="7"/>
        <v>220</v>
      </c>
      <c r="E70" s="168">
        <f>D70/C70*100</f>
        <v>62.857142857142854</v>
      </c>
      <c r="F70" s="172">
        <f t="shared" si="7"/>
        <v>0</v>
      </c>
      <c r="G70" s="172">
        <f t="shared" si="7"/>
        <v>0</v>
      </c>
      <c r="H70" s="116">
        <f t="shared" si="7"/>
        <v>0</v>
      </c>
      <c r="I70" s="172">
        <f t="shared" si="0"/>
        <v>350</v>
      </c>
      <c r="J70" s="172">
        <f t="shared" si="0"/>
        <v>220</v>
      </c>
      <c r="K70" s="169">
        <f t="shared" si="1"/>
        <v>62.857142857142854</v>
      </c>
    </row>
    <row r="71" spans="1:11" ht="22.5">
      <c r="A71" s="173" t="s">
        <v>142</v>
      </c>
      <c r="B71" s="182" t="s">
        <v>143</v>
      </c>
      <c r="C71" s="116">
        <v>350</v>
      </c>
      <c r="D71" s="116">
        <v>220</v>
      </c>
      <c r="E71" s="115">
        <f t="shared" si="5"/>
        <v>62.857142857142854</v>
      </c>
      <c r="F71" s="116">
        <v>0</v>
      </c>
      <c r="G71" s="116">
        <v>0</v>
      </c>
      <c r="H71" s="116">
        <v>0</v>
      </c>
      <c r="I71" s="172">
        <f t="shared" si="0"/>
        <v>350</v>
      </c>
      <c r="J71" s="172">
        <f t="shared" si="0"/>
        <v>220</v>
      </c>
      <c r="K71" s="169">
        <f t="shared" si="1"/>
        <v>62.857142857142854</v>
      </c>
    </row>
    <row r="72" spans="1:11" ht="12.75">
      <c r="A72" s="166" t="s">
        <v>144</v>
      </c>
      <c r="B72" s="167" t="s">
        <v>145</v>
      </c>
      <c r="C72" s="168">
        <f>SUM(C73:C83)</f>
        <v>2021883.5</v>
      </c>
      <c r="D72" s="168">
        <f>SUM(D73:D83)</f>
        <v>1407525.7</v>
      </c>
      <c r="E72" s="168">
        <f>D72/C72*100</f>
        <v>69.61457967286442</v>
      </c>
      <c r="F72" s="172">
        <f>F73+F76+F77+F82+F83</f>
        <v>5197.2</v>
      </c>
      <c r="G72" s="172">
        <f>SUM(G73:G83)</f>
        <v>4017</v>
      </c>
      <c r="H72" s="116">
        <f>G72/F72*100</f>
        <v>77.29161856384206</v>
      </c>
      <c r="I72" s="168">
        <f>SUM(I73:I83)</f>
        <v>2027080.7</v>
      </c>
      <c r="J72" s="168">
        <f>SUM(J73:J83)</f>
        <v>1411542.7</v>
      </c>
      <c r="K72" s="169">
        <f t="shared" si="1"/>
        <v>69.63426271090243</v>
      </c>
    </row>
    <row r="73" spans="1:11" ht="12.75">
      <c r="A73" s="170" t="s">
        <v>146</v>
      </c>
      <c r="B73" s="171" t="s">
        <v>147</v>
      </c>
      <c r="C73" s="115">
        <f>384866.3-C74-C75</f>
        <v>370221.8</v>
      </c>
      <c r="D73" s="115">
        <f>333300.3-D74-D75</f>
        <v>322302.6</v>
      </c>
      <c r="E73" s="115">
        <f t="shared" si="5"/>
        <v>87.05662389410888</v>
      </c>
      <c r="F73" s="116">
        <v>0</v>
      </c>
      <c r="G73" s="116">
        <v>0</v>
      </c>
      <c r="H73" s="116">
        <v>0</v>
      </c>
      <c r="I73" s="172">
        <f t="shared" si="0"/>
        <v>370221.8</v>
      </c>
      <c r="J73" s="172">
        <f t="shared" si="0"/>
        <v>322302.6</v>
      </c>
      <c r="K73" s="169">
        <f t="shared" si="1"/>
        <v>87.05662389410888</v>
      </c>
    </row>
    <row r="74" spans="1:11" ht="33.75">
      <c r="A74" s="173" t="s">
        <v>146</v>
      </c>
      <c r="B74" s="171" t="s">
        <v>208</v>
      </c>
      <c r="C74" s="115">
        <v>4529.9</v>
      </c>
      <c r="D74" s="115">
        <v>4523.9</v>
      </c>
      <c r="E74" s="115">
        <f t="shared" si="5"/>
        <v>99.86754674496126</v>
      </c>
      <c r="F74" s="116"/>
      <c r="G74" s="116"/>
      <c r="H74" s="116"/>
      <c r="I74" s="172">
        <f t="shared" si="0"/>
        <v>4529.9</v>
      </c>
      <c r="J74" s="172">
        <f t="shared" si="0"/>
        <v>4523.9</v>
      </c>
      <c r="K74" s="169">
        <f t="shared" si="1"/>
        <v>99.86754674496126</v>
      </c>
    </row>
    <row r="75" spans="1:11" ht="56.25">
      <c r="A75" s="183" t="s">
        <v>146</v>
      </c>
      <c r="B75" s="184" t="s">
        <v>231</v>
      </c>
      <c r="C75" s="115">
        <v>10114.6</v>
      </c>
      <c r="D75" s="115">
        <v>6473.8</v>
      </c>
      <c r="E75" s="115">
        <f t="shared" si="5"/>
        <v>64.00450833448677</v>
      </c>
      <c r="F75" s="116">
        <v>0</v>
      </c>
      <c r="G75" s="116">
        <v>0</v>
      </c>
      <c r="H75" s="116">
        <v>0</v>
      </c>
      <c r="I75" s="172">
        <f t="shared" si="0"/>
        <v>10114.6</v>
      </c>
      <c r="J75" s="172">
        <f t="shared" si="0"/>
        <v>6473.8</v>
      </c>
      <c r="K75" s="169">
        <f t="shared" si="1"/>
        <v>64.00450833448677</v>
      </c>
    </row>
    <row r="76" spans="1:11" ht="12.75">
      <c r="A76" s="170" t="s">
        <v>148</v>
      </c>
      <c r="B76" s="171" t="s">
        <v>149</v>
      </c>
      <c r="C76" s="115">
        <f>1571835.5-C77-C79-C81-C80-C78</f>
        <v>948727.3</v>
      </c>
      <c r="D76" s="115">
        <f>1017245.8-D77-D78-D79-D80-D81</f>
        <v>818100.5000000001</v>
      </c>
      <c r="E76" s="115">
        <f t="shared" si="5"/>
        <v>86.23136490327622</v>
      </c>
      <c r="F76" s="116">
        <v>0</v>
      </c>
      <c r="G76" s="116">
        <v>0</v>
      </c>
      <c r="H76" s="116">
        <v>0</v>
      </c>
      <c r="I76" s="172">
        <f t="shared" si="0"/>
        <v>948727.3</v>
      </c>
      <c r="J76" s="172">
        <f t="shared" si="0"/>
        <v>818100.5000000001</v>
      </c>
      <c r="K76" s="169">
        <f t="shared" si="1"/>
        <v>86.23136490327622</v>
      </c>
    </row>
    <row r="77" spans="1:11" ht="12.75">
      <c r="A77" s="170" t="s">
        <v>148</v>
      </c>
      <c r="B77" s="171" t="s">
        <v>150</v>
      </c>
      <c r="C77" s="115">
        <v>40118</v>
      </c>
      <c r="D77" s="115">
        <v>32131.4</v>
      </c>
      <c r="E77" s="115">
        <f t="shared" si="5"/>
        <v>80.09222792761355</v>
      </c>
      <c r="F77" s="116">
        <v>0</v>
      </c>
      <c r="G77" s="116">
        <v>0</v>
      </c>
      <c r="H77" s="116">
        <v>0</v>
      </c>
      <c r="I77" s="172">
        <f t="shared" si="0"/>
        <v>40118</v>
      </c>
      <c r="J77" s="172">
        <f t="shared" si="0"/>
        <v>32131.4</v>
      </c>
      <c r="K77" s="169">
        <f t="shared" si="1"/>
        <v>80.09222792761355</v>
      </c>
    </row>
    <row r="78" spans="1:11" ht="33.75">
      <c r="A78" s="173" t="s">
        <v>148</v>
      </c>
      <c r="B78" s="171" t="s">
        <v>208</v>
      </c>
      <c r="C78" s="115">
        <v>13987</v>
      </c>
      <c r="D78" s="115">
        <v>13987</v>
      </c>
      <c r="E78" s="115">
        <f t="shared" si="5"/>
        <v>100</v>
      </c>
      <c r="F78" s="116">
        <v>0</v>
      </c>
      <c r="G78" s="116">
        <v>0</v>
      </c>
      <c r="H78" s="116">
        <v>0</v>
      </c>
      <c r="I78" s="172">
        <f t="shared" si="0"/>
        <v>13987</v>
      </c>
      <c r="J78" s="172">
        <f t="shared" si="0"/>
        <v>13987</v>
      </c>
      <c r="K78" s="169">
        <f t="shared" si="1"/>
        <v>100</v>
      </c>
    </row>
    <row r="79" spans="1:11" ht="22.5">
      <c r="A79" s="170" t="s">
        <v>148</v>
      </c>
      <c r="B79" s="171" t="s">
        <v>232</v>
      </c>
      <c r="C79" s="115">
        <v>135076.4</v>
      </c>
      <c r="D79" s="115">
        <v>36655.7</v>
      </c>
      <c r="E79" s="115">
        <f t="shared" si="5"/>
        <v>27.13701283125698</v>
      </c>
      <c r="F79" s="116">
        <v>0</v>
      </c>
      <c r="G79" s="116">
        <v>0</v>
      </c>
      <c r="H79" s="116">
        <v>0</v>
      </c>
      <c r="I79" s="172">
        <f t="shared" si="0"/>
        <v>135076.4</v>
      </c>
      <c r="J79" s="172">
        <f t="shared" si="0"/>
        <v>36655.7</v>
      </c>
      <c r="K79" s="169">
        <f t="shared" si="1"/>
        <v>27.13701283125698</v>
      </c>
    </row>
    <row r="80" spans="1:11" ht="22.5">
      <c r="A80" s="173" t="s">
        <v>148</v>
      </c>
      <c r="B80" s="171" t="s">
        <v>233</v>
      </c>
      <c r="C80" s="115">
        <v>128</v>
      </c>
      <c r="D80" s="115">
        <v>92.7</v>
      </c>
      <c r="E80" s="115">
        <f t="shared" si="5"/>
        <v>72.421875</v>
      </c>
      <c r="F80" s="116"/>
      <c r="G80" s="116"/>
      <c r="H80" s="116"/>
      <c r="I80" s="172">
        <f t="shared" si="0"/>
        <v>128</v>
      </c>
      <c r="J80" s="172">
        <f t="shared" si="0"/>
        <v>92.7</v>
      </c>
      <c r="K80" s="169">
        <f t="shared" si="1"/>
        <v>72.421875</v>
      </c>
    </row>
    <row r="81" spans="1:11" ht="33.75">
      <c r="A81" s="170" t="s">
        <v>148</v>
      </c>
      <c r="B81" s="171" t="s">
        <v>211</v>
      </c>
      <c r="C81" s="115">
        <v>433798.8</v>
      </c>
      <c r="D81" s="115">
        <v>116278.5</v>
      </c>
      <c r="E81" s="115">
        <f>D81/C81*100</f>
        <v>26.804707620214717</v>
      </c>
      <c r="F81" s="116">
        <v>0</v>
      </c>
      <c r="G81" s="116">
        <v>0</v>
      </c>
      <c r="H81" s="116">
        <v>0</v>
      </c>
      <c r="I81" s="172">
        <f>C81+F81</f>
        <v>433798.8</v>
      </c>
      <c r="J81" s="172">
        <f>D81+G81</f>
        <v>116278.5</v>
      </c>
      <c r="K81" s="169">
        <f>J81/I81*100</f>
        <v>26.804707620214717</v>
      </c>
    </row>
    <row r="82" spans="1:11" ht="12.75">
      <c r="A82" s="170" t="s">
        <v>151</v>
      </c>
      <c r="B82" s="171" t="s">
        <v>152</v>
      </c>
      <c r="C82" s="115">
        <v>20055.2</v>
      </c>
      <c r="D82" s="115">
        <v>19793.8</v>
      </c>
      <c r="E82" s="115">
        <f t="shared" si="5"/>
        <v>98.69659739120029</v>
      </c>
      <c r="F82" s="116">
        <v>5197.2</v>
      </c>
      <c r="G82" s="116">
        <v>4017</v>
      </c>
      <c r="H82" s="116">
        <f>G82/F82*100</f>
        <v>77.29161856384206</v>
      </c>
      <c r="I82" s="172">
        <f t="shared" si="0"/>
        <v>25252.4</v>
      </c>
      <c r="J82" s="172">
        <f t="shared" si="0"/>
        <v>23810.8</v>
      </c>
      <c r="K82" s="169">
        <f t="shared" si="1"/>
        <v>94.29123568452898</v>
      </c>
    </row>
    <row r="83" spans="1:11" ht="12.75">
      <c r="A83" s="170" t="s">
        <v>153</v>
      </c>
      <c r="B83" s="171" t="s">
        <v>154</v>
      </c>
      <c r="C83" s="115">
        <v>45126.5</v>
      </c>
      <c r="D83" s="115">
        <v>37185.8</v>
      </c>
      <c r="E83" s="115">
        <f t="shared" si="5"/>
        <v>82.40346581277078</v>
      </c>
      <c r="F83" s="116">
        <v>0</v>
      </c>
      <c r="G83" s="116">
        <v>0</v>
      </c>
      <c r="H83" s="116">
        <v>0</v>
      </c>
      <c r="I83" s="172">
        <f t="shared" si="0"/>
        <v>45126.5</v>
      </c>
      <c r="J83" s="172">
        <f t="shared" si="0"/>
        <v>37185.8</v>
      </c>
      <c r="K83" s="169">
        <f t="shared" si="1"/>
        <v>82.40346581277078</v>
      </c>
    </row>
    <row r="84" spans="1:11" ht="12.75">
      <c r="A84" s="166" t="s">
        <v>155</v>
      </c>
      <c r="B84" s="167" t="s">
        <v>156</v>
      </c>
      <c r="C84" s="168">
        <f>SUM(C85:C90)</f>
        <v>320549.3</v>
      </c>
      <c r="D84" s="168">
        <f>SUM(D85:D90)</f>
        <v>227465.09999999998</v>
      </c>
      <c r="E84" s="168">
        <f>D84/C84*100</f>
        <v>70.9610346988747</v>
      </c>
      <c r="F84" s="172">
        <f>SUM(F85:F90)</f>
        <v>85136</v>
      </c>
      <c r="G84" s="172">
        <f>SUM(G85:G90)</f>
        <v>69985.6</v>
      </c>
      <c r="H84" s="116">
        <f>G84/F84*100</f>
        <v>82.20447284345049</v>
      </c>
      <c r="I84" s="172">
        <f>SUM(I85:I90)</f>
        <v>395291.19999999995</v>
      </c>
      <c r="J84" s="172">
        <f>SUM(J85:J90)</f>
        <v>287056.6</v>
      </c>
      <c r="K84" s="169">
        <f t="shared" si="1"/>
        <v>72.61902111658443</v>
      </c>
    </row>
    <row r="85" spans="1:11" ht="12.75">
      <c r="A85" s="170" t="s">
        <v>157</v>
      </c>
      <c r="B85" s="171" t="s">
        <v>158</v>
      </c>
      <c r="C85" s="115">
        <f>299389.3-C86-C88-C87</f>
        <v>49519.3</v>
      </c>
      <c r="D85" s="115">
        <f>207451.8-D86-D88-D87</f>
        <v>45831.39999999998</v>
      </c>
      <c r="E85" s="115">
        <f t="shared" si="5"/>
        <v>92.55260070316014</v>
      </c>
      <c r="F85" s="116">
        <f>79273.2-F87</f>
        <v>77348.2</v>
      </c>
      <c r="G85" s="116">
        <f>64539.1-G87</f>
        <v>62794.6</v>
      </c>
      <c r="H85" s="116">
        <f>G85/F85*100</f>
        <v>81.18430680998394</v>
      </c>
      <c r="I85" s="172">
        <f>C85+F85-3117.1</f>
        <v>123750.4</v>
      </c>
      <c r="J85" s="172">
        <f>D85+G85-3117.1</f>
        <v>105508.89999999997</v>
      </c>
      <c r="K85" s="169">
        <f t="shared" si="1"/>
        <v>85.25944158564333</v>
      </c>
    </row>
    <row r="86" spans="1:11" ht="56.25">
      <c r="A86" s="183" t="s">
        <v>157</v>
      </c>
      <c r="B86" s="184" t="s">
        <v>255</v>
      </c>
      <c r="C86" s="115">
        <v>210564.8</v>
      </c>
      <c r="D86" s="115">
        <v>124120.6</v>
      </c>
      <c r="E86" s="115">
        <f t="shared" si="5"/>
        <v>58.94650957804913</v>
      </c>
      <c r="F86" s="116">
        <v>0</v>
      </c>
      <c r="G86" s="116">
        <v>0</v>
      </c>
      <c r="H86" s="116">
        <v>0</v>
      </c>
      <c r="I86" s="172">
        <f>C86+F86</f>
        <v>210564.8</v>
      </c>
      <c r="J86" s="172">
        <f>D86+G86</f>
        <v>124120.6</v>
      </c>
      <c r="K86" s="169">
        <f>J86/I86*100</f>
        <v>58.94650957804913</v>
      </c>
    </row>
    <row r="87" spans="1:11" ht="12.75">
      <c r="A87" s="183" t="s">
        <v>157</v>
      </c>
      <c r="B87" s="184" t="s">
        <v>218</v>
      </c>
      <c r="C87" s="115">
        <v>3905.7</v>
      </c>
      <c r="D87" s="115">
        <v>3527.9</v>
      </c>
      <c r="E87" s="115">
        <f t="shared" si="5"/>
        <v>90.32695803569143</v>
      </c>
      <c r="F87" s="116">
        <v>1925</v>
      </c>
      <c r="G87" s="116">
        <v>1744.5</v>
      </c>
      <c r="H87" s="116">
        <f>G87/F87*100</f>
        <v>90.62337662337663</v>
      </c>
      <c r="I87" s="172">
        <f>C87+F87-1925</f>
        <v>3905.7</v>
      </c>
      <c r="J87" s="172">
        <f>D87+G87-1925</f>
        <v>3347.3999999999996</v>
      </c>
      <c r="K87" s="169">
        <f>J87/I87*100</f>
        <v>85.70550733543283</v>
      </c>
    </row>
    <row r="88" spans="1:11" ht="22.5">
      <c r="A88" s="183" t="s">
        <v>157</v>
      </c>
      <c r="B88" s="184" t="s">
        <v>234</v>
      </c>
      <c r="C88" s="115">
        <v>35399.5</v>
      </c>
      <c r="D88" s="115">
        <v>33971.9</v>
      </c>
      <c r="E88" s="115">
        <f t="shared" si="5"/>
        <v>95.96717467760844</v>
      </c>
      <c r="F88" s="116">
        <v>0</v>
      </c>
      <c r="G88" s="116">
        <v>0</v>
      </c>
      <c r="H88" s="116">
        <v>0</v>
      </c>
      <c r="I88" s="172">
        <f>C88+F88</f>
        <v>35399.5</v>
      </c>
      <c r="J88" s="172">
        <f>D88+G88</f>
        <v>33971.9</v>
      </c>
      <c r="K88" s="169">
        <f>J88/I88*100</f>
        <v>95.96717467760844</v>
      </c>
    </row>
    <row r="89" spans="1:11" ht="12.75">
      <c r="A89" s="170" t="s">
        <v>159</v>
      </c>
      <c r="B89" s="171" t="s">
        <v>160</v>
      </c>
      <c r="C89" s="115">
        <v>619</v>
      </c>
      <c r="D89" s="115">
        <v>590.3</v>
      </c>
      <c r="E89" s="115">
        <f t="shared" si="5"/>
        <v>95.36348949919223</v>
      </c>
      <c r="F89" s="116">
        <v>510.8</v>
      </c>
      <c r="G89" s="116">
        <v>488.9</v>
      </c>
      <c r="H89" s="116">
        <f>G89/F89*100</f>
        <v>95.71260767423648</v>
      </c>
      <c r="I89" s="172">
        <f aca="true" t="shared" si="8" ref="I89:J115">C89+F89</f>
        <v>1129.8</v>
      </c>
      <c r="J89" s="172">
        <f t="shared" si="8"/>
        <v>1079.1999999999998</v>
      </c>
      <c r="K89" s="169">
        <f aca="true" t="shared" si="9" ref="K89:K120">J89/I89*100</f>
        <v>95.52133120906355</v>
      </c>
    </row>
    <row r="90" spans="1:11" ht="12.75">
      <c r="A90" s="170" t="s">
        <v>161</v>
      </c>
      <c r="B90" s="171" t="s">
        <v>162</v>
      </c>
      <c r="C90" s="115">
        <v>20541</v>
      </c>
      <c r="D90" s="115">
        <v>19423</v>
      </c>
      <c r="E90" s="115">
        <f t="shared" si="5"/>
        <v>94.55722700939585</v>
      </c>
      <c r="F90" s="116">
        <v>5352</v>
      </c>
      <c r="G90" s="116">
        <v>4957.6</v>
      </c>
      <c r="H90" s="116">
        <f>G90/F90*100</f>
        <v>92.6307922272048</v>
      </c>
      <c r="I90" s="172">
        <f>C90+F90-5352</f>
        <v>20541</v>
      </c>
      <c r="J90" s="172">
        <f>D90+G90-5352</f>
        <v>19028.6</v>
      </c>
      <c r="K90" s="169">
        <f t="shared" si="9"/>
        <v>92.63716469500024</v>
      </c>
    </row>
    <row r="91" spans="1:11" ht="12.75">
      <c r="A91" s="166" t="s">
        <v>163</v>
      </c>
      <c r="B91" s="167" t="s">
        <v>164</v>
      </c>
      <c r="C91" s="168">
        <f>SUM(C92:C96)</f>
        <v>369176.89999999997</v>
      </c>
      <c r="D91" s="168">
        <f>SUM(D92:D96)</f>
        <v>240688</v>
      </c>
      <c r="E91" s="168">
        <f>D91/C91*100</f>
        <v>65.19584513548925</v>
      </c>
      <c r="F91" s="172">
        <f>SUM(F92:F95)</f>
        <v>0</v>
      </c>
      <c r="G91" s="172">
        <f>SUM(G92:G95)</f>
        <v>0</v>
      </c>
      <c r="H91" s="116"/>
      <c r="I91" s="172">
        <f>C91+F91</f>
        <v>369176.89999999997</v>
      </c>
      <c r="J91" s="172">
        <f t="shared" si="8"/>
        <v>240688</v>
      </c>
      <c r="K91" s="169">
        <f t="shared" si="9"/>
        <v>65.19584513548925</v>
      </c>
    </row>
    <row r="92" spans="1:11" ht="12.75">
      <c r="A92" s="170" t="s">
        <v>165</v>
      </c>
      <c r="B92" s="171" t="s">
        <v>166</v>
      </c>
      <c r="C92" s="115">
        <v>180740</v>
      </c>
      <c r="D92" s="115">
        <v>150177.2</v>
      </c>
      <c r="E92" s="115">
        <f t="shared" si="5"/>
        <v>83.09018479583933</v>
      </c>
      <c r="F92" s="116">
        <v>0</v>
      </c>
      <c r="G92" s="116">
        <v>0</v>
      </c>
      <c r="H92" s="116">
        <v>0</v>
      </c>
      <c r="I92" s="172">
        <f t="shared" si="8"/>
        <v>180740</v>
      </c>
      <c r="J92" s="172">
        <f t="shared" si="8"/>
        <v>150177.2</v>
      </c>
      <c r="K92" s="169">
        <f t="shared" si="9"/>
        <v>83.09018479583933</v>
      </c>
    </row>
    <row r="93" spans="1:11" ht="12.75">
      <c r="A93" s="170" t="s">
        <v>167</v>
      </c>
      <c r="B93" s="171" t="s">
        <v>168</v>
      </c>
      <c r="C93" s="115">
        <v>39855.6</v>
      </c>
      <c r="D93" s="115">
        <v>36568.8</v>
      </c>
      <c r="E93" s="115">
        <f t="shared" si="5"/>
        <v>91.7532291572577</v>
      </c>
      <c r="F93" s="116">
        <v>0</v>
      </c>
      <c r="G93" s="116">
        <v>0</v>
      </c>
      <c r="H93" s="116">
        <v>0</v>
      </c>
      <c r="I93" s="172">
        <f t="shared" si="8"/>
        <v>39855.6</v>
      </c>
      <c r="J93" s="172">
        <f t="shared" si="8"/>
        <v>36568.8</v>
      </c>
      <c r="K93" s="169">
        <f t="shared" si="9"/>
        <v>91.7532291572577</v>
      </c>
    </row>
    <row r="94" spans="1:11" ht="12.75">
      <c r="A94" s="173" t="s">
        <v>169</v>
      </c>
      <c r="B94" s="171" t="s">
        <v>170</v>
      </c>
      <c r="C94" s="115">
        <v>7954.4</v>
      </c>
      <c r="D94" s="115">
        <v>6199.5</v>
      </c>
      <c r="E94" s="115">
        <f t="shared" si="5"/>
        <v>77.93799658050891</v>
      </c>
      <c r="F94" s="116">
        <v>0</v>
      </c>
      <c r="G94" s="116">
        <v>0</v>
      </c>
      <c r="H94" s="116">
        <v>0</v>
      </c>
      <c r="I94" s="172">
        <f t="shared" si="8"/>
        <v>7954.4</v>
      </c>
      <c r="J94" s="172">
        <f t="shared" si="8"/>
        <v>6199.5</v>
      </c>
      <c r="K94" s="169">
        <f t="shared" si="9"/>
        <v>77.93799658050891</v>
      </c>
    </row>
    <row r="95" spans="1:11" ht="12.75">
      <c r="A95" s="173" t="s">
        <v>171</v>
      </c>
      <c r="B95" s="171" t="s">
        <v>172</v>
      </c>
      <c r="C95" s="115">
        <f>140626.9-C96</f>
        <v>17364.59999999999</v>
      </c>
      <c r="D95" s="116">
        <f>47742.5-D96</f>
        <v>14349.800000000003</v>
      </c>
      <c r="E95" s="115">
        <f t="shared" si="5"/>
        <v>82.63824101908487</v>
      </c>
      <c r="F95" s="116">
        <v>0</v>
      </c>
      <c r="G95" s="116">
        <v>0</v>
      </c>
      <c r="H95" s="116">
        <v>0</v>
      </c>
      <c r="I95" s="172">
        <f t="shared" si="8"/>
        <v>17364.59999999999</v>
      </c>
      <c r="J95" s="172">
        <f t="shared" si="8"/>
        <v>14349.800000000003</v>
      </c>
      <c r="K95" s="169">
        <f t="shared" si="9"/>
        <v>82.63824101908487</v>
      </c>
    </row>
    <row r="96" spans="1:11" ht="22.5">
      <c r="A96" s="173" t="s">
        <v>171</v>
      </c>
      <c r="B96" s="184" t="s">
        <v>209</v>
      </c>
      <c r="C96" s="115">
        <v>123262.3</v>
      </c>
      <c r="D96" s="116">
        <v>33392.7</v>
      </c>
      <c r="E96" s="115">
        <f t="shared" si="5"/>
        <v>27.09076497842406</v>
      </c>
      <c r="F96" s="116">
        <v>0</v>
      </c>
      <c r="G96" s="116">
        <v>0</v>
      </c>
      <c r="H96" s="116">
        <v>0</v>
      </c>
      <c r="I96" s="172">
        <f t="shared" si="8"/>
        <v>123262.3</v>
      </c>
      <c r="J96" s="172">
        <f t="shared" si="8"/>
        <v>33392.7</v>
      </c>
      <c r="K96" s="169">
        <f t="shared" si="9"/>
        <v>27.09076497842406</v>
      </c>
    </row>
    <row r="97" spans="1:11" ht="12.75">
      <c r="A97" s="166">
        <v>10</v>
      </c>
      <c r="B97" s="167" t="s">
        <v>173</v>
      </c>
      <c r="C97" s="168">
        <f>SUM(C98:C107)</f>
        <v>147749.1</v>
      </c>
      <c r="D97" s="168">
        <f>SUM(D98:D107)</f>
        <v>108871.4</v>
      </c>
      <c r="E97" s="168">
        <f>D97/C97*100</f>
        <v>73.68667558719477</v>
      </c>
      <c r="F97" s="168">
        <f>SUM(F98:F105)</f>
        <v>172.8</v>
      </c>
      <c r="G97" s="168">
        <f>SUM(G98:G105)</f>
        <v>157.8</v>
      </c>
      <c r="H97" s="116">
        <f>G97/F97*100</f>
        <v>91.31944444444444</v>
      </c>
      <c r="I97" s="168">
        <f>SUM(I98:I107)</f>
        <v>147921.90000000002</v>
      </c>
      <c r="J97" s="168">
        <f>SUM(J98:J107)</f>
        <v>109029.2</v>
      </c>
      <c r="K97" s="169">
        <f t="shared" si="9"/>
        <v>73.70727390602742</v>
      </c>
    </row>
    <row r="98" spans="1:11" ht="12.75">
      <c r="A98" s="173">
        <v>1001</v>
      </c>
      <c r="B98" s="171" t="s">
        <v>174</v>
      </c>
      <c r="C98" s="115">
        <v>3415</v>
      </c>
      <c r="D98" s="115">
        <v>2955</v>
      </c>
      <c r="E98" s="115">
        <f t="shared" si="5"/>
        <v>86.53001464128843</v>
      </c>
      <c r="F98" s="116">
        <v>172.8</v>
      </c>
      <c r="G98" s="116">
        <v>157.8</v>
      </c>
      <c r="H98" s="116">
        <f>G98/F98*100</f>
        <v>91.31944444444444</v>
      </c>
      <c r="I98" s="172">
        <f t="shared" si="8"/>
        <v>3587.8</v>
      </c>
      <c r="J98" s="172">
        <f t="shared" si="8"/>
        <v>3112.8</v>
      </c>
      <c r="K98" s="169">
        <f t="shared" si="9"/>
        <v>86.76068900161658</v>
      </c>
    </row>
    <row r="99" spans="1:11" ht="22.5">
      <c r="A99" s="173">
        <v>1003</v>
      </c>
      <c r="B99" s="171" t="s">
        <v>176</v>
      </c>
      <c r="C99" s="115">
        <v>6964.1</v>
      </c>
      <c r="D99" s="115">
        <v>6184.3</v>
      </c>
      <c r="E99" s="115">
        <f t="shared" si="5"/>
        <v>88.80257319682372</v>
      </c>
      <c r="F99" s="116">
        <v>0</v>
      </c>
      <c r="G99" s="116">
        <v>0</v>
      </c>
      <c r="H99" s="116">
        <v>0</v>
      </c>
      <c r="I99" s="172">
        <f t="shared" si="8"/>
        <v>6964.1</v>
      </c>
      <c r="J99" s="172">
        <f t="shared" si="8"/>
        <v>6184.3</v>
      </c>
      <c r="K99" s="169">
        <f t="shared" si="9"/>
        <v>88.80257319682372</v>
      </c>
    </row>
    <row r="100" spans="1:11" ht="22.5">
      <c r="A100" s="173">
        <v>1003</v>
      </c>
      <c r="B100" s="171" t="s">
        <v>177</v>
      </c>
      <c r="C100" s="115">
        <v>5100</v>
      </c>
      <c r="D100" s="115">
        <v>4761.4</v>
      </c>
      <c r="E100" s="115">
        <f aca="true" t="shared" si="10" ref="E100:E118">D100/C100*100</f>
        <v>93.36078431372549</v>
      </c>
      <c r="F100" s="116">
        <v>0</v>
      </c>
      <c r="G100" s="116">
        <v>0</v>
      </c>
      <c r="H100" s="116">
        <v>0</v>
      </c>
      <c r="I100" s="172">
        <f t="shared" si="8"/>
        <v>5100</v>
      </c>
      <c r="J100" s="172">
        <f t="shared" si="8"/>
        <v>4761.4</v>
      </c>
      <c r="K100" s="169">
        <f t="shared" si="9"/>
        <v>93.36078431372549</v>
      </c>
    </row>
    <row r="101" spans="1:11" ht="22.5">
      <c r="A101" s="173">
        <v>1003</v>
      </c>
      <c r="B101" s="171" t="s">
        <v>178</v>
      </c>
      <c r="C101" s="115">
        <v>10694.9</v>
      </c>
      <c r="D101" s="115">
        <v>9000</v>
      </c>
      <c r="E101" s="115">
        <f t="shared" si="10"/>
        <v>84.15225948816726</v>
      </c>
      <c r="F101" s="116">
        <v>0</v>
      </c>
      <c r="G101" s="116">
        <v>0</v>
      </c>
      <c r="H101" s="116">
        <v>0</v>
      </c>
      <c r="I101" s="172">
        <f t="shared" si="8"/>
        <v>10694.9</v>
      </c>
      <c r="J101" s="172">
        <f t="shared" si="8"/>
        <v>9000</v>
      </c>
      <c r="K101" s="169">
        <f t="shared" si="9"/>
        <v>84.15225948816726</v>
      </c>
    </row>
    <row r="102" spans="1:11" ht="45">
      <c r="A102" s="173">
        <v>1004</v>
      </c>
      <c r="B102" s="171" t="s">
        <v>179</v>
      </c>
      <c r="C102" s="115">
        <v>12715</v>
      </c>
      <c r="D102" s="115">
        <v>10326.3</v>
      </c>
      <c r="E102" s="115">
        <f t="shared" si="10"/>
        <v>81.21352732992528</v>
      </c>
      <c r="F102" s="116">
        <v>0</v>
      </c>
      <c r="G102" s="116">
        <v>0</v>
      </c>
      <c r="H102" s="116">
        <v>0</v>
      </c>
      <c r="I102" s="172">
        <f t="shared" si="8"/>
        <v>12715</v>
      </c>
      <c r="J102" s="172">
        <f t="shared" si="8"/>
        <v>10326.3</v>
      </c>
      <c r="K102" s="169">
        <f t="shared" si="9"/>
        <v>81.21352732992528</v>
      </c>
    </row>
    <row r="103" spans="1:11" ht="33.75">
      <c r="A103" s="173">
        <v>1004</v>
      </c>
      <c r="B103" s="171" t="s">
        <v>210</v>
      </c>
      <c r="C103" s="115">
        <v>844.9</v>
      </c>
      <c r="D103" s="115">
        <v>423.8</v>
      </c>
      <c r="E103" s="115">
        <f t="shared" si="10"/>
        <v>50.15978222274826</v>
      </c>
      <c r="F103" s="116">
        <v>0</v>
      </c>
      <c r="G103" s="116">
        <v>0</v>
      </c>
      <c r="H103" s="116">
        <v>0</v>
      </c>
      <c r="I103" s="172">
        <f t="shared" si="8"/>
        <v>844.9</v>
      </c>
      <c r="J103" s="172">
        <f t="shared" si="8"/>
        <v>423.8</v>
      </c>
      <c r="K103" s="169">
        <f t="shared" si="9"/>
        <v>50.15978222274826</v>
      </c>
    </row>
    <row r="104" spans="1:11" ht="22.5">
      <c r="A104" s="173">
        <v>1004</v>
      </c>
      <c r="B104" s="171" t="s">
        <v>180</v>
      </c>
      <c r="C104" s="115">
        <v>64715</v>
      </c>
      <c r="D104" s="115">
        <v>51619</v>
      </c>
      <c r="E104" s="115">
        <f t="shared" si="10"/>
        <v>79.76357876844627</v>
      </c>
      <c r="F104" s="116">
        <v>0</v>
      </c>
      <c r="G104" s="116">
        <v>0</v>
      </c>
      <c r="H104" s="116">
        <v>0</v>
      </c>
      <c r="I104" s="172">
        <f t="shared" si="8"/>
        <v>64715</v>
      </c>
      <c r="J104" s="172">
        <f t="shared" si="8"/>
        <v>51619</v>
      </c>
      <c r="K104" s="169">
        <f t="shared" si="9"/>
        <v>79.76357876844627</v>
      </c>
    </row>
    <row r="105" spans="1:11" ht="12.75">
      <c r="A105" s="173">
        <v>1004</v>
      </c>
      <c r="B105" s="171" t="s">
        <v>175</v>
      </c>
      <c r="C105" s="115">
        <v>4725.9</v>
      </c>
      <c r="D105" s="115">
        <v>4453.9</v>
      </c>
      <c r="E105" s="115">
        <f t="shared" si="10"/>
        <v>94.24448253242768</v>
      </c>
      <c r="F105" s="116">
        <v>0</v>
      </c>
      <c r="G105" s="116">
        <v>0</v>
      </c>
      <c r="H105" s="116">
        <v>0</v>
      </c>
      <c r="I105" s="172">
        <f t="shared" si="8"/>
        <v>4725.9</v>
      </c>
      <c r="J105" s="172">
        <f t="shared" si="8"/>
        <v>4453.9</v>
      </c>
      <c r="K105" s="169">
        <f t="shared" si="9"/>
        <v>94.24448253242768</v>
      </c>
    </row>
    <row r="106" spans="1:11" ht="45">
      <c r="A106" s="173" t="s">
        <v>181</v>
      </c>
      <c r="B106" s="171" t="s">
        <v>212</v>
      </c>
      <c r="C106" s="115">
        <v>26017.1</v>
      </c>
      <c r="D106" s="115">
        <v>9966.7</v>
      </c>
      <c r="E106" s="115">
        <f>D106/C106*100</f>
        <v>38.308266486272494</v>
      </c>
      <c r="F106" s="116">
        <v>0</v>
      </c>
      <c r="G106" s="116">
        <v>0</v>
      </c>
      <c r="H106" s="116">
        <v>0</v>
      </c>
      <c r="I106" s="172">
        <f>C106+F106</f>
        <v>26017.1</v>
      </c>
      <c r="J106" s="172">
        <f>D106+G106</f>
        <v>9966.7</v>
      </c>
      <c r="K106" s="169">
        <f>J106/I106*100</f>
        <v>38.308266486272494</v>
      </c>
    </row>
    <row r="107" spans="1:11" ht="22.5">
      <c r="A107" s="173">
        <v>1006</v>
      </c>
      <c r="B107" s="171" t="s">
        <v>182</v>
      </c>
      <c r="C107" s="115">
        <v>12557.2</v>
      </c>
      <c r="D107" s="115">
        <v>9181</v>
      </c>
      <c r="E107" s="115">
        <f t="shared" si="10"/>
        <v>73.11343293090816</v>
      </c>
      <c r="F107" s="116">
        <v>0</v>
      </c>
      <c r="G107" s="116">
        <v>0</v>
      </c>
      <c r="H107" s="116">
        <v>0</v>
      </c>
      <c r="I107" s="172">
        <f t="shared" si="8"/>
        <v>12557.2</v>
      </c>
      <c r="J107" s="172">
        <f t="shared" si="8"/>
        <v>9181</v>
      </c>
      <c r="K107" s="169">
        <f t="shared" si="9"/>
        <v>73.11343293090816</v>
      </c>
    </row>
    <row r="108" spans="1:11" ht="12.75">
      <c r="A108" s="180">
        <v>1100</v>
      </c>
      <c r="B108" s="167" t="s">
        <v>183</v>
      </c>
      <c r="C108" s="168">
        <f>SUM(C109:C110)</f>
        <v>37867.5</v>
      </c>
      <c r="D108" s="168">
        <f>SUM(D109:D110)</f>
        <v>16478.2</v>
      </c>
      <c r="E108" s="168">
        <f>D108/C108*100</f>
        <v>43.51541559384697</v>
      </c>
      <c r="F108" s="172">
        <f>F109+F110</f>
        <v>11730.6</v>
      </c>
      <c r="G108" s="172">
        <f>G109+G110</f>
        <v>9080.8</v>
      </c>
      <c r="H108" s="116">
        <f>G108/F108*100</f>
        <v>77.41121511261146</v>
      </c>
      <c r="I108" s="172">
        <f>SUM(I109:I110)</f>
        <v>49388.1</v>
      </c>
      <c r="J108" s="172">
        <f>SUM(J109:J110)</f>
        <v>25349</v>
      </c>
      <c r="K108" s="169">
        <f t="shared" si="9"/>
        <v>51.32612916876737</v>
      </c>
    </row>
    <row r="109" spans="1:11" ht="12.75">
      <c r="A109" s="173">
        <v>1101</v>
      </c>
      <c r="B109" s="171" t="s">
        <v>184</v>
      </c>
      <c r="C109" s="115">
        <v>10921</v>
      </c>
      <c r="D109" s="115">
        <v>9057.6</v>
      </c>
      <c r="E109" s="115">
        <f t="shared" si="10"/>
        <v>82.93745993956597</v>
      </c>
      <c r="F109" s="116">
        <v>11520.6</v>
      </c>
      <c r="G109" s="116">
        <v>8901.4</v>
      </c>
      <c r="H109" s="116">
        <f>G109/F109*100</f>
        <v>77.26507299967015</v>
      </c>
      <c r="I109" s="172">
        <f t="shared" si="8"/>
        <v>22441.6</v>
      </c>
      <c r="J109" s="172">
        <f t="shared" si="8"/>
        <v>17959</v>
      </c>
      <c r="K109" s="169">
        <f t="shared" si="9"/>
        <v>80.02548837872523</v>
      </c>
    </row>
    <row r="110" spans="1:11" ht="12.75">
      <c r="A110" s="173">
        <v>1102</v>
      </c>
      <c r="B110" s="171" t="s">
        <v>185</v>
      </c>
      <c r="C110" s="115">
        <v>26946.5</v>
      </c>
      <c r="D110" s="115">
        <v>7420.6</v>
      </c>
      <c r="E110" s="115">
        <f t="shared" si="10"/>
        <v>27.538270276288202</v>
      </c>
      <c r="F110" s="116">
        <v>210</v>
      </c>
      <c r="G110" s="116">
        <v>179.4</v>
      </c>
      <c r="H110" s="116">
        <f>G110/F110*100</f>
        <v>85.42857142857143</v>
      </c>
      <c r="I110" s="172">
        <f>C110+F110-210</f>
        <v>26946.5</v>
      </c>
      <c r="J110" s="172">
        <f>D110+G110-210</f>
        <v>7390</v>
      </c>
      <c r="K110" s="169">
        <f t="shared" si="9"/>
        <v>27.42471192919303</v>
      </c>
    </row>
    <row r="111" spans="1:11" ht="12.75">
      <c r="A111" s="180">
        <v>1200</v>
      </c>
      <c r="B111" s="167" t="s">
        <v>186</v>
      </c>
      <c r="C111" s="168">
        <f>C113+C112</f>
        <v>9710</v>
      </c>
      <c r="D111" s="168">
        <f>D113+D112</f>
        <v>9710</v>
      </c>
      <c r="E111" s="168">
        <f>E113</f>
        <v>100</v>
      </c>
      <c r="F111" s="168">
        <f>F113+F112</f>
        <v>0</v>
      </c>
      <c r="G111" s="168">
        <f>G113+G112</f>
        <v>0</v>
      </c>
      <c r="H111" s="115">
        <f>H113</f>
        <v>0</v>
      </c>
      <c r="I111" s="168">
        <f t="shared" si="8"/>
        <v>9710</v>
      </c>
      <c r="J111" s="168">
        <f t="shared" si="8"/>
        <v>9710</v>
      </c>
      <c r="K111" s="174">
        <f t="shared" si="9"/>
        <v>100</v>
      </c>
    </row>
    <row r="112" spans="1:11" ht="12.75">
      <c r="A112" s="173" t="s">
        <v>187</v>
      </c>
      <c r="B112" s="171" t="s">
        <v>188</v>
      </c>
      <c r="C112" s="115">
        <v>3960</v>
      </c>
      <c r="D112" s="115">
        <v>3960</v>
      </c>
      <c r="E112" s="115">
        <f>D112/C112*100</f>
        <v>100</v>
      </c>
      <c r="F112" s="116">
        <v>0</v>
      </c>
      <c r="G112" s="116">
        <v>0</v>
      </c>
      <c r="H112" s="116">
        <v>0</v>
      </c>
      <c r="I112" s="172">
        <f>C112+F112</f>
        <v>3960</v>
      </c>
      <c r="J112" s="172">
        <f>D112+G112</f>
        <v>3960</v>
      </c>
      <c r="K112" s="169">
        <f>J112/I112*100</f>
        <v>100</v>
      </c>
    </row>
    <row r="113" spans="1:11" ht="12.75">
      <c r="A113" s="173">
        <v>1202</v>
      </c>
      <c r="B113" s="171" t="s">
        <v>189</v>
      </c>
      <c r="C113" s="115">
        <v>5750</v>
      </c>
      <c r="D113" s="115">
        <v>5750</v>
      </c>
      <c r="E113" s="115">
        <f t="shared" si="10"/>
        <v>100</v>
      </c>
      <c r="F113" s="116">
        <v>0</v>
      </c>
      <c r="G113" s="116">
        <v>0</v>
      </c>
      <c r="H113" s="116">
        <v>0</v>
      </c>
      <c r="I113" s="172">
        <f t="shared" si="8"/>
        <v>5750</v>
      </c>
      <c r="J113" s="172">
        <f t="shared" si="8"/>
        <v>5750</v>
      </c>
      <c r="K113" s="169">
        <f t="shared" si="9"/>
        <v>100</v>
      </c>
    </row>
    <row r="114" spans="1:11" ht="12.75">
      <c r="A114" s="180">
        <v>1300</v>
      </c>
      <c r="B114" s="167" t="s">
        <v>190</v>
      </c>
      <c r="C114" s="168">
        <f aca="true" t="shared" si="11" ref="C114:H114">C115</f>
        <v>1000</v>
      </c>
      <c r="D114" s="168">
        <f t="shared" si="11"/>
        <v>899.6</v>
      </c>
      <c r="E114" s="168">
        <f t="shared" si="11"/>
        <v>89.96000000000001</v>
      </c>
      <c r="F114" s="168">
        <f t="shared" si="11"/>
        <v>0</v>
      </c>
      <c r="G114" s="168">
        <f t="shared" si="11"/>
        <v>0</v>
      </c>
      <c r="H114" s="115">
        <f t="shared" si="11"/>
        <v>0</v>
      </c>
      <c r="I114" s="168">
        <f t="shared" si="8"/>
        <v>1000</v>
      </c>
      <c r="J114" s="168">
        <f t="shared" si="8"/>
        <v>899.6</v>
      </c>
      <c r="K114" s="174">
        <f t="shared" si="9"/>
        <v>89.96000000000001</v>
      </c>
    </row>
    <row r="115" spans="1:11" ht="22.5">
      <c r="A115" s="173">
        <v>1301</v>
      </c>
      <c r="B115" s="171" t="s">
        <v>191</v>
      </c>
      <c r="C115" s="115">
        <v>1000</v>
      </c>
      <c r="D115" s="115">
        <v>899.6</v>
      </c>
      <c r="E115" s="115">
        <f t="shared" si="10"/>
        <v>89.96000000000001</v>
      </c>
      <c r="F115" s="116"/>
      <c r="G115" s="116">
        <v>0</v>
      </c>
      <c r="H115" s="116">
        <v>0</v>
      </c>
      <c r="I115" s="172">
        <f t="shared" si="8"/>
        <v>1000</v>
      </c>
      <c r="J115" s="172">
        <f t="shared" si="8"/>
        <v>899.6</v>
      </c>
      <c r="K115" s="169">
        <f t="shared" si="9"/>
        <v>89.96000000000001</v>
      </c>
    </row>
    <row r="116" spans="1:11" ht="13.5" customHeight="1">
      <c r="A116" s="180">
        <v>1400</v>
      </c>
      <c r="B116" s="167" t="s">
        <v>192</v>
      </c>
      <c r="C116" s="168">
        <f>SUM(C117:C118)</f>
        <v>356012.2</v>
      </c>
      <c r="D116" s="168">
        <f>SUM(D117:D118)</f>
        <v>338244.6</v>
      </c>
      <c r="E116" s="168">
        <f>D116/C116*100</f>
        <v>95.0092721541565</v>
      </c>
      <c r="F116" s="172">
        <f>F117+F118+F119</f>
        <v>29548.3</v>
      </c>
      <c r="G116" s="172">
        <f>SUM(G117:G119)</f>
        <v>29548.3</v>
      </c>
      <c r="H116" s="172">
        <f>G116/F116*100</f>
        <v>100</v>
      </c>
      <c r="I116" s="172">
        <v>0</v>
      </c>
      <c r="J116" s="172">
        <v>0</v>
      </c>
      <c r="K116" s="169">
        <v>0</v>
      </c>
    </row>
    <row r="117" spans="1:11" ht="22.5">
      <c r="A117" s="173">
        <v>1401</v>
      </c>
      <c r="B117" s="171" t="s">
        <v>193</v>
      </c>
      <c r="C117" s="115">
        <v>100162.1</v>
      </c>
      <c r="D117" s="115">
        <v>92853</v>
      </c>
      <c r="E117" s="115">
        <f t="shared" si="10"/>
        <v>92.70272887649121</v>
      </c>
      <c r="F117" s="116">
        <v>0</v>
      </c>
      <c r="G117" s="116">
        <v>0</v>
      </c>
      <c r="H117" s="116">
        <v>0</v>
      </c>
      <c r="I117" s="172">
        <v>0</v>
      </c>
      <c r="J117" s="172">
        <v>0</v>
      </c>
      <c r="K117" s="169">
        <v>0</v>
      </c>
    </row>
    <row r="118" spans="1:11" ht="13.5" customHeight="1">
      <c r="A118" s="173">
        <v>1402</v>
      </c>
      <c r="B118" s="171" t="s">
        <v>194</v>
      </c>
      <c r="C118" s="115">
        <v>255850.1</v>
      </c>
      <c r="D118" s="115">
        <v>245391.6</v>
      </c>
      <c r="E118" s="115">
        <f t="shared" si="10"/>
        <v>95.91225487111399</v>
      </c>
      <c r="F118" s="116">
        <v>0</v>
      </c>
      <c r="G118" s="116">
        <v>0</v>
      </c>
      <c r="H118" s="116">
        <v>0</v>
      </c>
      <c r="I118" s="172">
        <v>0</v>
      </c>
      <c r="J118" s="172">
        <v>0</v>
      </c>
      <c r="K118" s="169">
        <v>0</v>
      </c>
    </row>
    <row r="119" spans="1:11" ht="12.75">
      <c r="A119" s="173">
        <v>1403</v>
      </c>
      <c r="B119" s="171" t="s">
        <v>195</v>
      </c>
      <c r="C119" s="115"/>
      <c r="D119" s="115"/>
      <c r="E119" s="115">
        <v>0</v>
      </c>
      <c r="F119" s="116">
        <v>29548.3</v>
      </c>
      <c r="G119" s="116">
        <v>29548.3</v>
      </c>
      <c r="H119" s="116">
        <f>G119/F119*100</f>
        <v>100</v>
      </c>
      <c r="I119" s="172">
        <v>0</v>
      </c>
      <c r="J119" s="172">
        <v>0</v>
      </c>
      <c r="K119" s="169">
        <v>0</v>
      </c>
    </row>
    <row r="120" spans="1:11" ht="13.5" customHeight="1" thickBot="1">
      <c r="A120" s="164" t="s">
        <v>196</v>
      </c>
      <c r="B120" s="165"/>
      <c r="C120" s="121">
        <f>C9+C17+C19+C24+C42+C70+C72+C84+C91+C97+C108+C111+C114+C116</f>
        <v>4476665.3</v>
      </c>
      <c r="D120" s="121">
        <f>D116+D114+D111+D108+D97+D91+D84+D72+D70+D42+D24+D19+D17+D9</f>
        <v>3178569.5999999996</v>
      </c>
      <c r="E120" s="121">
        <f>D120/C120*100</f>
        <v>71.00306560778623</v>
      </c>
      <c r="F120" s="121">
        <f>F9+F17+F19+F24+F42+F70+F72+F84+F91+F97+F108+F111+F114+F116</f>
        <v>697257.3</v>
      </c>
      <c r="G120" s="121">
        <f>G116+G114+G111+G97+G91+G84+G72+G42+G24+G20+G17+G9+G19+G108</f>
        <v>567084.0000000001</v>
      </c>
      <c r="H120" s="122">
        <f>G120/F120*100</f>
        <v>81.33066516478208</v>
      </c>
      <c r="I120" s="121">
        <f>I116+I114+I111+I108+I97+I91+I84+I72+I70+I42+I24+I19+I17+I9</f>
        <v>4596572.3</v>
      </c>
      <c r="J120" s="121">
        <f>J116+J114+J111+J108+J97+J91+J84+J72+J70+J42+J24+J19+J17+J9</f>
        <v>3192678.2</v>
      </c>
      <c r="K120" s="123">
        <f t="shared" si="9"/>
        <v>69.45780446007561</v>
      </c>
    </row>
    <row r="121" spans="1:11" ht="12.75">
      <c r="A121" s="70"/>
      <c r="B121" s="71"/>
      <c r="C121" s="72"/>
      <c r="D121" s="65"/>
      <c r="E121" s="73"/>
      <c r="F121" s="66"/>
      <c r="G121" s="67"/>
      <c r="H121" s="67"/>
      <c r="I121" s="69"/>
      <c r="J121" s="69"/>
      <c r="K121" s="69"/>
    </row>
    <row r="122" spans="1:11" ht="12.75" customHeight="1">
      <c r="A122" s="74"/>
      <c r="B122" s="75"/>
      <c r="C122" s="76"/>
      <c r="D122" s="77"/>
      <c r="E122" s="73"/>
      <c r="F122" s="66"/>
      <c r="G122" s="67"/>
      <c r="H122" s="67"/>
      <c r="I122" s="68"/>
      <c r="J122" s="68"/>
      <c r="K122" s="69"/>
    </row>
    <row r="123" spans="1:11" ht="13.5" customHeight="1">
      <c r="A123" s="74"/>
      <c r="B123" s="75"/>
      <c r="C123" s="76"/>
      <c r="D123" s="77"/>
      <c r="E123" s="73"/>
      <c r="F123" s="66"/>
      <c r="G123" s="67"/>
      <c r="H123" s="67"/>
      <c r="I123" s="68"/>
      <c r="J123" s="68"/>
      <c r="K123" s="69"/>
    </row>
    <row r="124" spans="1:11" ht="12.75" customHeight="1">
      <c r="A124" s="74"/>
      <c r="B124" s="75"/>
      <c r="C124" s="76"/>
      <c r="D124" s="77"/>
      <c r="E124" s="73"/>
      <c r="F124" s="66"/>
      <c r="G124" s="67"/>
      <c r="H124" s="67"/>
      <c r="I124" s="68"/>
      <c r="J124" s="68"/>
      <c r="K124" s="69"/>
    </row>
    <row r="125" spans="1:11" ht="12.75" customHeight="1">
      <c r="A125" s="74"/>
      <c r="B125" s="75"/>
      <c r="C125" s="76"/>
      <c r="D125" s="77"/>
      <c r="E125" s="73"/>
      <c r="F125" s="66"/>
      <c r="G125" s="67"/>
      <c r="H125" s="67"/>
      <c r="I125" s="68"/>
      <c r="J125" s="68"/>
      <c r="K125" s="69"/>
    </row>
    <row r="126" spans="1:11" ht="12.75" customHeight="1">
      <c r="A126" s="143" t="s">
        <v>202</v>
      </c>
      <c r="B126" s="143"/>
      <c r="C126" s="143"/>
      <c r="D126" s="66"/>
      <c r="E126" s="67"/>
      <c r="F126" s="67"/>
      <c r="G126" s="67"/>
      <c r="H126" s="67"/>
      <c r="I126" s="69"/>
      <c r="J126" s="69"/>
      <c r="K126" s="69"/>
    </row>
    <row r="127" spans="1:11" ht="13.5" customHeight="1">
      <c r="A127" s="143" t="s">
        <v>203</v>
      </c>
      <c r="B127" s="143"/>
      <c r="C127" s="143"/>
      <c r="D127" s="78"/>
      <c r="E127" s="142" t="s">
        <v>204</v>
      </c>
      <c r="F127" s="142"/>
      <c r="G127" s="67"/>
      <c r="H127" s="67"/>
      <c r="I127" s="68"/>
      <c r="J127" s="69"/>
      <c r="K127" s="69"/>
    </row>
    <row r="128" spans="1:11" ht="12.75">
      <c r="A128" s="79"/>
      <c r="B128" s="71"/>
      <c r="C128" s="72"/>
      <c r="D128" s="65"/>
      <c r="E128" s="80"/>
      <c r="F128" s="81"/>
      <c r="G128" s="67"/>
      <c r="H128" s="67"/>
      <c r="I128" s="68"/>
      <c r="J128" s="69"/>
      <c r="K128" s="69"/>
    </row>
    <row r="129" spans="1:11" ht="12.75" customHeight="1">
      <c r="A129" s="143" t="s">
        <v>235</v>
      </c>
      <c r="B129" s="143"/>
      <c r="C129" s="143"/>
      <c r="D129" s="82"/>
      <c r="E129" s="142" t="s">
        <v>197</v>
      </c>
      <c r="F129" s="142"/>
      <c r="G129" s="67"/>
      <c r="H129" s="67"/>
      <c r="I129" s="68"/>
      <c r="J129" s="69"/>
      <c r="K129" s="69"/>
    </row>
    <row r="130" spans="1:11" ht="12.75">
      <c r="A130" s="79"/>
      <c r="B130" s="75"/>
      <c r="C130" s="76"/>
      <c r="D130" s="77"/>
      <c r="E130" s="80"/>
      <c r="F130" s="81"/>
      <c r="G130" s="67"/>
      <c r="H130" s="67"/>
      <c r="I130" s="68"/>
      <c r="J130" s="69"/>
      <c r="K130" s="69"/>
    </row>
    <row r="131" spans="1:11" ht="12.75" customHeight="1">
      <c r="A131" s="143" t="s">
        <v>240</v>
      </c>
      <c r="B131" s="143"/>
      <c r="C131" s="143"/>
      <c r="D131" s="82"/>
      <c r="E131" s="141" t="s">
        <v>241</v>
      </c>
      <c r="F131" s="141"/>
      <c r="G131" s="67"/>
      <c r="H131" s="67"/>
      <c r="I131" s="68"/>
      <c r="J131" s="69"/>
      <c r="K131" s="69"/>
    </row>
    <row r="132" spans="1:11" ht="12.75">
      <c r="A132" s="83"/>
      <c r="B132" s="84"/>
      <c r="C132" s="85"/>
      <c r="D132" s="66"/>
      <c r="E132" s="66"/>
      <c r="F132" s="67"/>
      <c r="G132" s="67"/>
      <c r="H132" s="67"/>
      <c r="I132" s="69"/>
      <c r="J132" s="69"/>
      <c r="K132" s="69"/>
    </row>
    <row r="133" spans="3:5" ht="12.75" customHeight="1">
      <c r="C133" s="88" t="s">
        <v>242</v>
      </c>
      <c r="D133" t="s">
        <v>243</v>
      </c>
      <c r="E133" s="89" t="s">
        <v>244</v>
      </c>
    </row>
    <row r="134" ht="12.75" customHeight="1"/>
    <row r="136" ht="12.75">
      <c r="B136" s="84" t="s">
        <v>256</v>
      </c>
    </row>
    <row r="137" spans="1:11" ht="12.75">
      <c r="A137" s="79"/>
      <c r="B137" s="75"/>
      <c r="C137" s="76"/>
      <c r="D137" s="77"/>
      <c r="E137" s="80"/>
      <c r="F137" s="81"/>
      <c r="G137" s="67"/>
      <c r="H137" s="67"/>
      <c r="I137" s="68"/>
      <c r="J137" s="69"/>
      <c r="K137" s="69"/>
    </row>
    <row r="138" spans="1:11" ht="12.75">
      <c r="A138" s="143"/>
      <c r="B138" s="143"/>
      <c r="C138" s="143"/>
      <c r="D138" s="77"/>
      <c r="E138" s="141"/>
      <c r="F138" s="141"/>
      <c r="G138" s="67"/>
      <c r="H138" s="67"/>
      <c r="I138" s="68"/>
      <c r="J138" s="69"/>
      <c r="K138" s="69"/>
    </row>
    <row r="139" spans="1:11" ht="12.75">
      <c r="A139" s="83"/>
      <c r="B139" s="84"/>
      <c r="C139" s="85"/>
      <c r="D139" s="77"/>
      <c r="E139" s="66"/>
      <c r="F139" s="67"/>
      <c r="G139" s="67"/>
      <c r="H139" s="67"/>
      <c r="I139" s="69"/>
      <c r="J139" s="69"/>
      <c r="K139" s="69"/>
    </row>
    <row r="140" ht="12.75">
      <c r="D140" s="86"/>
    </row>
  </sheetData>
  <sheetProtection/>
  <mergeCells count="37">
    <mergeCell ref="F19:F20"/>
    <mergeCell ref="A131:C131"/>
    <mergeCell ref="H19:H20"/>
    <mergeCell ref="I19:I20"/>
    <mergeCell ref="J19:J20"/>
    <mergeCell ref="K19:K20"/>
    <mergeCell ref="A19:A20"/>
    <mergeCell ref="B19:B20"/>
    <mergeCell ref="C19:C20"/>
    <mergeCell ref="D19:D20"/>
    <mergeCell ref="E19:E20"/>
    <mergeCell ref="K4:K5"/>
    <mergeCell ref="A138:C138"/>
    <mergeCell ref="E138:F138"/>
    <mergeCell ref="E127:F127"/>
    <mergeCell ref="A129:C129"/>
    <mergeCell ref="G19:G20"/>
    <mergeCell ref="G4:G5"/>
    <mergeCell ref="B6:K8"/>
    <mergeCell ref="A120:B120"/>
    <mergeCell ref="A126:C126"/>
    <mergeCell ref="C4:C5"/>
    <mergeCell ref="H4:H5"/>
    <mergeCell ref="I4:I5"/>
    <mergeCell ref="J4:J5"/>
    <mergeCell ref="E4:E5"/>
    <mergeCell ref="F4:F5"/>
    <mergeCell ref="E131:F131"/>
    <mergeCell ref="E129:F129"/>
    <mergeCell ref="A127:C127"/>
    <mergeCell ref="A1:K1"/>
    <mergeCell ref="A3:A8"/>
    <mergeCell ref="B3:B5"/>
    <mergeCell ref="C3:E3"/>
    <mergeCell ref="F3:H3"/>
    <mergeCell ref="I3:K3"/>
    <mergeCell ref="D4:D5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*</cp:lastModifiedBy>
  <cp:lastPrinted>2012-03-20T11:39:48Z</cp:lastPrinted>
  <dcterms:created xsi:type="dcterms:W3CDTF">2006-05-12T06:58:42Z</dcterms:created>
  <dcterms:modified xsi:type="dcterms:W3CDTF">2012-12-20T09:29:36Z</dcterms:modified>
  <cp:category/>
  <cp:version/>
  <cp:contentType/>
  <cp:contentStatus/>
</cp:coreProperties>
</file>