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52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<sst xmlns="http://schemas.openxmlformats.org/spreadsheetml/2006/main" count="631" uniqueCount="242">
  <si>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</si>
  <si>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</si>
  <si>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</si>
  <si>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</si>
  <si>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</si>
  <si>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</si>
  <si>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</si>
  <si>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</si>
  <si>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</si>
  <si>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</si>
  <si>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</si>
  <si>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</si>
  <si>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</si>
  <si>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</si>
  <si>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</si>
  <si>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</si>
  <si>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</si>
  <si>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</si>
  <si>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</si>
  <si>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</si>
  <si>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</si>
  <si>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</si>
  <si>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</si>
  <si>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</si>
  <si>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</si>
  <si>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</si>
  <si>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</si>
  <si>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</si>
  <si>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</si>
  <si>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</si>
  <si>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</si>
  <si>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</si>
  <si>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</si>
  <si>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</si>
  <si>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</si>
  <si>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</si>
  <si>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</si>
  <si>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</si>
  <si>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</si>
  <si>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</si>
  <si>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</si>
  <si>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</si>
  <si>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</si>
  <si>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</si>
  <si>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</si>
  <si>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</si>
  <si>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</si>
  <si>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</si>
  <si>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</si>
  <si>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</si>
  <si>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</si>
  <si>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</si>
  <si>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</si>
  <si>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</si>
  <si>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</si>
  <si>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</si>
  <si>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</si>
  <si>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</si>
  <si>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</si>
  <si>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</si>
  <si>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</si>
  <si>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</si>
  <si>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</si>
  <si>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</si>
  <si>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</si>
  <si>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</si>
  <si>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</si>
  <si>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</si>
  <si>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</si>
  <si>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</si>
  <si>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</si>
  <si>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</si>
  <si>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</si>
  <si>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</si>
  <si>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</si>
  <si>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</si>
  <si>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План                 на 1 квартал 2019 года</t>
  </si>
  <si>
    <t>Первонач. план на 2019 год</t>
  </si>
  <si>
    <t>Уточн. план на 2019 год</t>
  </si>
  <si>
    <t xml:space="preserve">% исп-ия к плану за 1 квартал 2019 года </t>
  </si>
  <si>
    <t xml:space="preserve">% исп-ия к уточн. плану на 2019 год </t>
  </si>
  <si>
    <t xml:space="preserve">% исп-ия к первонач. плану на 2019 год </t>
  </si>
  <si>
    <t>Отчет об исполнении консолидированного бюджета Октябрьского района по состоянию на 01.03.2019</t>
  </si>
  <si>
    <t>Исполнение на 01.03.2019</t>
  </si>
  <si>
    <t>Отчет  об  исполнении  консолидированного  бюджета  района  по  расходам на 1 марта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</si>
  <si>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</si>
  <si>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</si>
  <si>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</si>
  <si>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</si>
  <si>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</si>
  <si>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</si>
  <si>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01.03.2019</t>
  </si>
  <si>
    <t>% исполнения</t>
  </si>
  <si>
    <t>исполнения на 01.03.2019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</si>
  <si>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</si>
  <si>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</si>
  <si>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</si>
  <si>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</si>
  <si>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</si>
  <si>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</si>
  <si>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</si>
  <si>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</si>
  <si>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</si>
  <si>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</si>
  <si>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</si>
  <si>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</si>
  <si>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</si>
  <si>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</si>
  <si>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</si>
  <si>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</si>
  <si>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</si>
  <si>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</si>
  <si>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</si>
  <si>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</si>
  <si>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</si>
  <si>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</si>
  <si>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</si>
  <si>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</si>
  <si>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</si>
  <si>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</si>
  <si>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</si>
  <si>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</si>
  <si>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</si>
  <si>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</si>
  <si>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</si>
  <si>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</si>
  <si>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</si>
  <si>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</si>
  <si>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</si>
  <si>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</si>
  <si>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</si>
  <si>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</si>
  <si>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</si>
  <si>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</si>
  <si>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</si>
  <si>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</si>
  <si>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</si>
  <si>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</si>
  <si>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</si>
  <si>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</si>
  <si>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</si>
  <si>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</si>
  <si>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</si>
  <si>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</si>
  <si>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</si>
  <si>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</si>
  <si>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08001S2380, 08002S2380)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</si>
  <si>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</si>
  <si>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</si>
  <si>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</si>
  <si>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</si>
  <si>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</si>
  <si>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</si>
  <si>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</si>
  <si>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"Развитие жилищной сферы в муниципальном образовании Октябрьский район" (0910182661, 09101S2661, 0910199990)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</si>
  <si>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</si>
  <si>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</si>
  <si>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</si>
  <si>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</si>
  <si>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</si>
  <si>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</si>
  <si>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</si>
  <si>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</si>
  <si>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</si>
  <si>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</si>
  <si>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</si>
  <si>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</si>
  <si>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</si>
  <si>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</si>
  <si>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</si>
  <si>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</si>
  <si>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Субсидии на формирование современной городской среды (105F255550)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</si>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</sst>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0" fontId="2" fillId="0" borderId="14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18" xfId="0" applyNumberFormat="1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28" fillId="0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0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1" xfId="53" applyNumberFormat="1" applyFont="1" applyBorder="1" applyAlignment="1">
      <alignment horizontal="center" vertical="center" wrapText="1"/>
      <protection/>
    </xf>
    <xf numFmtId="0" fontId="30" fillId="0" borderId="22" xfId="53" applyNumberFormat="1" applyFont="1" applyBorder="1" applyAlignment="1">
      <alignment horizontal="center" vertical="center" wrapText="1"/>
      <protection/>
    </xf>
    <xf numFmtId="179" fontId="31" fillId="0" borderId="22" xfId="53" applyNumberFormat="1" applyFont="1" applyFill="1" applyBorder="1" applyAlignment="1">
      <alignment horizontal="center" vertical="center" wrapText="1"/>
      <protection/>
    </xf>
    <xf numFmtId="179" fontId="31" fillId="0" borderId="22" xfId="0" applyNumberFormat="1" applyFont="1" applyBorder="1" applyAlignment="1">
      <alignment horizontal="center" vertical="center" wrapText="1"/>
    </xf>
    <xf numFmtId="179" fontId="32" fillId="0" borderId="22" xfId="0" applyNumberFormat="1" applyFont="1" applyFill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0" borderId="13" xfId="53" applyNumberFormat="1" applyFont="1" applyBorder="1" applyAlignment="1">
      <alignment horizontal="center" vertical="center" wrapText="1"/>
      <protection/>
    </xf>
    <xf numFmtId="179" fontId="32" fillId="0" borderId="25" xfId="53" applyNumberFormat="1" applyFont="1" applyBorder="1" applyAlignment="1">
      <alignment horizontal="center" vertical="center" wrapText="1"/>
      <protection/>
    </xf>
    <xf numFmtId="179" fontId="31" fillId="0" borderId="13" xfId="0" applyNumberFormat="1" applyFont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5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5" xfId="53" applyNumberFormat="1" applyFont="1" applyFill="1" applyBorder="1" applyAlignment="1">
      <alignment horizontal="center" vertical="center" wrapText="1"/>
      <protection/>
    </xf>
    <xf numFmtId="49" fontId="34" fillId="33" borderId="24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2" fillId="33" borderId="25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5" xfId="0" applyNumberFormat="1" applyFont="1" applyFill="1" applyBorder="1" applyAlignment="1">
      <alignment horizontal="center" vertical="center" wrapText="1"/>
    </xf>
    <xf numFmtId="49" fontId="30" fillId="0" borderId="24" xfId="53" applyNumberFormat="1" applyFont="1" applyFill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2" fillId="33" borderId="25" xfId="53" applyNumberFormat="1" applyFont="1" applyFill="1" applyBorder="1" applyAlignment="1">
      <alignment horizontal="center" vertical="center" wrapText="1"/>
      <protection/>
    </xf>
    <xf numFmtId="179" fontId="31" fillId="34" borderId="13" xfId="53" applyNumberFormat="1" applyFont="1" applyFill="1" applyBorder="1" applyAlignment="1">
      <alignment horizontal="center" vertical="center" wrapText="1"/>
      <protection/>
    </xf>
    <xf numFmtId="49" fontId="34" fillId="33" borderId="24" xfId="53" applyNumberFormat="1" applyFont="1" applyFill="1" applyBorder="1" applyAlignment="1" quotePrefix="1">
      <alignment horizontal="center" vertical="center" wrapText="1"/>
      <protection/>
    </xf>
    <xf numFmtId="0" fontId="34" fillId="33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0" fontId="30" fillId="36" borderId="13" xfId="53" applyNumberFormat="1" applyFont="1" applyFill="1" applyBorder="1" applyAlignment="1">
      <alignment horizontal="left" vertical="center" wrapText="1"/>
      <protection/>
    </xf>
    <xf numFmtId="179" fontId="32" fillId="34" borderId="13" xfId="0" applyNumberFormat="1" applyFont="1" applyFill="1" applyBorder="1" applyAlignment="1">
      <alignment horizontal="center" vertical="center" wrapText="1"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1" fillId="34" borderId="13" xfId="0" applyNumberFormat="1" applyFont="1" applyFill="1" applyBorder="1" applyAlignment="1">
      <alignment horizontal="center" vertical="center" wrapText="1"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3" borderId="13" xfId="0" applyNumberFormat="1" applyFont="1" applyFill="1" applyBorder="1" applyAlignment="1">
      <alignment horizontal="center" vertical="center" wrapText="1"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0" fontId="32" fillId="0" borderId="2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5" xfId="0" applyNumberFormat="1" applyFont="1" applyFill="1" applyBorder="1" applyAlignment="1">
      <alignment horizontal="center" vertical="center" wrapText="1"/>
    </xf>
    <xf numFmtId="49" fontId="34" fillId="33" borderId="24" xfId="53" applyNumberFormat="1" applyFont="1" applyFill="1" applyBorder="1" applyAlignment="1">
      <alignment horizontal="center" vertical="center" wrapText="1"/>
      <protection/>
    </xf>
    <xf numFmtId="0" fontId="34" fillId="33" borderId="13" xfId="0" applyNumberFormat="1" applyFont="1" applyFill="1" applyBorder="1" applyAlignment="1">
      <alignment horizontal="left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177" fontId="32" fillId="35" borderId="25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49" fontId="31" fillId="0" borderId="24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179" fontId="32" fillId="34" borderId="13" xfId="53" applyNumberFormat="1" applyFont="1" applyFill="1" applyBorder="1" applyAlignment="1">
      <alignment horizontal="center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0" fontId="37" fillId="6" borderId="26" xfId="53" applyNumberFormat="1" applyFont="1" applyFill="1" applyBorder="1" applyAlignment="1">
      <alignment horizontal="center" vertical="center" wrapText="1"/>
      <protection/>
    </xf>
    <xf numFmtId="0" fontId="37" fillId="6" borderId="27" xfId="53" applyNumberFormat="1" applyFont="1" applyFill="1" applyBorder="1" applyAlignment="1">
      <alignment horizontal="center" vertical="center" wrapText="1"/>
      <protection/>
    </xf>
    <xf numFmtId="179" fontId="32" fillId="37" borderId="27" xfId="53" applyNumberFormat="1" applyFont="1" applyFill="1" applyBorder="1" applyAlignment="1">
      <alignment horizontal="center" vertical="center" wrapText="1"/>
      <protection/>
    </xf>
    <xf numFmtId="179" fontId="32" fillId="37" borderId="27" xfId="0" applyNumberFormat="1" applyFont="1" applyFill="1" applyBorder="1" applyAlignment="1">
      <alignment horizontal="center" vertical="center" wrapText="1"/>
    </xf>
    <xf numFmtId="179" fontId="32" fillId="37" borderId="28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179" fontId="29" fillId="34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8" fillId="0" borderId="0" xfId="0" applyNumberFormat="1" applyFont="1" applyFill="1" applyAlignment="1">
      <alignment horizontal="center" vertical="center" wrapText="1"/>
    </xf>
    <xf numFmtId="179" fontId="38" fillId="0" borderId="0" xfId="0" applyNumberFormat="1" applyFont="1" applyAlignment="1">
      <alignment horizontal="center" vertical="center" wrapText="1"/>
    </xf>
    <xf numFmtId="179" fontId="38" fillId="0" borderId="12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53" applyNumberFormat="1" applyFont="1" applyFill="1" applyBorder="1" applyAlignment="1">
      <alignment horizontal="center" vertical="center" wrapText="1"/>
      <protection/>
    </xf>
    <xf numFmtId="179" fontId="38" fillId="0" borderId="0" xfId="0" applyNumberFormat="1" applyFont="1" applyFill="1" applyBorder="1" applyAlignment="1">
      <alignment horizontal="left" vertical="center" wrapText="1"/>
    </xf>
    <xf numFmtId="179" fontId="38" fillId="0" borderId="0" xfId="0" applyNumberFormat="1" applyFont="1" applyFill="1" applyAlignment="1">
      <alignment horizontal="left" vertical="center" wrapText="1"/>
    </xf>
    <xf numFmtId="179" fontId="38" fillId="0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center" vertical="center" wrapText="1"/>
    </xf>
    <xf numFmtId="17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45" sqref="D245:L252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9.00390625" style="1" customWidth="1"/>
    <col min="4" max="4" width="10.50390625" style="1" customWidth="1"/>
    <col min="5" max="5" width="13.50390625" style="1" customWidth="1"/>
    <col min="6" max="6" width="10.125" style="1" customWidth="1"/>
    <col min="7" max="7" width="12.625" style="1" hidden="1" customWidth="1"/>
    <col min="8" max="8" width="12.50390625" style="1" hidden="1" customWidth="1"/>
    <col min="9" max="9" width="11.375" style="1" hidden="1" customWidth="1"/>
    <col min="10" max="10" width="14.00390625" style="1" hidden="1" customWidth="1" outlineLevel="1"/>
    <col min="11" max="11" width="10.625" style="1" customWidth="1" collapsed="1"/>
    <col min="12" max="12" width="8.375" style="1" customWidth="1"/>
    <col min="13" max="13" width="8.00390625" style="1" customWidth="1"/>
    <col min="14" max="16384" width="9.125" style="1" customWidth="1"/>
  </cols>
  <sheetData>
    <row r="1" spans="1:14" ht="12.75">
      <c r="A1" s="97" t="s">
        <v>82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4.25" customHeight="1">
      <c r="A3" s="53"/>
      <c r="B3" s="53"/>
      <c r="C3" s="54"/>
      <c r="D3" s="54"/>
      <c r="E3" s="54"/>
      <c r="F3" s="54"/>
      <c r="G3" s="54"/>
      <c r="H3" s="54"/>
      <c r="I3" s="55"/>
      <c r="J3" s="55"/>
      <c r="K3" s="56" t="s">
        <v>69</v>
      </c>
    </row>
    <row r="4" spans="1:14" ht="12.75" customHeight="1">
      <c r="A4" s="57" t="s">
        <v>41</v>
      </c>
      <c r="B4" s="57"/>
      <c r="C4" s="58"/>
      <c r="D4" s="84" t="s">
        <v>77</v>
      </c>
      <c r="E4" s="84" t="s">
        <v>78</v>
      </c>
      <c r="F4" s="84" t="s">
        <v>76</v>
      </c>
      <c r="G4" s="94" t="s">
        <v>72</v>
      </c>
      <c r="H4" s="94" t="s">
        <v>73</v>
      </c>
      <c r="I4" s="94" t="s">
        <v>74</v>
      </c>
      <c r="J4" s="94" t="s">
        <v>75</v>
      </c>
      <c r="K4" s="84" t="s">
        <v>83</v>
      </c>
      <c r="L4" s="84" t="s">
        <v>79</v>
      </c>
      <c r="M4" s="84" t="s">
        <v>80</v>
      </c>
      <c r="N4" s="84" t="s">
        <v>81</v>
      </c>
    </row>
    <row r="5" spans="1:14" ht="27.75" customHeight="1">
      <c r="A5" s="59" t="s">
        <v>46</v>
      </c>
      <c r="B5" s="59"/>
      <c r="C5" s="60" t="s">
        <v>16</v>
      </c>
      <c r="D5" s="85"/>
      <c r="E5" s="85"/>
      <c r="F5" s="85"/>
      <c r="G5" s="95"/>
      <c r="H5" s="95"/>
      <c r="I5" s="95"/>
      <c r="J5" s="95"/>
      <c r="K5" s="85"/>
      <c r="L5" s="85"/>
      <c r="M5" s="85"/>
      <c r="N5" s="85"/>
    </row>
    <row r="6" spans="1:14" ht="39.75" customHeight="1">
      <c r="A6" s="59"/>
      <c r="B6" s="59"/>
      <c r="C6" s="60"/>
      <c r="D6" s="86"/>
      <c r="E6" s="86"/>
      <c r="F6" s="86"/>
      <c r="G6" s="96"/>
      <c r="H6" s="96"/>
      <c r="I6" s="96"/>
      <c r="J6" s="96"/>
      <c r="K6" s="86"/>
      <c r="L6" s="86"/>
      <c r="M6" s="86"/>
      <c r="N6" s="86"/>
    </row>
    <row r="7" spans="1:14" ht="12.75">
      <c r="A7" s="91" t="s">
        <v>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2.75">
      <c r="A8" s="61" t="s">
        <v>3</v>
      </c>
      <c r="B8" s="61"/>
      <c r="C8" s="62" t="s">
        <v>68</v>
      </c>
      <c r="D8" s="36">
        <f aca="true" t="shared" si="0" ref="D8:J8">D9+D11+D12+D13+D15+D16+D18+D20+D14+D21+D17+D19+D10</f>
        <v>790943.5000000001</v>
      </c>
      <c r="E8" s="36">
        <f t="shared" si="0"/>
        <v>791843.5000000001</v>
      </c>
      <c r="F8" s="36">
        <f t="shared" si="0"/>
        <v>185035.09999999998</v>
      </c>
      <c r="G8" s="36">
        <f t="shared" si="0"/>
        <v>185035.09999999998</v>
      </c>
      <c r="H8" s="36">
        <f t="shared" si="0"/>
        <v>209014.49999999997</v>
      </c>
      <c r="I8" s="36">
        <f t="shared" si="0"/>
        <v>184752.79999999996</v>
      </c>
      <c r="J8" s="36">
        <f t="shared" si="0"/>
        <v>213041.1</v>
      </c>
      <c r="K8" s="36">
        <f>K9+K11+K12+K13+K15+K16+K18+K20+K14+K21+K17+K19+K10</f>
        <v>130549.00000000001</v>
      </c>
      <c r="L8" s="36">
        <f aca="true" t="shared" si="1" ref="L8:L13">K8*100/F8</f>
        <v>70.55364090380692</v>
      </c>
      <c r="M8" s="24">
        <f aca="true" t="shared" si="2" ref="M8:M13">K8*100/E8</f>
        <v>16.48671738796871</v>
      </c>
      <c r="N8" s="24">
        <f aca="true" t="shared" si="3" ref="N8:N20">K8*100/D8</f>
        <v>16.5054773191764</v>
      </c>
    </row>
    <row r="9" spans="1:14" ht="12.75">
      <c r="A9" s="12" t="s">
        <v>23</v>
      </c>
      <c r="B9" s="12"/>
      <c r="C9" s="63" t="s">
        <v>22</v>
      </c>
      <c r="D9" s="49">
        <v>599585.5</v>
      </c>
      <c r="E9" s="49">
        <f>G9+H9+I9+J9</f>
        <v>599585.5</v>
      </c>
      <c r="F9" s="49">
        <f>G9</f>
        <v>139537.9</v>
      </c>
      <c r="G9" s="49">
        <v>139537.9</v>
      </c>
      <c r="H9" s="49">
        <v>157657</v>
      </c>
      <c r="I9" s="20">
        <v>138077.6</v>
      </c>
      <c r="J9" s="64">
        <v>164313</v>
      </c>
      <c r="K9" s="64">
        <v>108537.5</v>
      </c>
      <c r="L9" s="20">
        <f t="shared" si="1"/>
        <v>77.78352691275991</v>
      </c>
      <c r="M9" s="64">
        <f t="shared" si="2"/>
        <v>18.102088859720592</v>
      </c>
      <c r="N9" s="18">
        <f t="shared" si="3"/>
        <v>18.102088859720592</v>
      </c>
    </row>
    <row r="10" spans="1:14" ht="12.75">
      <c r="A10" s="12" t="s">
        <v>70</v>
      </c>
      <c r="B10" s="12"/>
      <c r="C10" s="28" t="s">
        <v>71</v>
      </c>
      <c r="D10" s="65">
        <v>5380.3</v>
      </c>
      <c r="E10" s="65">
        <f aca="true" t="shared" si="4" ref="E10:E26">G10+H10+I10+J10</f>
        <v>5380.3</v>
      </c>
      <c r="F10" s="49">
        <f aca="true" t="shared" si="5" ref="F10:F26">G10</f>
        <v>1344.9</v>
      </c>
      <c r="G10" s="65">
        <v>1344.9</v>
      </c>
      <c r="H10" s="65">
        <v>1344.9</v>
      </c>
      <c r="I10" s="17">
        <v>1344.9</v>
      </c>
      <c r="J10" s="18">
        <v>1345.6</v>
      </c>
      <c r="K10" s="18">
        <v>995.7</v>
      </c>
      <c r="L10" s="20">
        <f t="shared" si="1"/>
        <v>74.03524425607851</v>
      </c>
      <c r="M10" s="18">
        <f t="shared" si="2"/>
        <v>18.50640298868093</v>
      </c>
      <c r="N10" s="18">
        <f t="shared" si="3"/>
        <v>18.50640298868093</v>
      </c>
    </row>
    <row r="11" spans="1:14" ht="12.75">
      <c r="A11" s="12" t="s">
        <v>8</v>
      </c>
      <c r="B11" s="12"/>
      <c r="C11" s="28" t="s">
        <v>5</v>
      </c>
      <c r="D11" s="65">
        <v>45380</v>
      </c>
      <c r="E11" s="65">
        <f t="shared" si="4"/>
        <v>45380</v>
      </c>
      <c r="F11" s="49">
        <f t="shared" si="5"/>
        <v>11155</v>
      </c>
      <c r="G11" s="65">
        <v>11155</v>
      </c>
      <c r="H11" s="65">
        <v>13505</v>
      </c>
      <c r="I11" s="17">
        <v>10605</v>
      </c>
      <c r="J11" s="18">
        <v>10115</v>
      </c>
      <c r="K11" s="18">
        <v>5664.3</v>
      </c>
      <c r="L11" s="20">
        <f t="shared" si="1"/>
        <v>50.77812640071717</v>
      </c>
      <c r="M11" s="18">
        <f t="shared" si="2"/>
        <v>12.481930365799911</v>
      </c>
      <c r="N11" s="18">
        <f t="shared" si="3"/>
        <v>12.481930365799911</v>
      </c>
    </row>
    <row r="12" spans="1:14" ht="12.75">
      <c r="A12" s="12" t="s">
        <v>9</v>
      </c>
      <c r="B12" s="12"/>
      <c r="C12" s="28" t="s">
        <v>6</v>
      </c>
      <c r="D12" s="65">
        <v>2500</v>
      </c>
      <c r="E12" s="65">
        <f t="shared" si="4"/>
        <v>2500</v>
      </c>
      <c r="F12" s="49">
        <f t="shared" si="5"/>
        <v>600</v>
      </c>
      <c r="G12" s="65">
        <v>600</v>
      </c>
      <c r="H12" s="65">
        <v>600</v>
      </c>
      <c r="I12" s="17">
        <v>620</v>
      </c>
      <c r="J12" s="18">
        <v>680</v>
      </c>
      <c r="K12" s="18">
        <v>1005.3</v>
      </c>
      <c r="L12" s="20">
        <f t="shared" si="1"/>
        <v>167.55</v>
      </c>
      <c r="M12" s="18">
        <f t="shared" si="2"/>
        <v>40.212</v>
      </c>
      <c r="N12" s="18">
        <f t="shared" si="3"/>
        <v>40.212</v>
      </c>
    </row>
    <row r="13" spans="1:14" ht="12.75">
      <c r="A13" s="12" t="s">
        <v>10</v>
      </c>
      <c r="B13" s="12"/>
      <c r="C13" s="28" t="s">
        <v>21</v>
      </c>
      <c r="D13" s="65">
        <v>3105</v>
      </c>
      <c r="E13" s="65">
        <f t="shared" si="4"/>
        <v>3105</v>
      </c>
      <c r="F13" s="49">
        <f t="shared" si="5"/>
        <v>750</v>
      </c>
      <c r="G13" s="65">
        <v>750</v>
      </c>
      <c r="H13" s="65">
        <v>750</v>
      </c>
      <c r="I13" s="17">
        <v>752</v>
      </c>
      <c r="J13" s="18">
        <v>853</v>
      </c>
      <c r="K13" s="18">
        <v>487.5</v>
      </c>
      <c r="L13" s="20">
        <f t="shared" si="1"/>
        <v>65</v>
      </c>
      <c r="M13" s="18">
        <f t="shared" si="2"/>
        <v>15.70048309178744</v>
      </c>
      <c r="N13" s="18">
        <f t="shared" si="3"/>
        <v>15.70048309178744</v>
      </c>
    </row>
    <row r="14" spans="1:14" ht="21.75" customHeight="1" hidden="1">
      <c r="A14" s="12" t="s">
        <v>37</v>
      </c>
      <c r="B14" s="12"/>
      <c r="C14" s="28" t="s">
        <v>38</v>
      </c>
      <c r="D14" s="65"/>
      <c r="E14" s="65">
        <f t="shared" si="4"/>
        <v>0</v>
      </c>
      <c r="F14" s="49">
        <f t="shared" si="5"/>
        <v>0</v>
      </c>
      <c r="G14" s="65"/>
      <c r="H14" s="65"/>
      <c r="I14" s="17"/>
      <c r="J14" s="18"/>
      <c r="K14" s="18"/>
      <c r="L14" s="20"/>
      <c r="M14" s="18"/>
      <c r="N14" s="18" t="e">
        <f t="shared" si="3"/>
        <v>#DIV/0!</v>
      </c>
    </row>
    <row r="15" spans="1:14" ht="22.5">
      <c r="A15" s="13" t="s">
        <v>11</v>
      </c>
      <c r="B15" s="13"/>
      <c r="C15" s="28" t="s">
        <v>17</v>
      </c>
      <c r="D15" s="65">
        <v>99505.9</v>
      </c>
      <c r="E15" s="65">
        <f t="shared" si="4"/>
        <v>99505.90000000001</v>
      </c>
      <c r="F15" s="49">
        <f t="shared" si="5"/>
        <v>23081.6</v>
      </c>
      <c r="G15" s="65">
        <v>23081.6</v>
      </c>
      <c r="H15" s="65">
        <v>24677.7</v>
      </c>
      <c r="I15" s="17">
        <v>24977.8</v>
      </c>
      <c r="J15" s="18">
        <v>26768.8</v>
      </c>
      <c r="K15" s="18">
        <v>5724.1</v>
      </c>
      <c r="L15" s="20">
        <f aca="true" t="shared" si="6" ref="L15:L20">K15*100/F15</f>
        <v>24.799407320116458</v>
      </c>
      <c r="M15" s="18">
        <f aca="true" t="shared" si="7" ref="M15:M20">K15*100/E15</f>
        <v>5.7525232172162655</v>
      </c>
      <c r="N15" s="18">
        <f t="shared" si="3"/>
        <v>5.7525232172162655</v>
      </c>
    </row>
    <row r="16" spans="1:14" ht="12.75">
      <c r="A16" s="29" t="s">
        <v>14</v>
      </c>
      <c r="B16" s="29"/>
      <c r="C16" s="28" t="s">
        <v>13</v>
      </c>
      <c r="D16" s="65">
        <v>4251.8</v>
      </c>
      <c r="E16" s="65">
        <f t="shared" si="4"/>
        <v>4251.8</v>
      </c>
      <c r="F16" s="49">
        <f t="shared" si="5"/>
        <v>1063</v>
      </c>
      <c r="G16" s="65">
        <v>1063</v>
      </c>
      <c r="H16" s="65">
        <v>1062.9</v>
      </c>
      <c r="I16" s="17">
        <v>1063</v>
      </c>
      <c r="J16" s="18">
        <v>1062.9</v>
      </c>
      <c r="K16" s="18">
        <v>347.2</v>
      </c>
      <c r="L16" s="20">
        <f t="shared" si="6"/>
        <v>32.66227657572907</v>
      </c>
      <c r="M16" s="18">
        <f t="shared" si="7"/>
        <v>8.165953243332236</v>
      </c>
      <c r="N16" s="18">
        <f t="shared" si="3"/>
        <v>8.165953243332236</v>
      </c>
    </row>
    <row r="17" spans="1:14" ht="22.5">
      <c r="A17" s="30" t="s">
        <v>42</v>
      </c>
      <c r="B17" s="30"/>
      <c r="C17" s="28" t="s">
        <v>43</v>
      </c>
      <c r="D17" s="65">
        <v>14097.8</v>
      </c>
      <c r="E17" s="65">
        <f t="shared" si="4"/>
        <v>14097.8</v>
      </c>
      <c r="F17" s="49">
        <f t="shared" si="5"/>
        <v>3516</v>
      </c>
      <c r="G17" s="65">
        <v>3516</v>
      </c>
      <c r="H17" s="65">
        <v>3532.9</v>
      </c>
      <c r="I17" s="17">
        <v>3532.9</v>
      </c>
      <c r="J17" s="18">
        <v>3516</v>
      </c>
      <c r="K17" s="18">
        <v>2114.3</v>
      </c>
      <c r="L17" s="20">
        <f t="shared" si="6"/>
        <v>60.133674630261666</v>
      </c>
      <c r="M17" s="18">
        <f t="shared" si="7"/>
        <v>14.997375477024788</v>
      </c>
      <c r="N17" s="18">
        <f t="shared" si="3"/>
        <v>14.997375477024788</v>
      </c>
    </row>
    <row r="18" spans="1:14" ht="22.5">
      <c r="A18" s="30" t="s">
        <v>18</v>
      </c>
      <c r="B18" s="30"/>
      <c r="C18" s="28" t="s">
        <v>15</v>
      </c>
      <c r="D18" s="65">
        <v>16903.5</v>
      </c>
      <c r="E18" s="65">
        <f t="shared" si="4"/>
        <v>16903.5</v>
      </c>
      <c r="F18" s="49">
        <f t="shared" si="5"/>
        <v>3525.3</v>
      </c>
      <c r="G18" s="65">
        <v>3525.3</v>
      </c>
      <c r="H18" s="65">
        <v>5525.3</v>
      </c>
      <c r="I18" s="17">
        <v>3525.3</v>
      </c>
      <c r="J18" s="18">
        <v>4327.6</v>
      </c>
      <c r="K18" s="18">
        <v>2959.1</v>
      </c>
      <c r="L18" s="20">
        <f t="shared" si="6"/>
        <v>83.93895554988228</v>
      </c>
      <c r="M18" s="18">
        <f t="shared" si="7"/>
        <v>17.50584198538764</v>
      </c>
      <c r="N18" s="18">
        <f t="shared" si="3"/>
        <v>17.50584198538764</v>
      </c>
    </row>
    <row r="19" spans="1:14" ht="12.75">
      <c r="A19" s="30" t="s">
        <v>60</v>
      </c>
      <c r="B19" s="30"/>
      <c r="C19" s="28" t="s">
        <v>61</v>
      </c>
      <c r="D19" s="65">
        <v>6</v>
      </c>
      <c r="E19" s="65">
        <f t="shared" si="4"/>
        <v>6</v>
      </c>
      <c r="F19" s="49">
        <f t="shared" si="5"/>
        <v>1</v>
      </c>
      <c r="G19" s="65">
        <v>1</v>
      </c>
      <c r="H19" s="65">
        <v>2</v>
      </c>
      <c r="I19" s="17">
        <v>1</v>
      </c>
      <c r="J19" s="18">
        <v>2</v>
      </c>
      <c r="K19" s="18">
        <v>0</v>
      </c>
      <c r="L19" s="20">
        <f t="shared" si="6"/>
        <v>0</v>
      </c>
      <c r="M19" s="18">
        <f t="shared" si="7"/>
        <v>0</v>
      </c>
      <c r="N19" s="18">
        <f t="shared" si="3"/>
        <v>0</v>
      </c>
    </row>
    <row r="20" spans="1:14" ht="12.75">
      <c r="A20" s="21" t="s">
        <v>12</v>
      </c>
      <c r="B20" s="21"/>
      <c r="C20" s="28" t="s">
        <v>7</v>
      </c>
      <c r="D20" s="65">
        <v>227.7</v>
      </c>
      <c r="E20" s="65">
        <f t="shared" si="4"/>
        <v>1127.7</v>
      </c>
      <c r="F20" s="49">
        <f t="shared" si="5"/>
        <v>460.4</v>
      </c>
      <c r="G20" s="65">
        <v>460.4</v>
      </c>
      <c r="H20" s="65">
        <v>356.8</v>
      </c>
      <c r="I20" s="17">
        <v>253.3</v>
      </c>
      <c r="J20" s="18">
        <v>57.2</v>
      </c>
      <c r="K20" s="18">
        <v>2727.7</v>
      </c>
      <c r="L20" s="20">
        <f t="shared" si="6"/>
        <v>592.4630755864466</v>
      </c>
      <c r="M20" s="18">
        <f t="shared" si="7"/>
        <v>241.88170612751617</v>
      </c>
      <c r="N20" s="18">
        <f t="shared" si="3"/>
        <v>1197.9358805445763</v>
      </c>
    </row>
    <row r="21" spans="1:14" ht="12.75">
      <c r="A21" s="31" t="s">
        <v>39</v>
      </c>
      <c r="B21" s="50"/>
      <c r="C21" s="16" t="s">
        <v>40</v>
      </c>
      <c r="D21" s="65">
        <v>0</v>
      </c>
      <c r="E21" s="65">
        <f t="shared" si="4"/>
        <v>0</v>
      </c>
      <c r="F21" s="49">
        <f t="shared" si="5"/>
        <v>0</v>
      </c>
      <c r="G21" s="65"/>
      <c r="H21" s="65"/>
      <c r="I21" s="17"/>
      <c r="J21" s="18"/>
      <c r="K21" s="18">
        <v>-13.7</v>
      </c>
      <c r="L21" s="20"/>
      <c r="M21" s="18"/>
      <c r="N21" s="18"/>
    </row>
    <row r="22" spans="1:14" ht="12.75">
      <c r="A22" s="25" t="s">
        <v>1</v>
      </c>
      <c r="B22" s="25"/>
      <c r="C22" s="32" t="s">
        <v>0</v>
      </c>
      <c r="D22" s="33">
        <f aca="true" t="shared" si="8" ref="D22:J22">D23+D24+D26+D25</f>
        <v>2692801.9</v>
      </c>
      <c r="E22" s="33">
        <f>E23+E24+E26+E25</f>
        <v>2716826.8</v>
      </c>
      <c r="F22" s="33">
        <f t="shared" si="8"/>
        <v>660096.8</v>
      </c>
      <c r="G22" s="33">
        <f t="shared" si="8"/>
        <v>660096.8</v>
      </c>
      <c r="H22" s="33">
        <f t="shared" si="8"/>
        <v>680183.2</v>
      </c>
      <c r="I22" s="33">
        <f t="shared" si="8"/>
        <v>677479.9</v>
      </c>
      <c r="J22" s="33">
        <f t="shared" si="8"/>
        <v>699066.9</v>
      </c>
      <c r="K22" s="33">
        <f>K23+K24+K26+K25</f>
        <v>331237.4</v>
      </c>
      <c r="L22" s="27">
        <f aca="true" t="shared" si="9" ref="L22:L27">K22*100/F22</f>
        <v>50.180125096803984</v>
      </c>
      <c r="M22" s="24">
        <f aca="true" t="shared" si="10" ref="M22:M27">K22*100/E22</f>
        <v>12.19206907116788</v>
      </c>
      <c r="N22" s="24">
        <f>K22*100/D22</f>
        <v>12.300845450235313</v>
      </c>
    </row>
    <row r="23" spans="1:14" ht="22.5">
      <c r="A23" s="14" t="s">
        <v>67</v>
      </c>
      <c r="B23" s="12"/>
      <c r="C23" s="34" t="s">
        <v>20</v>
      </c>
      <c r="D23" s="37">
        <v>2692801.9</v>
      </c>
      <c r="E23" s="65">
        <f t="shared" si="4"/>
        <v>2697678.5</v>
      </c>
      <c r="F23" s="49">
        <f t="shared" si="5"/>
        <v>655948.5</v>
      </c>
      <c r="G23" s="65">
        <f>654305.8+1642.7</f>
        <v>655948.5</v>
      </c>
      <c r="H23" s="65">
        <v>675183.2</v>
      </c>
      <c r="I23" s="18">
        <v>672479.9</v>
      </c>
      <c r="J23" s="18">
        <v>694066.9</v>
      </c>
      <c r="K23" s="18">
        <v>333915</v>
      </c>
      <c r="L23" s="20">
        <f t="shared" si="9"/>
        <v>50.90567323501769</v>
      </c>
      <c r="M23" s="18">
        <f t="shared" si="10"/>
        <v>12.377864893833717</v>
      </c>
      <c r="N23" s="18">
        <f>K23*100/D23</f>
        <v>12.400280911863588</v>
      </c>
    </row>
    <row r="24" spans="1:14" ht="13.5" customHeight="1">
      <c r="A24" s="14" t="s">
        <v>2</v>
      </c>
      <c r="B24" s="14"/>
      <c r="C24" s="35" t="s">
        <v>19</v>
      </c>
      <c r="D24" s="66">
        <v>0</v>
      </c>
      <c r="E24" s="65">
        <f t="shared" si="4"/>
        <v>20000</v>
      </c>
      <c r="F24" s="49">
        <f t="shared" si="5"/>
        <v>5000</v>
      </c>
      <c r="G24" s="66">
        <v>5000</v>
      </c>
      <c r="H24" s="66">
        <v>5000</v>
      </c>
      <c r="I24" s="18">
        <v>5000</v>
      </c>
      <c r="J24" s="18">
        <v>5000</v>
      </c>
      <c r="K24" s="18">
        <v>3350</v>
      </c>
      <c r="L24" s="20">
        <f t="shared" si="9"/>
        <v>67</v>
      </c>
      <c r="M24" s="18">
        <f t="shared" si="10"/>
        <v>16.75</v>
      </c>
      <c r="N24" s="18"/>
    </row>
    <row r="25" spans="1:14" ht="40.5" customHeight="1" hidden="1">
      <c r="A25" s="14" t="s">
        <v>65</v>
      </c>
      <c r="B25" s="15" t="s">
        <v>64</v>
      </c>
      <c r="C25" s="16" t="s">
        <v>64</v>
      </c>
      <c r="D25" s="65">
        <v>0</v>
      </c>
      <c r="E25" s="65">
        <f t="shared" si="4"/>
        <v>0</v>
      </c>
      <c r="F25" s="49">
        <f t="shared" si="5"/>
        <v>0</v>
      </c>
      <c r="G25" s="65"/>
      <c r="H25" s="65"/>
      <c r="I25" s="18"/>
      <c r="J25" s="18"/>
      <c r="K25" s="18"/>
      <c r="L25" s="20" t="e">
        <f t="shared" si="9"/>
        <v>#DIV/0!</v>
      </c>
      <c r="M25" s="18" t="e">
        <f t="shared" si="10"/>
        <v>#DIV/0!</v>
      </c>
      <c r="N25" s="18"/>
    </row>
    <row r="26" spans="1:14" ht="39" customHeight="1">
      <c r="A26" s="14" t="s">
        <v>66</v>
      </c>
      <c r="B26" s="67"/>
      <c r="C26" s="19" t="s">
        <v>63</v>
      </c>
      <c r="D26" s="68">
        <v>0</v>
      </c>
      <c r="E26" s="65">
        <f t="shared" si="4"/>
        <v>-851.7</v>
      </c>
      <c r="F26" s="49">
        <f t="shared" si="5"/>
        <v>-851.7</v>
      </c>
      <c r="G26" s="68">
        <v>-851.7</v>
      </c>
      <c r="H26" s="68"/>
      <c r="I26" s="18"/>
      <c r="J26" s="18"/>
      <c r="K26" s="18">
        <v>-6027.6</v>
      </c>
      <c r="L26" s="20">
        <f t="shared" si="9"/>
        <v>707.7139837971116</v>
      </c>
      <c r="M26" s="18">
        <f t="shared" si="10"/>
        <v>707.7139837971116</v>
      </c>
      <c r="N26" s="18"/>
    </row>
    <row r="27" spans="1:14" ht="12.75">
      <c r="A27" s="21"/>
      <c r="B27" s="22"/>
      <c r="C27" s="23" t="s">
        <v>4</v>
      </c>
      <c r="D27" s="24">
        <f aca="true" t="shared" si="11" ref="D27:K27">D22+D8</f>
        <v>3483745.4</v>
      </c>
      <c r="E27" s="24">
        <f t="shared" si="11"/>
        <v>3508670.3</v>
      </c>
      <c r="F27" s="24">
        <f t="shared" si="11"/>
        <v>845131.9</v>
      </c>
      <c r="G27" s="24">
        <f t="shared" si="11"/>
        <v>845131.9</v>
      </c>
      <c r="H27" s="24">
        <f t="shared" si="11"/>
        <v>889197.7</v>
      </c>
      <c r="I27" s="24">
        <f t="shared" si="11"/>
        <v>862232.7</v>
      </c>
      <c r="J27" s="24">
        <f t="shared" si="11"/>
        <v>912108</v>
      </c>
      <c r="K27" s="24">
        <f t="shared" si="11"/>
        <v>461786.4</v>
      </c>
      <c r="L27" s="27">
        <f t="shared" si="9"/>
        <v>54.640748976579864</v>
      </c>
      <c r="M27" s="24">
        <f t="shared" si="10"/>
        <v>13.161293610288777</v>
      </c>
      <c r="N27" s="24">
        <f>K27*100/D27</f>
        <v>13.255457761063711</v>
      </c>
    </row>
    <row r="28" spans="1:14" ht="12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27"/>
      <c r="M28" s="24"/>
      <c r="N28" s="18"/>
    </row>
    <row r="29" spans="1:14" ht="12.75">
      <c r="A29" s="91" t="s">
        <v>25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12.75">
      <c r="A30" s="25" t="s">
        <v>3</v>
      </c>
      <c r="B30" s="25"/>
      <c r="C30" s="26" t="s">
        <v>68</v>
      </c>
      <c r="D30" s="27">
        <f aca="true" t="shared" si="12" ref="D30:J30">D31+D33+D35+D37+D34+D36+D39+D32</f>
        <v>18979.500000000004</v>
      </c>
      <c r="E30" s="27">
        <f t="shared" si="12"/>
        <v>18979.500000000004</v>
      </c>
      <c r="F30" s="27">
        <f t="shared" si="12"/>
        <v>4744.8</v>
      </c>
      <c r="G30" s="27">
        <f t="shared" si="12"/>
        <v>4744.8</v>
      </c>
      <c r="H30" s="27">
        <f t="shared" si="12"/>
        <v>4744.900000000001</v>
      </c>
      <c r="I30" s="27">
        <f t="shared" si="12"/>
        <v>4744.900000000001</v>
      </c>
      <c r="J30" s="27">
        <f t="shared" si="12"/>
        <v>4744.900000000001</v>
      </c>
      <c r="K30" s="27">
        <f>K31+K33+K35+K37+K34+K36+K39+K32+K38</f>
        <v>3049.8999999999996</v>
      </c>
      <c r="L30" s="27">
        <f aca="true" t="shared" si="13" ref="L30:L37">K30*100/F30</f>
        <v>64.27878941156634</v>
      </c>
      <c r="M30" s="24">
        <f aca="true" t="shared" si="14" ref="M30:M37">K30*100/E30</f>
        <v>16.069443346768875</v>
      </c>
      <c r="N30" s="24">
        <f aca="true" t="shared" si="15" ref="N30:N37">K30*100/D30</f>
        <v>16.069443346768875</v>
      </c>
    </row>
    <row r="31" spans="1:14" ht="12.75">
      <c r="A31" s="12" t="s">
        <v>23</v>
      </c>
      <c r="B31" s="12"/>
      <c r="C31" s="63" t="s">
        <v>22</v>
      </c>
      <c r="D31" s="49">
        <v>13550</v>
      </c>
      <c r="E31" s="65">
        <f aca="true" t="shared" si="16" ref="E31:E37">G31+H31+I31+J31</f>
        <v>13550</v>
      </c>
      <c r="F31" s="49">
        <f aca="true" t="shared" si="17" ref="F31:F42">G31</f>
        <v>3387.5</v>
      </c>
      <c r="G31" s="49">
        <v>3387.5</v>
      </c>
      <c r="H31" s="49">
        <v>3387.5</v>
      </c>
      <c r="I31" s="17">
        <v>3387.5</v>
      </c>
      <c r="J31" s="18">
        <v>3387.5</v>
      </c>
      <c r="K31" s="64">
        <v>2302.2</v>
      </c>
      <c r="L31" s="20">
        <f t="shared" si="13"/>
        <v>67.96162361623615</v>
      </c>
      <c r="M31" s="18">
        <f t="shared" si="14"/>
        <v>16.99040590405904</v>
      </c>
      <c r="N31" s="18">
        <f t="shared" si="15"/>
        <v>16.99040590405904</v>
      </c>
    </row>
    <row r="32" spans="1:14" ht="12.75">
      <c r="A32" s="12" t="s">
        <v>70</v>
      </c>
      <c r="B32" s="12"/>
      <c r="C32" s="28" t="s">
        <v>71</v>
      </c>
      <c r="D32" s="65">
        <v>1549.2</v>
      </c>
      <c r="E32" s="65">
        <f t="shared" si="16"/>
        <v>1549.2</v>
      </c>
      <c r="F32" s="49">
        <f t="shared" si="17"/>
        <v>387.3</v>
      </c>
      <c r="G32" s="49">
        <v>387.3</v>
      </c>
      <c r="H32" s="49">
        <v>387.3</v>
      </c>
      <c r="I32" s="17">
        <v>387.3</v>
      </c>
      <c r="J32" s="18">
        <v>387.3</v>
      </c>
      <c r="K32" s="64">
        <v>286.7</v>
      </c>
      <c r="L32" s="20">
        <f t="shared" si="13"/>
        <v>74.02530338239092</v>
      </c>
      <c r="M32" s="18">
        <f t="shared" si="14"/>
        <v>18.50632584559773</v>
      </c>
      <c r="N32" s="18">
        <f t="shared" si="15"/>
        <v>18.50632584559773</v>
      </c>
    </row>
    <row r="33" spans="1:14" ht="12.75">
      <c r="A33" s="12" t="s">
        <v>9</v>
      </c>
      <c r="B33" s="12"/>
      <c r="C33" s="28" t="s">
        <v>6</v>
      </c>
      <c r="D33" s="65">
        <v>900</v>
      </c>
      <c r="E33" s="65">
        <f t="shared" si="16"/>
        <v>900</v>
      </c>
      <c r="F33" s="49">
        <f t="shared" si="17"/>
        <v>225</v>
      </c>
      <c r="G33" s="65">
        <v>225</v>
      </c>
      <c r="H33" s="65">
        <v>225</v>
      </c>
      <c r="I33" s="17">
        <v>225</v>
      </c>
      <c r="J33" s="18">
        <v>225</v>
      </c>
      <c r="K33" s="18">
        <v>237.3</v>
      </c>
      <c r="L33" s="20">
        <f t="shared" si="13"/>
        <v>105.46666666666667</v>
      </c>
      <c r="M33" s="18">
        <f t="shared" si="14"/>
        <v>26.366666666666667</v>
      </c>
      <c r="N33" s="18">
        <f t="shared" si="15"/>
        <v>26.366666666666667</v>
      </c>
    </row>
    <row r="34" spans="1:14" ht="12.75">
      <c r="A34" s="12" t="s">
        <v>10</v>
      </c>
      <c r="B34" s="12"/>
      <c r="C34" s="28" t="s">
        <v>21</v>
      </c>
      <c r="D34" s="65">
        <v>24.7</v>
      </c>
      <c r="E34" s="65">
        <f t="shared" si="16"/>
        <v>24.700000000000003</v>
      </c>
      <c r="F34" s="49">
        <f t="shared" si="17"/>
        <v>6.2</v>
      </c>
      <c r="G34" s="65">
        <v>6.2</v>
      </c>
      <c r="H34" s="65">
        <v>6.2</v>
      </c>
      <c r="I34" s="17">
        <v>6.2</v>
      </c>
      <c r="J34" s="18">
        <v>6.1</v>
      </c>
      <c r="K34" s="18">
        <v>3.9</v>
      </c>
      <c r="L34" s="20">
        <f t="shared" si="13"/>
        <v>62.90322580645161</v>
      </c>
      <c r="M34" s="18">
        <f t="shared" si="14"/>
        <v>15.789473684210524</v>
      </c>
      <c r="N34" s="18">
        <f t="shared" si="15"/>
        <v>15.789473684210527</v>
      </c>
    </row>
    <row r="35" spans="1:14" ht="22.5">
      <c r="A35" s="13" t="s">
        <v>11</v>
      </c>
      <c r="B35" s="13"/>
      <c r="C35" s="28" t="s">
        <v>17</v>
      </c>
      <c r="D35" s="65">
        <v>2015.2</v>
      </c>
      <c r="E35" s="65">
        <f t="shared" si="16"/>
        <v>2015.2</v>
      </c>
      <c r="F35" s="49">
        <f t="shared" si="17"/>
        <v>503.8</v>
      </c>
      <c r="G35" s="65">
        <v>503.8</v>
      </c>
      <c r="H35" s="65">
        <v>503.8</v>
      </c>
      <c r="I35" s="17">
        <v>503.8</v>
      </c>
      <c r="J35" s="18">
        <v>503.8</v>
      </c>
      <c r="K35" s="18">
        <v>51.6</v>
      </c>
      <c r="L35" s="20">
        <f t="shared" si="13"/>
        <v>10.242159587137753</v>
      </c>
      <c r="M35" s="18">
        <f t="shared" si="14"/>
        <v>2.560539896784438</v>
      </c>
      <c r="N35" s="18">
        <f t="shared" si="15"/>
        <v>2.560539896784438</v>
      </c>
    </row>
    <row r="36" spans="1:14" ht="15" customHeight="1">
      <c r="A36" s="30" t="s">
        <v>42</v>
      </c>
      <c r="B36" s="30"/>
      <c r="C36" s="28" t="s">
        <v>43</v>
      </c>
      <c r="D36" s="65">
        <v>755.9</v>
      </c>
      <c r="E36" s="65">
        <f t="shared" si="16"/>
        <v>755.9</v>
      </c>
      <c r="F36" s="49">
        <f t="shared" si="17"/>
        <v>188.9</v>
      </c>
      <c r="G36" s="65">
        <v>188.9</v>
      </c>
      <c r="H36" s="65">
        <v>189</v>
      </c>
      <c r="I36" s="17">
        <v>189</v>
      </c>
      <c r="J36" s="18">
        <v>189</v>
      </c>
      <c r="K36" s="18">
        <v>162</v>
      </c>
      <c r="L36" s="20">
        <f t="shared" si="13"/>
        <v>85.7596611964002</v>
      </c>
      <c r="M36" s="18">
        <f t="shared" si="14"/>
        <v>21.431406270670724</v>
      </c>
      <c r="N36" s="18">
        <f t="shared" si="15"/>
        <v>21.431406270670724</v>
      </c>
    </row>
    <row r="37" spans="1:14" ht="14.25" customHeight="1">
      <c r="A37" s="29" t="s">
        <v>18</v>
      </c>
      <c r="B37" s="29"/>
      <c r="C37" s="28" t="s">
        <v>15</v>
      </c>
      <c r="D37" s="65">
        <v>184.5</v>
      </c>
      <c r="E37" s="65">
        <f t="shared" si="16"/>
        <v>184.5</v>
      </c>
      <c r="F37" s="49">
        <f t="shared" si="17"/>
        <v>46.1</v>
      </c>
      <c r="G37" s="65">
        <v>46.1</v>
      </c>
      <c r="H37" s="65">
        <v>46.1</v>
      </c>
      <c r="I37" s="17">
        <v>46.1</v>
      </c>
      <c r="J37" s="18">
        <v>46.2</v>
      </c>
      <c r="K37" s="18">
        <v>6.2</v>
      </c>
      <c r="L37" s="20">
        <f t="shared" si="13"/>
        <v>13.449023861171366</v>
      </c>
      <c r="M37" s="18">
        <f t="shared" si="14"/>
        <v>3.3604336043360434</v>
      </c>
      <c r="N37" s="18">
        <f t="shared" si="15"/>
        <v>3.3604336043360434</v>
      </c>
    </row>
    <row r="38" spans="1:14" ht="14.25" customHeight="1">
      <c r="A38" s="21" t="s">
        <v>12</v>
      </c>
      <c r="B38" s="52"/>
      <c r="C38" s="28" t="s">
        <v>7</v>
      </c>
      <c r="D38" s="69"/>
      <c r="E38" s="65"/>
      <c r="F38" s="49">
        <f t="shared" si="17"/>
        <v>0</v>
      </c>
      <c r="G38" s="65"/>
      <c r="H38" s="65"/>
      <c r="I38" s="17"/>
      <c r="J38" s="18"/>
      <c r="K38" s="18"/>
      <c r="L38" s="20"/>
      <c r="M38" s="18"/>
      <c r="N38" s="18"/>
    </row>
    <row r="39" spans="1:14" ht="15.75" customHeight="1">
      <c r="A39" s="31" t="s">
        <v>39</v>
      </c>
      <c r="B39" s="50"/>
      <c r="C39" s="16" t="s">
        <v>40</v>
      </c>
      <c r="D39" s="69"/>
      <c r="E39" s="28"/>
      <c r="F39" s="49">
        <f t="shared" si="17"/>
        <v>0</v>
      </c>
      <c r="G39" s="65"/>
      <c r="H39" s="65"/>
      <c r="I39" s="17"/>
      <c r="J39" s="18"/>
      <c r="K39" s="18"/>
      <c r="L39" s="27"/>
      <c r="M39" s="24"/>
      <c r="N39" s="18"/>
    </row>
    <row r="40" spans="1:14" ht="12.75">
      <c r="A40" s="25" t="s">
        <v>1</v>
      </c>
      <c r="B40" s="25"/>
      <c r="C40" s="32" t="s">
        <v>0</v>
      </c>
      <c r="D40" s="33">
        <f>D41+D42</f>
        <v>11863.2</v>
      </c>
      <c r="E40" s="33">
        <f>E41+E42</f>
        <v>14272.399999999998</v>
      </c>
      <c r="F40" s="33">
        <f aca="true" t="shared" si="18" ref="F40:K40">F41+F42</f>
        <v>5375</v>
      </c>
      <c r="G40" s="33">
        <f t="shared" si="18"/>
        <v>5375</v>
      </c>
      <c r="H40" s="33">
        <f t="shared" si="18"/>
        <v>2965.8</v>
      </c>
      <c r="I40" s="33">
        <f t="shared" si="18"/>
        <v>2965.8</v>
      </c>
      <c r="J40" s="33">
        <f t="shared" si="18"/>
        <v>2965.8</v>
      </c>
      <c r="K40" s="33">
        <f t="shared" si="18"/>
        <v>1473.5</v>
      </c>
      <c r="L40" s="27">
        <f>K40*100/F40</f>
        <v>27.413953488372094</v>
      </c>
      <c r="M40" s="24">
        <f>K40*100/E40</f>
        <v>10.32412208178022</v>
      </c>
      <c r="N40" s="24">
        <f>K40*100/D40</f>
        <v>12.42076336907411</v>
      </c>
    </row>
    <row r="41" spans="1:14" ht="22.5">
      <c r="A41" s="14" t="s">
        <v>67</v>
      </c>
      <c r="B41" s="12"/>
      <c r="C41" s="34" t="s">
        <v>20</v>
      </c>
      <c r="D41" s="37">
        <v>11863.2</v>
      </c>
      <c r="E41" s="65">
        <f>G41+H41+I41+J41</f>
        <v>14272.399999999998</v>
      </c>
      <c r="F41" s="49">
        <f t="shared" si="17"/>
        <v>5375</v>
      </c>
      <c r="G41" s="37">
        <v>5375</v>
      </c>
      <c r="H41" s="37">
        <v>2965.8</v>
      </c>
      <c r="I41" s="17">
        <v>2965.8</v>
      </c>
      <c r="J41" s="37">
        <v>2965.8</v>
      </c>
      <c r="K41" s="18">
        <v>1473.5</v>
      </c>
      <c r="L41" s="20">
        <f>K41*100/F41</f>
        <v>27.413953488372094</v>
      </c>
      <c r="M41" s="18">
        <f>K41*100/E41</f>
        <v>10.32412208178022</v>
      </c>
      <c r="N41" s="18">
        <f>K41*100/D41</f>
        <v>12.42076336907411</v>
      </c>
    </row>
    <row r="42" spans="1:14" ht="40.5" customHeight="1" hidden="1">
      <c r="A42" s="14" t="s">
        <v>66</v>
      </c>
      <c r="B42" s="67"/>
      <c r="C42" s="19" t="s">
        <v>63</v>
      </c>
      <c r="D42" s="68">
        <v>0</v>
      </c>
      <c r="E42" s="65">
        <f>G42+H42+I42+J42</f>
        <v>0</v>
      </c>
      <c r="F42" s="49">
        <f t="shared" si="17"/>
        <v>0</v>
      </c>
      <c r="G42" s="37"/>
      <c r="H42" s="37"/>
      <c r="I42" s="17"/>
      <c r="J42" s="37"/>
      <c r="K42" s="18"/>
      <c r="L42" s="20" t="e">
        <f>K42*100/F42</f>
        <v>#DIV/0!</v>
      </c>
      <c r="M42" s="18" t="e">
        <f>K42*100/E42</f>
        <v>#DIV/0!</v>
      </c>
      <c r="N42" s="18"/>
    </row>
    <row r="43" spans="1:14" ht="12.75">
      <c r="A43" s="21"/>
      <c r="B43" s="22"/>
      <c r="C43" s="23" t="s">
        <v>4</v>
      </c>
      <c r="D43" s="24">
        <f aca="true" t="shared" si="19" ref="D43:J43">D40+D30</f>
        <v>30842.700000000004</v>
      </c>
      <c r="E43" s="24">
        <f t="shared" si="19"/>
        <v>33251.9</v>
      </c>
      <c r="F43" s="24">
        <f t="shared" si="19"/>
        <v>10119.8</v>
      </c>
      <c r="G43" s="24">
        <f t="shared" si="19"/>
        <v>10119.8</v>
      </c>
      <c r="H43" s="24">
        <f t="shared" si="19"/>
        <v>7710.700000000001</v>
      </c>
      <c r="I43" s="24">
        <f t="shared" si="19"/>
        <v>7710.700000000001</v>
      </c>
      <c r="J43" s="24">
        <f t="shared" si="19"/>
        <v>7710.700000000001</v>
      </c>
      <c r="K43" s="24">
        <f>K40+K30</f>
        <v>4523.4</v>
      </c>
      <c r="L43" s="27">
        <f>K43*100/F43</f>
        <v>44.698511828297</v>
      </c>
      <c r="M43" s="24">
        <f>K43*100/E43</f>
        <v>13.603433187276515</v>
      </c>
      <c r="N43" s="24">
        <f>K43*100/D43</f>
        <v>14.666031184040303</v>
      </c>
    </row>
    <row r="44" spans="1:14" ht="12.75">
      <c r="A44" s="70"/>
      <c r="B44" s="71"/>
      <c r="C44" s="99"/>
      <c r="D44" s="99"/>
      <c r="E44" s="99"/>
      <c r="F44" s="99"/>
      <c r="G44" s="99"/>
      <c r="H44" s="99"/>
      <c r="I44" s="99"/>
      <c r="J44" s="99"/>
      <c r="K44" s="99"/>
      <c r="L44" s="27"/>
      <c r="M44" s="24"/>
      <c r="N44" s="18"/>
    </row>
    <row r="45" spans="1:14" ht="12.75">
      <c r="A45" s="91" t="s">
        <v>26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3"/>
    </row>
    <row r="46" spans="1:14" ht="12.75">
      <c r="A46" s="25" t="s">
        <v>3</v>
      </c>
      <c r="B46" s="25"/>
      <c r="C46" s="26" t="s">
        <v>68</v>
      </c>
      <c r="D46" s="27">
        <f>D47+D50+D52+D54+D55+D56+D51+D49+D48+D53</f>
        <v>19673.7</v>
      </c>
      <c r="E46" s="27">
        <f>E47+E50+E52+E54+E55+E56+E51+E49+E48+E53</f>
        <v>19673.7</v>
      </c>
      <c r="F46" s="27">
        <f aca="true" t="shared" si="20" ref="F46:K46">F47+F50+F52+F54+F55+F56+F51+F49+F48+F53</f>
        <v>4372.2</v>
      </c>
      <c r="G46" s="27">
        <f t="shared" si="20"/>
        <v>4372.2</v>
      </c>
      <c r="H46" s="27">
        <f t="shared" si="20"/>
        <v>4562.1</v>
      </c>
      <c r="I46" s="27">
        <f t="shared" si="20"/>
        <v>4519.2</v>
      </c>
      <c r="J46" s="27">
        <f t="shared" si="20"/>
        <v>6220.2</v>
      </c>
      <c r="K46" s="27">
        <f t="shared" si="20"/>
        <v>3893.6000000000004</v>
      </c>
      <c r="L46" s="27">
        <f aca="true" t="shared" si="21" ref="L46:L52">K46*100/F46</f>
        <v>89.05356571062624</v>
      </c>
      <c r="M46" s="24">
        <f aca="true" t="shared" si="22" ref="M46:M52">K46*100/E46</f>
        <v>19.79088834332129</v>
      </c>
      <c r="N46" s="24">
        <f aca="true" t="shared" si="23" ref="N46:N52">K46*100/D46</f>
        <v>19.79088834332129</v>
      </c>
    </row>
    <row r="47" spans="1:14" ht="12.75">
      <c r="A47" s="21" t="s">
        <v>23</v>
      </c>
      <c r="B47" s="12"/>
      <c r="C47" s="63" t="s">
        <v>22</v>
      </c>
      <c r="D47" s="49">
        <v>12400</v>
      </c>
      <c r="E47" s="65">
        <f aca="true" t="shared" si="24" ref="E47:E60">G47+H47+I47+J47</f>
        <v>12400</v>
      </c>
      <c r="F47" s="49">
        <f aca="true" t="shared" si="25" ref="F47:F58">G47</f>
        <v>2818.5</v>
      </c>
      <c r="G47" s="65">
        <v>2818.5</v>
      </c>
      <c r="H47" s="65">
        <v>3024.8</v>
      </c>
      <c r="I47" s="17">
        <v>3024.7</v>
      </c>
      <c r="J47" s="18">
        <v>3532</v>
      </c>
      <c r="K47" s="64">
        <v>2250.3</v>
      </c>
      <c r="L47" s="20">
        <f t="shared" si="21"/>
        <v>79.84034060670571</v>
      </c>
      <c r="M47" s="18">
        <f t="shared" si="22"/>
        <v>18.14758064516129</v>
      </c>
      <c r="N47" s="18">
        <f t="shared" si="23"/>
        <v>18.14758064516129</v>
      </c>
    </row>
    <row r="48" spans="1:14" ht="12.75">
      <c r="A48" s="12" t="s">
        <v>70</v>
      </c>
      <c r="B48" s="12"/>
      <c r="C48" s="28" t="s">
        <v>71</v>
      </c>
      <c r="D48" s="65">
        <v>3758.4</v>
      </c>
      <c r="E48" s="65">
        <f t="shared" si="24"/>
        <v>3758.4</v>
      </c>
      <c r="F48" s="49">
        <f t="shared" si="25"/>
        <v>939.1</v>
      </c>
      <c r="G48" s="65">
        <v>939.1</v>
      </c>
      <c r="H48" s="65">
        <v>939.7</v>
      </c>
      <c r="I48" s="17">
        <v>939.7</v>
      </c>
      <c r="J48" s="18">
        <v>939.9</v>
      </c>
      <c r="K48" s="64">
        <v>695.6</v>
      </c>
      <c r="L48" s="20">
        <f t="shared" si="21"/>
        <v>74.07091896496645</v>
      </c>
      <c r="M48" s="18">
        <f t="shared" si="22"/>
        <v>18.507875691783738</v>
      </c>
      <c r="N48" s="18">
        <f t="shared" si="23"/>
        <v>18.507875691783738</v>
      </c>
    </row>
    <row r="49" spans="1:14" ht="12.75">
      <c r="A49" s="12" t="s">
        <v>8</v>
      </c>
      <c r="B49" s="12"/>
      <c r="C49" s="28" t="s">
        <v>5</v>
      </c>
      <c r="D49" s="65">
        <v>11</v>
      </c>
      <c r="E49" s="65">
        <f t="shared" si="24"/>
        <v>11</v>
      </c>
      <c r="F49" s="49">
        <f t="shared" si="25"/>
        <v>11</v>
      </c>
      <c r="G49" s="65">
        <v>11</v>
      </c>
      <c r="H49" s="65"/>
      <c r="I49" s="17"/>
      <c r="J49" s="18"/>
      <c r="K49" s="64"/>
      <c r="L49" s="20">
        <f t="shared" si="21"/>
        <v>0</v>
      </c>
      <c r="M49" s="18">
        <f t="shared" si="22"/>
        <v>0</v>
      </c>
      <c r="N49" s="18">
        <f t="shared" si="23"/>
        <v>0</v>
      </c>
    </row>
    <row r="50" spans="1:14" ht="14.25" customHeight="1">
      <c r="A50" s="12" t="s">
        <v>9</v>
      </c>
      <c r="B50" s="12"/>
      <c r="C50" s="28" t="s">
        <v>6</v>
      </c>
      <c r="D50" s="65">
        <v>2372.7</v>
      </c>
      <c r="E50" s="65">
        <f t="shared" si="24"/>
        <v>2372.7</v>
      </c>
      <c r="F50" s="49">
        <f t="shared" si="25"/>
        <v>376</v>
      </c>
      <c r="G50" s="65">
        <v>376</v>
      </c>
      <c r="H50" s="65">
        <v>297.7</v>
      </c>
      <c r="I50" s="17">
        <v>255</v>
      </c>
      <c r="J50" s="18">
        <v>1444</v>
      </c>
      <c r="K50" s="18">
        <v>767.8</v>
      </c>
      <c r="L50" s="20">
        <f t="shared" si="21"/>
        <v>204.20212765957447</v>
      </c>
      <c r="M50" s="18">
        <f t="shared" si="22"/>
        <v>32.359758924432086</v>
      </c>
      <c r="N50" s="18">
        <f t="shared" si="23"/>
        <v>32.359758924432086</v>
      </c>
    </row>
    <row r="51" spans="1:14" ht="18" customHeight="1" hidden="1">
      <c r="A51" s="12" t="s">
        <v>10</v>
      </c>
      <c r="B51" s="12"/>
      <c r="C51" s="28" t="s">
        <v>21</v>
      </c>
      <c r="D51" s="65"/>
      <c r="E51" s="65">
        <f t="shared" si="24"/>
        <v>0</v>
      </c>
      <c r="F51" s="49">
        <f t="shared" si="25"/>
        <v>0</v>
      </c>
      <c r="G51" s="65"/>
      <c r="H51" s="65"/>
      <c r="I51" s="17"/>
      <c r="J51" s="18"/>
      <c r="K51" s="18"/>
      <c r="L51" s="20" t="e">
        <f t="shared" si="21"/>
        <v>#DIV/0!</v>
      </c>
      <c r="M51" s="18" t="e">
        <f t="shared" si="22"/>
        <v>#DIV/0!</v>
      </c>
      <c r="N51" s="18" t="e">
        <f t="shared" si="23"/>
        <v>#DIV/0!</v>
      </c>
    </row>
    <row r="52" spans="1:14" ht="22.5">
      <c r="A52" s="13" t="s">
        <v>11</v>
      </c>
      <c r="B52" s="13"/>
      <c r="C52" s="28" t="s">
        <v>17</v>
      </c>
      <c r="D52" s="65">
        <v>979</v>
      </c>
      <c r="E52" s="65">
        <f t="shared" si="24"/>
        <v>979</v>
      </c>
      <c r="F52" s="49">
        <f t="shared" si="25"/>
        <v>212.6</v>
      </c>
      <c r="G52" s="65">
        <v>212.6</v>
      </c>
      <c r="H52" s="65">
        <v>254.9</v>
      </c>
      <c r="I52" s="17">
        <v>254.8</v>
      </c>
      <c r="J52" s="18">
        <v>256.7</v>
      </c>
      <c r="K52" s="18">
        <v>66</v>
      </c>
      <c r="L52" s="20">
        <f t="shared" si="21"/>
        <v>31.044214487300096</v>
      </c>
      <c r="M52" s="18">
        <f t="shared" si="22"/>
        <v>6.741573033707865</v>
      </c>
      <c r="N52" s="18">
        <f t="shared" si="23"/>
        <v>6.741573033707865</v>
      </c>
    </row>
    <row r="53" spans="1:14" ht="22.5" customHeight="1">
      <c r="A53" s="30" t="s">
        <v>42</v>
      </c>
      <c r="B53" s="30"/>
      <c r="C53" s="28" t="s">
        <v>43</v>
      </c>
      <c r="D53" s="65"/>
      <c r="E53" s="65"/>
      <c r="F53" s="49">
        <f t="shared" si="25"/>
        <v>0</v>
      </c>
      <c r="G53" s="65"/>
      <c r="H53" s="65"/>
      <c r="I53" s="17"/>
      <c r="J53" s="18"/>
      <c r="K53" s="18">
        <v>91.9</v>
      </c>
      <c r="L53" s="20"/>
      <c r="M53" s="18"/>
      <c r="N53" s="18"/>
    </row>
    <row r="54" spans="1:14" ht="22.5">
      <c r="A54" s="30" t="s">
        <v>18</v>
      </c>
      <c r="B54" s="30"/>
      <c r="C54" s="28" t="s">
        <v>15</v>
      </c>
      <c r="D54" s="65">
        <v>150</v>
      </c>
      <c r="E54" s="65">
        <f t="shared" si="24"/>
        <v>150</v>
      </c>
      <c r="F54" s="49">
        <f t="shared" si="25"/>
        <v>15</v>
      </c>
      <c r="G54" s="65">
        <v>15</v>
      </c>
      <c r="H54" s="65">
        <v>45</v>
      </c>
      <c r="I54" s="17">
        <v>45</v>
      </c>
      <c r="J54" s="18">
        <v>45</v>
      </c>
      <c r="K54" s="18">
        <v>22</v>
      </c>
      <c r="L54" s="20">
        <f>K54*100/F54</f>
        <v>146.66666666666666</v>
      </c>
      <c r="M54" s="18">
        <f>K54*100/E54</f>
        <v>14.666666666666666</v>
      </c>
      <c r="N54" s="18">
        <f>K54*100/D54</f>
        <v>14.666666666666666</v>
      </c>
    </row>
    <row r="55" spans="1:14" ht="16.5" customHeight="1">
      <c r="A55" s="21" t="s">
        <v>12</v>
      </c>
      <c r="B55" s="21"/>
      <c r="C55" s="28" t="s">
        <v>7</v>
      </c>
      <c r="D55" s="65">
        <v>2.6</v>
      </c>
      <c r="E55" s="65">
        <f t="shared" si="24"/>
        <v>2.6</v>
      </c>
      <c r="F55" s="49">
        <f t="shared" si="25"/>
        <v>0</v>
      </c>
      <c r="G55" s="65"/>
      <c r="H55" s="65"/>
      <c r="I55" s="17"/>
      <c r="J55" s="18">
        <v>2.6</v>
      </c>
      <c r="K55" s="18"/>
      <c r="L55" s="20"/>
      <c r="M55" s="18">
        <f>K55*100/E55</f>
        <v>0</v>
      </c>
      <c r="N55" s="18">
        <f>K55*100/D55</f>
        <v>0</v>
      </c>
    </row>
    <row r="56" spans="1:14" ht="14.25" customHeight="1">
      <c r="A56" s="51" t="s">
        <v>39</v>
      </c>
      <c r="B56" s="50"/>
      <c r="C56" s="16" t="s">
        <v>40</v>
      </c>
      <c r="D56" s="65"/>
      <c r="E56" s="65">
        <f t="shared" si="24"/>
        <v>0</v>
      </c>
      <c r="F56" s="49">
        <f t="shared" si="25"/>
        <v>0</v>
      </c>
      <c r="G56" s="65"/>
      <c r="H56" s="65"/>
      <c r="I56" s="17"/>
      <c r="J56" s="18"/>
      <c r="K56" s="18"/>
      <c r="L56" s="20"/>
      <c r="M56" s="18"/>
      <c r="N56" s="18"/>
    </row>
    <row r="57" spans="1:14" ht="12.75">
      <c r="A57" s="61" t="s">
        <v>1</v>
      </c>
      <c r="B57" s="61"/>
      <c r="C57" s="32" t="s">
        <v>0</v>
      </c>
      <c r="D57" s="33">
        <f>D58+D60+D59</f>
        <v>11753.4</v>
      </c>
      <c r="E57" s="33">
        <f>E58+E60+E59</f>
        <v>11755.400000000001</v>
      </c>
      <c r="F57" s="33">
        <f aca="true" t="shared" si="26" ref="F57:K57">F58+F60+F59</f>
        <v>2908.9</v>
      </c>
      <c r="G57" s="33">
        <f t="shared" si="26"/>
        <v>2908.9</v>
      </c>
      <c r="H57" s="33">
        <f t="shared" si="26"/>
        <v>2950.2</v>
      </c>
      <c r="I57" s="33">
        <f t="shared" si="26"/>
        <v>2948.1</v>
      </c>
      <c r="J57" s="33">
        <f t="shared" si="26"/>
        <v>2948.2</v>
      </c>
      <c r="K57" s="33">
        <f t="shared" si="26"/>
        <v>858.6</v>
      </c>
      <c r="L57" s="27">
        <f>K57*100/F57</f>
        <v>29.51631200797552</v>
      </c>
      <c r="M57" s="24">
        <f>K57*100/E57</f>
        <v>7.303877366997294</v>
      </c>
      <c r="N57" s="24">
        <f>K57*100/D57</f>
        <v>7.305120220531931</v>
      </c>
    </row>
    <row r="58" spans="1:14" ht="22.5">
      <c r="A58" s="14" t="s">
        <v>67</v>
      </c>
      <c r="B58" s="12"/>
      <c r="C58" s="34" t="s">
        <v>20</v>
      </c>
      <c r="D58" s="37">
        <v>11753.4</v>
      </c>
      <c r="E58" s="65">
        <f t="shared" si="24"/>
        <v>11755.400000000001</v>
      </c>
      <c r="F58" s="49">
        <f t="shared" si="25"/>
        <v>2908.9</v>
      </c>
      <c r="G58" s="37">
        <v>2908.9</v>
      </c>
      <c r="H58" s="37">
        <f>2948.2+2</f>
        <v>2950.2</v>
      </c>
      <c r="I58" s="17">
        <v>2948.1</v>
      </c>
      <c r="J58" s="17">
        <v>2948.2</v>
      </c>
      <c r="K58" s="18">
        <v>858.6</v>
      </c>
      <c r="L58" s="20">
        <f>K58*100/F58</f>
        <v>29.51631200797552</v>
      </c>
      <c r="M58" s="18">
        <f>K58*100/E58</f>
        <v>7.303877366997294</v>
      </c>
      <c r="N58" s="18">
        <f>K58*100/D58</f>
        <v>7.305120220531931</v>
      </c>
    </row>
    <row r="59" spans="1:14" ht="12.75" hidden="1">
      <c r="A59" s="14" t="s">
        <v>2</v>
      </c>
      <c r="B59" s="14"/>
      <c r="C59" s="35" t="s">
        <v>19</v>
      </c>
      <c r="D59" s="35"/>
      <c r="E59" s="65">
        <f>G59+H59+I59+J59</f>
        <v>0</v>
      </c>
      <c r="F59" s="65">
        <f>G59</f>
        <v>0</v>
      </c>
      <c r="G59" s="37"/>
      <c r="H59" s="37"/>
      <c r="I59" s="17"/>
      <c r="J59" s="47"/>
      <c r="K59" s="18"/>
      <c r="L59" s="20" t="e">
        <f>K59*100/F59</f>
        <v>#DIV/0!</v>
      </c>
      <c r="M59" s="18" t="e">
        <f>K59*100/E59</f>
        <v>#DIV/0!</v>
      </c>
      <c r="N59" s="18" t="e">
        <f>K59*100/D59</f>
        <v>#DIV/0!</v>
      </c>
    </row>
    <row r="60" spans="1:14" ht="33.75" hidden="1">
      <c r="A60" s="14" t="s">
        <v>66</v>
      </c>
      <c r="B60" s="67"/>
      <c r="C60" s="19" t="s">
        <v>63</v>
      </c>
      <c r="D60" s="19"/>
      <c r="E60" s="65">
        <f t="shared" si="24"/>
        <v>0</v>
      </c>
      <c r="F60" s="65">
        <f>G60</f>
        <v>0</v>
      </c>
      <c r="G60" s="72"/>
      <c r="H60" s="72"/>
      <c r="I60" s="17"/>
      <c r="J60" s="47"/>
      <c r="K60" s="18"/>
      <c r="L60" s="20"/>
      <c r="M60" s="18"/>
      <c r="N60" s="18" t="e">
        <f>K60*100/D60</f>
        <v>#DIV/0!</v>
      </c>
    </row>
    <row r="61" spans="1:14" ht="12.75">
      <c r="A61" s="13"/>
      <c r="B61" s="73"/>
      <c r="C61" s="74" t="s">
        <v>4</v>
      </c>
      <c r="D61" s="75">
        <f aca="true" t="shared" si="27" ref="D61:K61">D57+D46</f>
        <v>31427.1</v>
      </c>
      <c r="E61" s="75">
        <f t="shared" si="27"/>
        <v>31429.100000000002</v>
      </c>
      <c r="F61" s="75">
        <f t="shared" si="27"/>
        <v>7281.1</v>
      </c>
      <c r="G61" s="75">
        <f t="shared" si="27"/>
        <v>7281.1</v>
      </c>
      <c r="H61" s="75">
        <f t="shared" si="27"/>
        <v>7512.3</v>
      </c>
      <c r="I61" s="75">
        <f t="shared" si="27"/>
        <v>7467.299999999999</v>
      </c>
      <c r="J61" s="75">
        <f t="shared" si="27"/>
        <v>9168.4</v>
      </c>
      <c r="K61" s="75">
        <f t="shared" si="27"/>
        <v>4752.200000000001</v>
      </c>
      <c r="L61" s="27">
        <f>K61*100/F61</f>
        <v>65.26761066322396</v>
      </c>
      <c r="M61" s="24">
        <f>K61*100/E61</f>
        <v>15.120382066301612</v>
      </c>
      <c r="N61" s="24">
        <f>K61*100/D61</f>
        <v>15.121344317483958</v>
      </c>
    </row>
    <row r="62" spans="1:14" ht="12.75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27"/>
      <c r="M62" s="24"/>
      <c r="N62" s="18"/>
    </row>
    <row r="63" spans="1:14" ht="12.75">
      <c r="A63" s="91" t="s">
        <v>27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</row>
    <row r="64" spans="1:14" ht="12.75">
      <c r="A64" s="61" t="s">
        <v>3</v>
      </c>
      <c r="B64" s="61"/>
      <c r="C64" s="62" t="s">
        <v>68</v>
      </c>
      <c r="D64" s="36">
        <f aca="true" t="shared" si="28" ref="D64:K64">D65+D68+D70+D72+D69+D74+D73+D67+D71+D66</f>
        <v>37383</v>
      </c>
      <c r="E64" s="36">
        <f t="shared" si="28"/>
        <v>37383</v>
      </c>
      <c r="F64" s="36">
        <f t="shared" si="28"/>
        <v>8654.6</v>
      </c>
      <c r="G64" s="36">
        <f t="shared" si="28"/>
        <v>8654.6</v>
      </c>
      <c r="H64" s="36">
        <f t="shared" si="28"/>
        <v>9280.300000000001</v>
      </c>
      <c r="I64" s="36">
        <f t="shared" si="28"/>
        <v>6833.3</v>
      </c>
      <c r="J64" s="36">
        <f t="shared" si="28"/>
        <v>12614.8</v>
      </c>
      <c r="K64" s="36">
        <f t="shared" si="28"/>
        <v>5449.200000000001</v>
      </c>
      <c r="L64" s="27">
        <f aca="true" t="shared" si="29" ref="L64:L70">K64*100/F64</f>
        <v>62.96304855221502</v>
      </c>
      <c r="M64" s="24">
        <f aca="true" t="shared" si="30" ref="M64:M70">K64*100/E64</f>
        <v>14.57667923922639</v>
      </c>
      <c r="N64" s="24">
        <f aca="true" t="shared" si="31" ref="N64:N70">K64*100/D64</f>
        <v>14.57667923922639</v>
      </c>
    </row>
    <row r="65" spans="1:14" ht="12.75">
      <c r="A65" s="12" t="s">
        <v>23</v>
      </c>
      <c r="B65" s="12"/>
      <c r="C65" s="63" t="s">
        <v>22</v>
      </c>
      <c r="D65" s="49">
        <v>17800</v>
      </c>
      <c r="E65" s="65">
        <f>G65+H65+I65+J65</f>
        <v>17800</v>
      </c>
      <c r="F65" s="49">
        <f aca="true" t="shared" si="32" ref="F65:F77">G65</f>
        <v>4432.5</v>
      </c>
      <c r="G65" s="76">
        <v>4432.5</v>
      </c>
      <c r="H65" s="76">
        <v>5412.5</v>
      </c>
      <c r="I65" s="20">
        <v>2942.5</v>
      </c>
      <c r="J65" s="20">
        <v>5012.5</v>
      </c>
      <c r="K65" s="20">
        <v>2551.3</v>
      </c>
      <c r="L65" s="20">
        <f t="shared" si="29"/>
        <v>57.558939650310215</v>
      </c>
      <c r="M65" s="18">
        <f t="shared" si="30"/>
        <v>14.333146067415733</v>
      </c>
      <c r="N65" s="18">
        <f t="shared" si="31"/>
        <v>14.333146067415733</v>
      </c>
    </row>
    <row r="66" spans="1:14" ht="12.75">
      <c r="A66" s="12" t="s">
        <v>70</v>
      </c>
      <c r="B66" s="12"/>
      <c r="C66" s="28" t="s">
        <v>71</v>
      </c>
      <c r="D66" s="65">
        <v>6459.7</v>
      </c>
      <c r="E66" s="65">
        <f>G66+H66+I66+J66</f>
        <v>6459.700000000001</v>
      </c>
      <c r="F66" s="49">
        <f t="shared" si="32"/>
        <v>1585.8</v>
      </c>
      <c r="G66" s="76">
        <v>1585.8</v>
      </c>
      <c r="H66" s="76">
        <v>1615.7</v>
      </c>
      <c r="I66" s="20">
        <v>1609.8</v>
      </c>
      <c r="J66" s="20">
        <v>1648.4</v>
      </c>
      <c r="K66" s="20">
        <v>1195.5</v>
      </c>
      <c r="L66" s="20">
        <f t="shared" si="29"/>
        <v>75.38781687476353</v>
      </c>
      <c r="M66" s="18">
        <f t="shared" si="30"/>
        <v>18.50705141105624</v>
      </c>
      <c r="N66" s="18">
        <f t="shared" si="31"/>
        <v>18.507051411056242</v>
      </c>
    </row>
    <row r="67" spans="1:14" ht="12.75">
      <c r="A67" s="12" t="s">
        <v>8</v>
      </c>
      <c r="B67" s="12"/>
      <c r="C67" s="28" t="s">
        <v>5</v>
      </c>
      <c r="D67" s="65">
        <v>50</v>
      </c>
      <c r="E67" s="65">
        <f aca="true" t="shared" si="33" ref="E67:E77">G67+H67+I67+J67</f>
        <v>50</v>
      </c>
      <c r="F67" s="49">
        <f t="shared" si="32"/>
        <v>12.5</v>
      </c>
      <c r="G67" s="37">
        <v>12.5</v>
      </c>
      <c r="H67" s="37">
        <v>12.5</v>
      </c>
      <c r="I67" s="17">
        <v>12.5</v>
      </c>
      <c r="J67" s="17">
        <v>12.5</v>
      </c>
      <c r="K67" s="17">
        <v>1.8</v>
      </c>
      <c r="L67" s="20">
        <f t="shared" si="29"/>
        <v>14.4</v>
      </c>
      <c r="M67" s="18">
        <f t="shared" si="30"/>
        <v>3.6</v>
      </c>
      <c r="N67" s="18">
        <f t="shared" si="31"/>
        <v>3.6</v>
      </c>
    </row>
    <row r="68" spans="1:14" ht="12.75">
      <c r="A68" s="12" t="s">
        <v>9</v>
      </c>
      <c r="B68" s="12"/>
      <c r="C68" s="28" t="s">
        <v>6</v>
      </c>
      <c r="D68" s="65">
        <v>7550</v>
      </c>
      <c r="E68" s="65">
        <f t="shared" si="33"/>
        <v>7550</v>
      </c>
      <c r="F68" s="49">
        <f t="shared" si="32"/>
        <v>1240</v>
      </c>
      <c r="G68" s="37">
        <v>1240</v>
      </c>
      <c r="H68" s="37">
        <v>860</v>
      </c>
      <c r="I68" s="17">
        <v>890</v>
      </c>
      <c r="J68" s="17">
        <v>4560</v>
      </c>
      <c r="K68" s="17">
        <v>1138</v>
      </c>
      <c r="L68" s="20">
        <f t="shared" si="29"/>
        <v>91.7741935483871</v>
      </c>
      <c r="M68" s="18">
        <f t="shared" si="30"/>
        <v>15.072847682119205</v>
      </c>
      <c r="N68" s="18">
        <f t="shared" si="31"/>
        <v>15.072847682119205</v>
      </c>
    </row>
    <row r="69" spans="1:14" ht="18.75" customHeight="1">
      <c r="A69" s="12" t="s">
        <v>10</v>
      </c>
      <c r="B69" s="12"/>
      <c r="C69" s="28" t="s">
        <v>21</v>
      </c>
      <c r="D69" s="65">
        <v>46.1</v>
      </c>
      <c r="E69" s="65">
        <f t="shared" si="33"/>
        <v>46.1</v>
      </c>
      <c r="F69" s="49">
        <f t="shared" si="32"/>
        <v>11.5</v>
      </c>
      <c r="G69" s="37">
        <v>11.5</v>
      </c>
      <c r="H69" s="37">
        <v>11.6</v>
      </c>
      <c r="I69" s="17">
        <v>11.5</v>
      </c>
      <c r="J69" s="17">
        <v>11.5</v>
      </c>
      <c r="K69" s="17">
        <v>12.8</v>
      </c>
      <c r="L69" s="20">
        <f t="shared" si="29"/>
        <v>111.30434782608695</v>
      </c>
      <c r="M69" s="18">
        <f t="shared" si="30"/>
        <v>27.765726681127983</v>
      </c>
      <c r="N69" s="18">
        <f t="shared" si="31"/>
        <v>27.765726681127983</v>
      </c>
    </row>
    <row r="70" spans="1:14" ht="23.25" customHeight="1">
      <c r="A70" s="13" t="s">
        <v>11</v>
      </c>
      <c r="B70" s="13"/>
      <c r="C70" s="28" t="s">
        <v>17</v>
      </c>
      <c r="D70" s="65">
        <v>5302.2</v>
      </c>
      <c r="E70" s="65">
        <f t="shared" si="33"/>
        <v>5302.200000000001</v>
      </c>
      <c r="F70" s="49">
        <f t="shared" si="32"/>
        <v>1328.3</v>
      </c>
      <c r="G70" s="37">
        <v>1328.3</v>
      </c>
      <c r="H70" s="37">
        <v>1324</v>
      </c>
      <c r="I70" s="17">
        <v>1324</v>
      </c>
      <c r="J70" s="17">
        <v>1325.9</v>
      </c>
      <c r="K70" s="17">
        <v>453.7</v>
      </c>
      <c r="L70" s="20">
        <f t="shared" si="29"/>
        <v>34.1564405631258</v>
      </c>
      <c r="M70" s="18">
        <f t="shared" si="30"/>
        <v>8.55682546867338</v>
      </c>
      <c r="N70" s="18">
        <f t="shared" si="31"/>
        <v>8.556825468673381</v>
      </c>
    </row>
    <row r="71" spans="1:14" ht="14.25" customHeight="1" hidden="1">
      <c r="A71" s="30" t="s">
        <v>42</v>
      </c>
      <c r="B71" s="30"/>
      <c r="C71" s="28" t="s">
        <v>43</v>
      </c>
      <c r="D71" s="65"/>
      <c r="E71" s="65">
        <f t="shared" si="33"/>
        <v>0</v>
      </c>
      <c r="F71" s="49">
        <f t="shared" si="32"/>
        <v>0</v>
      </c>
      <c r="G71" s="37"/>
      <c r="H71" s="37"/>
      <c r="I71" s="17"/>
      <c r="J71" s="17"/>
      <c r="K71" s="17"/>
      <c r="L71" s="20"/>
      <c r="M71" s="18"/>
      <c r="N71" s="18"/>
    </row>
    <row r="72" spans="1:14" ht="22.5">
      <c r="A72" s="29" t="s">
        <v>18</v>
      </c>
      <c r="B72" s="29"/>
      <c r="C72" s="28" t="s">
        <v>15</v>
      </c>
      <c r="D72" s="65">
        <v>175</v>
      </c>
      <c r="E72" s="65">
        <f t="shared" si="33"/>
        <v>175</v>
      </c>
      <c r="F72" s="49">
        <f t="shared" si="32"/>
        <v>44</v>
      </c>
      <c r="G72" s="37">
        <v>44</v>
      </c>
      <c r="H72" s="37">
        <v>44</v>
      </c>
      <c r="I72" s="17">
        <v>43</v>
      </c>
      <c r="J72" s="17">
        <v>44</v>
      </c>
      <c r="K72" s="17">
        <v>120.1</v>
      </c>
      <c r="L72" s="20">
        <f>K72*100/F72</f>
        <v>272.95454545454544</v>
      </c>
      <c r="M72" s="18">
        <f>K72*100/E72</f>
        <v>68.62857142857143</v>
      </c>
      <c r="N72" s="18">
        <f>K72*100/D72</f>
        <v>68.62857142857143</v>
      </c>
    </row>
    <row r="73" spans="1:14" ht="12.75" customHeight="1">
      <c r="A73" s="21" t="s">
        <v>12</v>
      </c>
      <c r="B73" s="21"/>
      <c r="C73" s="28" t="s">
        <v>7</v>
      </c>
      <c r="D73" s="65"/>
      <c r="E73" s="65">
        <f t="shared" si="33"/>
        <v>0</v>
      </c>
      <c r="F73" s="49">
        <f t="shared" si="32"/>
        <v>0</v>
      </c>
      <c r="G73" s="37"/>
      <c r="H73" s="37"/>
      <c r="I73" s="17"/>
      <c r="J73" s="17"/>
      <c r="K73" s="17"/>
      <c r="L73" s="20"/>
      <c r="M73" s="18"/>
      <c r="N73" s="18"/>
    </row>
    <row r="74" spans="1:14" ht="12.75">
      <c r="A74" s="31" t="s">
        <v>39</v>
      </c>
      <c r="B74" s="50"/>
      <c r="C74" s="16" t="s">
        <v>40</v>
      </c>
      <c r="D74" s="65"/>
      <c r="E74" s="65">
        <f t="shared" si="33"/>
        <v>0</v>
      </c>
      <c r="F74" s="49">
        <f t="shared" si="32"/>
        <v>0</v>
      </c>
      <c r="G74" s="37"/>
      <c r="H74" s="37"/>
      <c r="I74" s="17"/>
      <c r="J74" s="17"/>
      <c r="K74" s="17">
        <v>-24</v>
      </c>
      <c r="L74" s="20"/>
      <c r="M74" s="18"/>
      <c r="N74" s="18"/>
    </row>
    <row r="75" spans="1:14" ht="12.75">
      <c r="A75" s="25" t="s">
        <v>1</v>
      </c>
      <c r="B75" s="25"/>
      <c r="C75" s="32" t="s">
        <v>0</v>
      </c>
      <c r="D75" s="33">
        <f aca="true" t="shared" si="34" ref="D75:K75">D76+D77</f>
        <v>26371.2</v>
      </c>
      <c r="E75" s="33">
        <f t="shared" si="34"/>
        <v>32314.9</v>
      </c>
      <c r="F75" s="33">
        <f t="shared" si="34"/>
        <v>11348.1</v>
      </c>
      <c r="G75" s="33">
        <f t="shared" si="34"/>
        <v>11348.1</v>
      </c>
      <c r="H75" s="33">
        <f t="shared" si="34"/>
        <v>7781.2</v>
      </c>
      <c r="I75" s="33">
        <f t="shared" si="34"/>
        <v>7068.2</v>
      </c>
      <c r="J75" s="33">
        <f t="shared" si="34"/>
        <v>6117.4</v>
      </c>
      <c r="K75" s="33">
        <f t="shared" si="34"/>
        <v>3259.5</v>
      </c>
      <c r="L75" s="27">
        <f>K75*100/F75</f>
        <v>28.72286990773786</v>
      </c>
      <c r="M75" s="24">
        <f>K75*100/E75</f>
        <v>10.086678281535761</v>
      </c>
      <c r="N75" s="24">
        <f>K75*100/D75</f>
        <v>12.360074626865671</v>
      </c>
    </row>
    <row r="76" spans="1:14" ht="22.5">
      <c r="A76" s="14" t="s">
        <v>67</v>
      </c>
      <c r="B76" s="12"/>
      <c r="C76" s="34" t="s">
        <v>20</v>
      </c>
      <c r="D76" s="37">
        <v>26371.2</v>
      </c>
      <c r="E76" s="65">
        <f t="shared" si="33"/>
        <v>32314.9</v>
      </c>
      <c r="F76" s="49">
        <f t="shared" si="32"/>
        <v>11348.1</v>
      </c>
      <c r="G76" s="37">
        <v>11348.1</v>
      </c>
      <c r="H76" s="37">
        <v>7781.2</v>
      </c>
      <c r="I76" s="17">
        <v>7068.2</v>
      </c>
      <c r="J76" s="18">
        <v>6117.4</v>
      </c>
      <c r="K76" s="18">
        <v>3259.5</v>
      </c>
      <c r="L76" s="20">
        <f>K76*100/F76</f>
        <v>28.72286990773786</v>
      </c>
      <c r="M76" s="18">
        <f>K76*100/E76</f>
        <v>10.086678281535761</v>
      </c>
      <c r="N76" s="18">
        <f>K76*100/D76</f>
        <v>12.360074626865671</v>
      </c>
    </row>
    <row r="77" spans="1:14" ht="23.25" customHeight="1" hidden="1">
      <c r="A77" s="14" t="s">
        <v>2</v>
      </c>
      <c r="B77" s="14"/>
      <c r="C77" s="35" t="s">
        <v>19</v>
      </c>
      <c r="D77" s="66"/>
      <c r="E77" s="65">
        <f t="shared" si="33"/>
        <v>0</v>
      </c>
      <c r="F77" s="49">
        <f t="shared" si="32"/>
        <v>0</v>
      </c>
      <c r="G77" s="72"/>
      <c r="H77" s="72"/>
      <c r="I77" s="17"/>
      <c r="J77" s="18"/>
      <c r="K77" s="18"/>
      <c r="L77" s="27"/>
      <c r="M77" s="24"/>
      <c r="N77" s="18"/>
    </row>
    <row r="78" spans="1:14" ht="12.75">
      <c r="A78" s="21"/>
      <c r="B78" s="22"/>
      <c r="C78" s="23" t="s">
        <v>4</v>
      </c>
      <c r="D78" s="24">
        <f aca="true" t="shared" si="35" ref="D78:K78">D75+D64</f>
        <v>63754.2</v>
      </c>
      <c r="E78" s="24">
        <f t="shared" si="35"/>
        <v>69697.9</v>
      </c>
      <c r="F78" s="24">
        <f t="shared" si="35"/>
        <v>20002.7</v>
      </c>
      <c r="G78" s="24">
        <f t="shared" si="35"/>
        <v>20002.7</v>
      </c>
      <c r="H78" s="24">
        <f t="shared" si="35"/>
        <v>17061.5</v>
      </c>
      <c r="I78" s="24">
        <f t="shared" si="35"/>
        <v>13901.5</v>
      </c>
      <c r="J78" s="24">
        <f t="shared" si="35"/>
        <v>18732.199999999997</v>
      </c>
      <c r="K78" s="24">
        <f t="shared" si="35"/>
        <v>8708.7</v>
      </c>
      <c r="L78" s="27">
        <f>K78*100/F78</f>
        <v>43.53762242097317</v>
      </c>
      <c r="M78" s="24">
        <f>K78*100/E78</f>
        <v>12.49492452426831</v>
      </c>
      <c r="N78" s="24">
        <f>K78*100/D78</f>
        <v>13.659805942196751</v>
      </c>
    </row>
    <row r="79" spans="1:14" ht="12.75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27"/>
      <c r="M79" s="24"/>
      <c r="N79" s="18"/>
    </row>
    <row r="80" spans="1:14" ht="12.75">
      <c r="A80" s="91" t="s">
        <v>28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pans="1:14" ht="12.75">
      <c r="A81" s="25" t="s">
        <v>3</v>
      </c>
      <c r="B81" s="25"/>
      <c r="C81" s="26" t="s">
        <v>68</v>
      </c>
      <c r="D81" s="27">
        <f aca="true" t="shared" si="36" ref="D81:J81">D82+D84+D85+D86+D87+D88+D89+D90+D91+D83</f>
        <v>36893.7</v>
      </c>
      <c r="E81" s="27">
        <f t="shared" si="36"/>
        <v>36893.7</v>
      </c>
      <c r="F81" s="27">
        <f t="shared" si="36"/>
        <v>8917</v>
      </c>
      <c r="G81" s="27">
        <f t="shared" si="36"/>
        <v>8917</v>
      </c>
      <c r="H81" s="27">
        <f t="shared" si="36"/>
        <v>9428</v>
      </c>
      <c r="I81" s="27">
        <f t="shared" si="36"/>
        <v>8502.1</v>
      </c>
      <c r="J81" s="27">
        <f t="shared" si="36"/>
        <v>10046.6</v>
      </c>
      <c r="K81" s="27">
        <f>K82+K84+K85+K86+K87+K88+K89+K90+K91+K83</f>
        <v>6451.2</v>
      </c>
      <c r="L81" s="27">
        <f aca="true" t="shared" si="37" ref="L81:L89">K81*100/F81</f>
        <v>72.34720197375799</v>
      </c>
      <c r="M81" s="24">
        <f aca="true" t="shared" si="38" ref="M81:M89">K81*100/E81</f>
        <v>17.485912228917133</v>
      </c>
      <c r="N81" s="24">
        <f aca="true" t="shared" si="39" ref="N81:N89">K81*100/D81</f>
        <v>17.485912228917133</v>
      </c>
    </row>
    <row r="82" spans="1:14" ht="13.5" customHeight="1">
      <c r="A82" s="21" t="s">
        <v>23</v>
      </c>
      <c r="B82" s="21"/>
      <c r="C82" s="28" t="s">
        <v>22</v>
      </c>
      <c r="D82" s="65">
        <v>23300</v>
      </c>
      <c r="E82" s="65">
        <f>G82+H82+I82+J82</f>
        <v>23300</v>
      </c>
      <c r="F82" s="49">
        <f aca="true" t="shared" si="40" ref="F82:F94">G82</f>
        <v>6000</v>
      </c>
      <c r="G82" s="37">
        <v>6000</v>
      </c>
      <c r="H82" s="37">
        <v>6000</v>
      </c>
      <c r="I82" s="17">
        <v>5400</v>
      </c>
      <c r="J82" s="17">
        <v>5900</v>
      </c>
      <c r="K82" s="18">
        <v>4819.6</v>
      </c>
      <c r="L82" s="20">
        <f t="shared" si="37"/>
        <v>80.32666666666668</v>
      </c>
      <c r="M82" s="18">
        <f t="shared" si="38"/>
        <v>20.684978540772534</v>
      </c>
      <c r="N82" s="18">
        <f t="shared" si="39"/>
        <v>20.684978540772534</v>
      </c>
    </row>
    <row r="83" spans="1:14" ht="15.75" customHeight="1">
      <c r="A83" s="12" t="s">
        <v>70</v>
      </c>
      <c r="B83" s="12"/>
      <c r="C83" s="28" t="s">
        <v>71</v>
      </c>
      <c r="D83" s="65">
        <v>4138.7</v>
      </c>
      <c r="E83" s="65">
        <f>G83+H83+I83+J83</f>
        <v>4138.7</v>
      </c>
      <c r="F83" s="49">
        <f t="shared" si="40"/>
        <v>1135.4</v>
      </c>
      <c r="G83" s="37">
        <v>1135.4</v>
      </c>
      <c r="H83" s="37">
        <v>1079</v>
      </c>
      <c r="I83" s="17">
        <v>915.1</v>
      </c>
      <c r="J83" s="17">
        <v>1009.2</v>
      </c>
      <c r="K83" s="18">
        <v>765.9</v>
      </c>
      <c r="L83" s="20">
        <f t="shared" si="37"/>
        <v>67.45640302976923</v>
      </c>
      <c r="M83" s="18">
        <f t="shared" si="38"/>
        <v>18.505811003455193</v>
      </c>
      <c r="N83" s="18">
        <f t="shared" si="39"/>
        <v>18.505811003455193</v>
      </c>
    </row>
    <row r="84" spans="1:14" ht="15" customHeight="1" hidden="1">
      <c r="A84" s="12" t="s">
        <v>8</v>
      </c>
      <c r="B84" s="12"/>
      <c r="C84" s="28" t="s">
        <v>5</v>
      </c>
      <c r="D84" s="65"/>
      <c r="E84" s="65">
        <f aca="true" t="shared" si="41" ref="E84:E91">G84+H84+I84+J84</f>
        <v>0</v>
      </c>
      <c r="F84" s="49">
        <f t="shared" si="40"/>
        <v>0</v>
      </c>
      <c r="G84" s="37"/>
      <c r="H84" s="37"/>
      <c r="I84" s="17"/>
      <c r="J84" s="17"/>
      <c r="K84" s="18"/>
      <c r="L84" s="20" t="e">
        <f t="shared" si="37"/>
        <v>#DIV/0!</v>
      </c>
      <c r="M84" s="18" t="e">
        <f t="shared" si="38"/>
        <v>#DIV/0!</v>
      </c>
      <c r="N84" s="18" t="e">
        <f t="shared" si="39"/>
        <v>#DIV/0!</v>
      </c>
    </row>
    <row r="85" spans="1:14" ht="12.75">
      <c r="A85" s="12" t="s">
        <v>9</v>
      </c>
      <c r="B85" s="12"/>
      <c r="C85" s="28" t="s">
        <v>6</v>
      </c>
      <c r="D85" s="65">
        <v>1880</v>
      </c>
      <c r="E85" s="65">
        <f t="shared" si="41"/>
        <v>1880</v>
      </c>
      <c r="F85" s="49">
        <f t="shared" si="40"/>
        <v>430</v>
      </c>
      <c r="G85" s="37">
        <v>430</v>
      </c>
      <c r="H85" s="37">
        <v>390</v>
      </c>
      <c r="I85" s="17">
        <v>330</v>
      </c>
      <c r="J85" s="17">
        <v>730</v>
      </c>
      <c r="K85" s="18">
        <v>386.8</v>
      </c>
      <c r="L85" s="20">
        <f t="shared" si="37"/>
        <v>89.95348837209302</v>
      </c>
      <c r="M85" s="18">
        <f t="shared" si="38"/>
        <v>20.574468085106382</v>
      </c>
      <c r="N85" s="18">
        <f t="shared" si="39"/>
        <v>20.574468085106382</v>
      </c>
    </row>
    <row r="86" spans="1:14" ht="12.75" hidden="1">
      <c r="A86" s="12" t="s">
        <v>10</v>
      </c>
      <c r="B86" s="12"/>
      <c r="C86" s="28" t="s">
        <v>21</v>
      </c>
      <c r="D86" s="65"/>
      <c r="E86" s="65">
        <f t="shared" si="41"/>
        <v>0</v>
      </c>
      <c r="F86" s="49">
        <f t="shared" si="40"/>
        <v>0</v>
      </c>
      <c r="G86" s="37"/>
      <c r="H86" s="37"/>
      <c r="I86" s="17"/>
      <c r="J86" s="17"/>
      <c r="K86" s="18"/>
      <c r="L86" s="20" t="e">
        <f t="shared" si="37"/>
        <v>#DIV/0!</v>
      </c>
      <c r="M86" s="18" t="e">
        <f t="shared" si="38"/>
        <v>#DIV/0!</v>
      </c>
      <c r="N86" s="18" t="e">
        <f t="shared" si="39"/>
        <v>#DIV/0!</v>
      </c>
    </row>
    <row r="87" spans="1:14" ht="22.5">
      <c r="A87" s="13" t="s">
        <v>11</v>
      </c>
      <c r="B87" s="13"/>
      <c r="C87" s="28" t="s">
        <v>17</v>
      </c>
      <c r="D87" s="65">
        <v>6954</v>
      </c>
      <c r="E87" s="65">
        <f t="shared" si="41"/>
        <v>6954</v>
      </c>
      <c r="F87" s="49">
        <f t="shared" si="40"/>
        <v>1223.6</v>
      </c>
      <c r="G87" s="37">
        <v>1223.6</v>
      </c>
      <c r="H87" s="37">
        <v>1806</v>
      </c>
      <c r="I87" s="17">
        <v>1809</v>
      </c>
      <c r="J87" s="17">
        <v>2115.4</v>
      </c>
      <c r="K87" s="18">
        <v>358</v>
      </c>
      <c r="L87" s="20">
        <f t="shared" si="37"/>
        <v>29.257927427263812</v>
      </c>
      <c r="M87" s="18">
        <f t="shared" si="38"/>
        <v>5.148116192119644</v>
      </c>
      <c r="N87" s="18">
        <f t="shared" si="39"/>
        <v>5.148116192119644</v>
      </c>
    </row>
    <row r="88" spans="1:14" ht="22.5">
      <c r="A88" s="30" t="s">
        <v>42</v>
      </c>
      <c r="B88" s="30"/>
      <c r="C88" s="28" t="s">
        <v>43</v>
      </c>
      <c r="D88" s="65">
        <v>496</v>
      </c>
      <c r="E88" s="65">
        <f t="shared" si="41"/>
        <v>496</v>
      </c>
      <c r="F88" s="49">
        <f t="shared" si="40"/>
        <v>121</v>
      </c>
      <c r="G88" s="37">
        <v>121</v>
      </c>
      <c r="H88" s="37">
        <v>135</v>
      </c>
      <c r="I88" s="17">
        <v>30</v>
      </c>
      <c r="J88" s="17">
        <v>210</v>
      </c>
      <c r="K88" s="18">
        <v>65.2</v>
      </c>
      <c r="L88" s="20">
        <f t="shared" si="37"/>
        <v>53.88429752066116</v>
      </c>
      <c r="M88" s="18">
        <f t="shared" si="38"/>
        <v>13.14516129032258</v>
      </c>
      <c r="N88" s="18">
        <f t="shared" si="39"/>
        <v>13.14516129032258</v>
      </c>
    </row>
    <row r="89" spans="1:14" ht="22.5">
      <c r="A89" s="29" t="s">
        <v>18</v>
      </c>
      <c r="B89" s="29"/>
      <c r="C89" s="28" t="s">
        <v>15</v>
      </c>
      <c r="D89" s="65">
        <v>125</v>
      </c>
      <c r="E89" s="65">
        <f t="shared" si="41"/>
        <v>125</v>
      </c>
      <c r="F89" s="49">
        <f t="shared" si="40"/>
        <v>7</v>
      </c>
      <c r="G89" s="37">
        <v>7</v>
      </c>
      <c r="H89" s="37">
        <v>18</v>
      </c>
      <c r="I89" s="17">
        <v>18</v>
      </c>
      <c r="J89" s="17">
        <v>82</v>
      </c>
      <c r="K89" s="18">
        <v>71.7</v>
      </c>
      <c r="L89" s="20">
        <f t="shared" si="37"/>
        <v>1024.2857142857142</v>
      </c>
      <c r="M89" s="18">
        <f t="shared" si="38"/>
        <v>57.36</v>
      </c>
      <c r="N89" s="18">
        <f t="shared" si="39"/>
        <v>57.36</v>
      </c>
    </row>
    <row r="90" spans="1:14" ht="14.25" customHeight="1">
      <c r="A90" s="21" t="s">
        <v>12</v>
      </c>
      <c r="B90" s="21"/>
      <c r="C90" s="28" t="s">
        <v>7</v>
      </c>
      <c r="D90" s="65"/>
      <c r="E90" s="65">
        <f t="shared" si="41"/>
        <v>0</v>
      </c>
      <c r="F90" s="49">
        <f t="shared" si="40"/>
        <v>0</v>
      </c>
      <c r="G90" s="37"/>
      <c r="H90" s="37"/>
      <c r="I90" s="17"/>
      <c r="J90" s="17"/>
      <c r="K90" s="18"/>
      <c r="L90" s="20"/>
      <c r="M90" s="18"/>
      <c r="N90" s="18"/>
    </row>
    <row r="91" spans="1:14" ht="12.75">
      <c r="A91" s="31" t="s">
        <v>39</v>
      </c>
      <c r="B91" s="50"/>
      <c r="C91" s="16" t="s">
        <v>40</v>
      </c>
      <c r="D91" s="65"/>
      <c r="E91" s="65">
        <f t="shared" si="41"/>
        <v>0</v>
      </c>
      <c r="F91" s="49">
        <f t="shared" si="40"/>
        <v>0</v>
      </c>
      <c r="G91" s="37"/>
      <c r="H91" s="37"/>
      <c r="I91" s="17"/>
      <c r="J91" s="17"/>
      <c r="K91" s="18">
        <v>-16</v>
      </c>
      <c r="L91" s="20"/>
      <c r="M91" s="18"/>
      <c r="N91" s="18"/>
    </row>
    <row r="92" spans="1:14" ht="12.75" hidden="1">
      <c r="A92" s="31" t="s">
        <v>44</v>
      </c>
      <c r="B92" s="50"/>
      <c r="C92" s="16" t="s">
        <v>45</v>
      </c>
      <c r="D92" s="69"/>
      <c r="E92" s="16"/>
      <c r="F92" s="49">
        <f t="shared" si="40"/>
        <v>0</v>
      </c>
      <c r="G92" s="37"/>
      <c r="H92" s="37"/>
      <c r="I92" s="17" t="e">
        <f>J92+#REF!+#REF!+#REF!</f>
        <v>#REF!</v>
      </c>
      <c r="J92" s="17"/>
      <c r="K92" s="18"/>
      <c r="L92" s="27" t="e">
        <f>K92*100/F92</f>
        <v>#DIV/0!</v>
      </c>
      <c r="M92" s="24" t="e">
        <f>K92*100/E92</f>
        <v>#DIV/0!</v>
      </c>
      <c r="N92" s="18" t="e">
        <f>K92*100/D92</f>
        <v>#DIV/0!</v>
      </c>
    </row>
    <row r="93" spans="1:14" ht="12.75">
      <c r="A93" s="25" t="s">
        <v>1</v>
      </c>
      <c r="B93" s="25"/>
      <c r="C93" s="32" t="s">
        <v>0</v>
      </c>
      <c r="D93" s="33">
        <f aca="true" t="shared" si="42" ref="D93:K93">D94+D95</f>
        <v>52314.9</v>
      </c>
      <c r="E93" s="33">
        <f t="shared" si="42"/>
        <v>67864</v>
      </c>
      <c r="F93" s="77">
        <f t="shared" si="42"/>
        <v>19886.4</v>
      </c>
      <c r="G93" s="33">
        <f t="shared" si="42"/>
        <v>19886.4</v>
      </c>
      <c r="H93" s="33">
        <f t="shared" si="42"/>
        <v>9602.6</v>
      </c>
      <c r="I93" s="33">
        <f t="shared" si="42"/>
        <v>26903.7</v>
      </c>
      <c r="J93" s="33">
        <f t="shared" si="42"/>
        <v>11471.3</v>
      </c>
      <c r="K93" s="33">
        <f t="shared" si="42"/>
        <v>6733.6</v>
      </c>
      <c r="L93" s="27">
        <f>K93*100/F93</f>
        <v>33.86032665540269</v>
      </c>
      <c r="M93" s="24">
        <f>K93*100/E93</f>
        <v>9.922197335848168</v>
      </c>
      <c r="N93" s="24">
        <f>K93*100/D93</f>
        <v>12.871285236137314</v>
      </c>
    </row>
    <row r="94" spans="1:14" ht="22.5">
      <c r="A94" s="14" t="s">
        <v>67</v>
      </c>
      <c r="B94" s="12"/>
      <c r="C94" s="34" t="s">
        <v>20</v>
      </c>
      <c r="D94" s="37">
        <v>52314.9</v>
      </c>
      <c r="E94" s="65">
        <f>G94+H94+I94+J94</f>
        <v>67864</v>
      </c>
      <c r="F94" s="49">
        <f t="shared" si="40"/>
        <v>19886.4</v>
      </c>
      <c r="G94" s="37">
        <v>19886.4</v>
      </c>
      <c r="H94" s="37">
        <v>9602.6</v>
      </c>
      <c r="I94" s="17">
        <v>26903.7</v>
      </c>
      <c r="J94" s="17">
        <v>11471.3</v>
      </c>
      <c r="K94" s="18">
        <v>6742</v>
      </c>
      <c r="L94" s="20">
        <f>K94*100/F94</f>
        <v>33.90256657816397</v>
      </c>
      <c r="M94" s="18">
        <f>K94*100/E94</f>
        <v>9.934575032417778</v>
      </c>
      <c r="N94" s="18">
        <f>K94*100/D94</f>
        <v>12.887341847160178</v>
      </c>
    </row>
    <row r="95" spans="1:14" ht="15" customHeight="1">
      <c r="A95" s="14" t="s">
        <v>2</v>
      </c>
      <c r="B95" s="14"/>
      <c r="C95" s="35" t="s">
        <v>19</v>
      </c>
      <c r="D95" s="66"/>
      <c r="E95" s="65">
        <f>G95+H95+I95+J95</f>
        <v>0</v>
      </c>
      <c r="F95" s="49"/>
      <c r="G95" s="78"/>
      <c r="H95" s="78"/>
      <c r="I95" s="17"/>
      <c r="J95" s="17"/>
      <c r="K95" s="18">
        <v>-8.4</v>
      </c>
      <c r="L95" s="20"/>
      <c r="M95" s="18"/>
      <c r="N95" s="18"/>
    </row>
    <row r="96" spans="1:14" ht="12.75">
      <c r="A96" s="21"/>
      <c r="B96" s="22"/>
      <c r="C96" s="23" t="s">
        <v>4</v>
      </c>
      <c r="D96" s="24">
        <f aca="true" t="shared" si="43" ref="D96:K96">D93+D81</f>
        <v>89208.6</v>
      </c>
      <c r="E96" s="24">
        <f t="shared" si="43"/>
        <v>104757.7</v>
      </c>
      <c r="F96" s="24">
        <f t="shared" si="43"/>
        <v>28803.4</v>
      </c>
      <c r="G96" s="24">
        <f t="shared" si="43"/>
        <v>28803.4</v>
      </c>
      <c r="H96" s="24">
        <f t="shared" si="43"/>
        <v>19030.6</v>
      </c>
      <c r="I96" s="24">
        <f t="shared" si="43"/>
        <v>35405.8</v>
      </c>
      <c r="J96" s="24">
        <f t="shared" si="43"/>
        <v>21517.9</v>
      </c>
      <c r="K96" s="24">
        <f t="shared" si="43"/>
        <v>13184.8</v>
      </c>
      <c r="L96" s="27">
        <f>K96*100/F96</f>
        <v>45.775151544609315</v>
      </c>
      <c r="M96" s="24">
        <f>K96*100/E96</f>
        <v>12.585996065205709</v>
      </c>
      <c r="N96" s="24">
        <f>K96*100/D96</f>
        <v>14.7797409666781</v>
      </c>
    </row>
    <row r="97" spans="1:14" ht="12.75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27"/>
      <c r="M97" s="24"/>
      <c r="N97" s="18"/>
    </row>
    <row r="98" spans="1:14" ht="12.75">
      <c r="A98" s="91" t="s">
        <v>29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3"/>
    </row>
    <row r="99" spans="1:14" ht="12.75">
      <c r="A99" s="25" t="s">
        <v>3</v>
      </c>
      <c r="B99" s="25"/>
      <c r="C99" s="26" t="s">
        <v>68</v>
      </c>
      <c r="D99" s="27">
        <f aca="true" t="shared" si="44" ref="D99:K99">D100+D103+D107+D104+D105+D108+D106+D102+D101</f>
        <v>2809.8</v>
      </c>
      <c r="E99" s="27">
        <f t="shared" si="44"/>
        <v>2809.8</v>
      </c>
      <c r="F99" s="27">
        <f t="shared" si="44"/>
        <v>696.5</v>
      </c>
      <c r="G99" s="27">
        <f t="shared" si="44"/>
        <v>696.5</v>
      </c>
      <c r="H99" s="27">
        <f t="shared" si="44"/>
        <v>704.3</v>
      </c>
      <c r="I99" s="27">
        <f t="shared" si="44"/>
        <v>704.5</v>
      </c>
      <c r="J99" s="27">
        <f t="shared" si="44"/>
        <v>704.5</v>
      </c>
      <c r="K99" s="27">
        <f t="shared" si="44"/>
        <v>488.6</v>
      </c>
      <c r="L99" s="27">
        <f aca="true" t="shared" si="45" ref="L99:L106">K99*100/F99</f>
        <v>70.15075376884423</v>
      </c>
      <c r="M99" s="24">
        <f aca="true" t="shared" si="46" ref="M99:M106">K99*100/E99</f>
        <v>17.389138016940706</v>
      </c>
      <c r="N99" s="24">
        <f aca="true" t="shared" si="47" ref="N99:N106">K99*100/D99</f>
        <v>17.389138016940706</v>
      </c>
    </row>
    <row r="100" spans="1:14" ht="12.75">
      <c r="A100" s="21" t="s">
        <v>23</v>
      </c>
      <c r="B100" s="21"/>
      <c r="C100" s="28" t="s">
        <v>22</v>
      </c>
      <c r="D100" s="65">
        <v>1280</v>
      </c>
      <c r="E100" s="65">
        <f>G100+H100+I100+J100</f>
        <v>1280</v>
      </c>
      <c r="F100" s="49">
        <f aca="true" t="shared" si="48" ref="F100:F110">G100</f>
        <v>320</v>
      </c>
      <c r="G100" s="37">
        <v>320</v>
      </c>
      <c r="H100" s="37">
        <v>320</v>
      </c>
      <c r="I100" s="17">
        <v>320</v>
      </c>
      <c r="J100" s="18">
        <v>320</v>
      </c>
      <c r="K100" s="18">
        <v>159.7</v>
      </c>
      <c r="L100" s="20">
        <f t="shared" si="45"/>
        <v>49.90624999999999</v>
      </c>
      <c r="M100" s="18">
        <f t="shared" si="46"/>
        <v>12.476562499999998</v>
      </c>
      <c r="N100" s="18">
        <f t="shared" si="47"/>
        <v>12.476562499999998</v>
      </c>
    </row>
    <row r="101" spans="1:14" ht="12.75">
      <c r="A101" s="12" t="s">
        <v>70</v>
      </c>
      <c r="B101" s="12"/>
      <c r="C101" s="28" t="s">
        <v>71</v>
      </c>
      <c r="D101" s="65">
        <v>1342.3</v>
      </c>
      <c r="E101" s="65">
        <f>G101+H101+I101+J101</f>
        <v>1342.3000000000002</v>
      </c>
      <c r="F101" s="49">
        <f t="shared" si="48"/>
        <v>335.5</v>
      </c>
      <c r="G101" s="37">
        <v>335.5</v>
      </c>
      <c r="H101" s="37">
        <v>335.6</v>
      </c>
      <c r="I101" s="17">
        <v>335.6</v>
      </c>
      <c r="J101" s="18">
        <v>335.6</v>
      </c>
      <c r="K101" s="18">
        <v>248.4</v>
      </c>
      <c r="L101" s="20">
        <f t="shared" si="45"/>
        <v>74.0387481371088</v>
      </c>
      <c r="M101" s="18">
        <f t="shared" si="46"/>
        <v>18.505550175072635</v>
      </c>
      <c r="N101" s="18">
        <f t="shared" si="47"/>
        <v>18.50555017507264</v>
      </c>
    </row>
    <row r="102" spans="1:14" ht="12.75" hidden="1">
      <c r="A102" s="12" t="s">
        <v>8</v>
      </c>
      <c r="B102" s="12"/>
      <c r="C102" s="28" t="s">
        <v>5</v>
      </c>
      <c r="D102" s="65"/>
      <c r="E102" s="65">
        <f>G102+H102+I102+J102</f>
        <v>0</v>
      </c>
      <c r="F102" s="49">
        <f t="shared" si="48"/>
        <v>0</v>
      </c>
      <c r="G102" s="37"/>
      <c r="H102" s="37"/>
      <c r="I102" s="17"/>
      <c r="J102" s="18"/>
      <c r="K102" s="18"/>
      <c r="L102" s="20" t="e">
        <f t="shared" si="45"/>
        <v>#DIV/0!</v>
      </c>
      <c r="M102" s="18" t="e">
        <f t="shared" si="46"/>
        <v>#DIV/0!</v>
      </c>
      <c r="N102" s="18" t="e">
        <f t="shared" si="47"/>
        <v>#DIV/0!</v>
      </c>
    </row>
    <row r="103" spans="1:14" ht="12.75">
      <c r="A103" s="12" t="s">
        <v>9</v>
      </c>
      <c r="B103" s="12"/>
      <c r="C103" s="28" t="s">
        <v>6</v>
      </c>
      <c r="D103" s="65">
        <v>125</v>
      </c>
      <c r="E103" s="65">
        <f aca="true" t="shared" si="49" ref="E103:E111">G103+H103+I103+J103</f>
        <v>125</v>
      </c>
      <c r="F103" s="49">
        <f t="shared" si="48"/>
        <v>25.3</v>
      </c>
      <c r="G103" s="37">
        <v>25.3</v>
      </c>
      <c r="H103" s="37">
        <v>33.2</v>
      </c>
      <c r="I103" s="17">
        <v>33.3</v>
      </c>
      <c r="J103" s="18">
        <v>33.2</v>
      </c>
      <c r="K103" s="18">
        <v>79.6</v>
      </c>
      <c r="L103" s="20">
        <f t="shared" si="45"/>
        <v>314.6245059288537</v>
      </c>
      <c r="M103" s="18">
        <f t="shared" si="46"/>
        <v>63.67999999999999</v>
      </c>
      <c r="N103" s="18">
        <f t="shared" si="47"/>
        <v>63.67999999999999</v>
      </c>
    </row>
    <row r="104" spans="1:14" ht="12.75">
      <c r="A104" s="12" t="s">
        <v>10</v>
      </c>
      <c r="B104" s="12"/>
      <c r="C104" s="28" t="s">
        <v>21</v>
      </c>
      <c r="D104" s="65">
        <v>1.5</v>
      </c>
      <c r="E104" s="65">
        <f t="shared" si="49"/>
        <v>1.5</v>
      </c>
      <c r="F104" s="49">
        <f t="shared" si="48"/>
        <v>0.4</v>
      </c>
      <c r="G104" s="37">
        <v>0.4</v>
      </c>
      <c r="H104" s="37">
        <v>0.3</v>
      </c>
      <c r="I104" s="17">
        <v>0.4</v>
      </c>
      <c r="J104" s="18">
        <v>0.4</v>
      </c>
      <c r="K104" s="18">
        <v>0.6</v>
      </c>
      <c r="L104" s="20">
        <f t="shared" si="45"/>
        <v>150</v>
      </c>
      <c r="M104" s="18">
        <f t="shared" si="46"/>
        <v>40</v>
      </c>
      <c r="N104" s="18">
        <f t="shared" si="47"/>
        <v>40</v>
      </c>
    </row>
    <row r="105" spans="1:14" ht="22.5">
      <c r="A105" s="13" t="s">
        <v>11</v>
      </c>
      <c r="B105" s="13"/>
      <c r="C105" s="28" t="s">
        <v>17</v>
      </c>
      <c r="D105" s="65">
        <v>26</v>
      </c>
      <c r="E105" s="65">
        <f t="shared" si="49"/>
        <v>26</v>
      </c>
      <c r="F105" s="49">
        <f t="shared" si="48"/>
        <v>6.5</v>
      </c>
      <c r="G105" s="37">
        <v>6.5</v>
      </c>
      <c r="H105" s="37">
        <v>6.5</v>
      </c>
      <c r="I105" s="17">
        <v>6.5</v>
      </c>
      <c r="J105" s="18">
        <v>6.5</v>
      </c>
      <c r="K105" s="18">
        <v>0.3</v>
      </c>
      <c r="L105" s="20">
        <f t="shared" si="45"/>
        <v>4.615384615384615</v>
      </c>
      <c r="M105" s="18">
        <f t="shared" si="46"/>
        <v>1.1538461538461537</v>
      </c>
      <c r="N105" s="18">
        <f t="shared" si="47"/>
        <v>1.1538461538461537</v>
      </c>
    </row>
    <row r="106" spans="1:14" ht="22.5">
      <c r="A106" s="30" t="s">
        <v>42</v>
      </c>
      <c r="B106" s="30"/>
      <c r="C106" s="28" t="s">
        <v>43</v>
      </c>
      <c r="D106" s="65">
        <v>35</v>
      </c>
      <c r="E106" s="65">
        <f t="shared" si="49"/>
        <v>35</v>
      </c>
      <c r="F106" s="49">
        <f t="shared" si="48"/>
        <v>8.8</v>
      </c>
      <c r="G106" s="37">
        <v>8.8</v>
      </c>
      <c r="H106" s="37">
        <v>8.7</v>
      </c>
      <c r="I106" s="17">
        <v>8.7</v>
      </c>
      <c r="J106" s="18">
        <v>8.8</v>
      </c>
      <c r="K106" s="18"/>
      <c r="L106" s="20">
        <f t="shared" si="45"/>
        <v>0</v>
      </c>
      <c r="M106" s="18">
        <f t="shared" si="46"/>
        <v>0</v>
      </c>
      <c r="N106" s="18">
        <f t="shared" si="47"/>
        <v>0</v>
      </c>
    </row>
    <row r="107" spans="1:14" ht="18.75" customHeight="1" hidden="1">
      <c r="A107" s="21" t="s">
        <v>12</v>
      </c>
      <c r="B107" s="21"/>
      <c r="C107" s="79" t="s">
        <v>7</v>
      </c>
      <c r="D107" s="65"/>
      <c r="E107" s="65">
        <f t="shared" si="49"/>
        <v>0</v>
      </c>
      <c r="F107" s="49">
        <f t="shared" si="48"/>
        <v>0</v>
      </c>
      <c r="G107" s="37"/>
      <c r="H107" s="37"/>
      <c r="I107" s="17"/>
      <c r="J107" s="18"/>
      <c r="K107" s="18"/>
      <c r="L107" s="20"/>
      <c r="M107" s="18"/>
      <c r="N107" s="18"/>
    </row>
    <row r="108" spans="1:14" ht="16.5" customHeight="1">
      <c r="A108" s="30" t="s">
        <v>39</v>
      </c>
      <c r="B108" s="80"/>
      <c r="C108" s="16" t="s">
        <v>40</v>
      </c>
      <c r="D108" s="65"/>
      <c r="E108" s="65">
        <f t="shared" si="49"/>
        <v>0</v>
      </c>
      <c r="F108" s="49">
        <f t="shared" si="48"/>
        <v>0</v>
      </c>
      <c r="G108" s="37"/>
      <c r="H108" s="37"/>
      <c r="I108" s="17"/>
      <c r="J108" s="18"/>
      <c r="K108" s="18"/>
      <c r="L108" s="27"/>
      <c r="M108" s="24"/>
      <c r="N108" s="18"/>
    </row>
    <row r="109" spans="1:14" ht="12.75">
      <c r="A109" s="61" t="s">
        <v>1</v>
      </c>
      <c r="B109" s="61"/>
      <c r="C109" s="32" t="s">
        <v>0</v>
      </c>
      <c r="D109" s="33">
        <f aca="true" t="shared" si="50" ref="D109:K109">D110+D111</f>
        <v>21712.5</v>
      </c>
      <c r="E109" s="33">
        <f t="shared" si="50"/>
        <v>22717.399999999998</v>
      </c>
      <c r="F109" s="33">
        <f t="shared" si="50"/>
        <v>6675.7</v>
      </c>
      <c r="G109" s="33">
        <f t="shared" si="50"/>
        <v>6675.7</v>
      </c>
      <c r="H109" s="33">
        <f t="shared" si="50"/>
        <v>5347.2</v>
      </c>
      <c r="I109" s="33">
        <f t="shared" si="50"/>
        <v>5347.2</v>
      </c>
      <c r="J109" s="33">
        <f t="shared" si="50"/>
        <v>5347.3</v>
      </c>
      <c r="K109" s="33">
        <f t="shared" si="50"/>
        <v>2827.5</v>
      </c>
      <c r="L109" s="27">
        <f>K109*100/F109</f>
        <v>42.355108827538686</v>
      </c>
      <c r="M109" s="24">
        <f>K109*100/E109</f>
        <v>12.44640671907877</v>
      </c>
      <c r="N109" s="24">
        <f>K109*100/D109</f>
        <v>13.022452504317789</v>
      </c>
    </row>
    <row r="110" spans="1:14" ht="22.5">
      <c r="A110" s="14" t="s">
        <v>67</v>
      </c>
      <c r="B110" s="12"/>
      <c r="C110" s="34" t="s">
        <v>20</v>
      </c>
      <c r="D110" s="37">
        <v>21712.5</v>
      </c>
      <c r="E110" s="65">
        <f t="shared" si="49"/>
        <v>22717.399999999998</v>
      </c>
      <c r="F110" s="49">
        <f t="shared" si="48"/>
        <v>6675.7</v>
      </c>
      <c r="G110" s="37">
        <v>6675.7</v>
      </c>
      <c r="H110" s="37">
        <v>5347.2</v>
      </c>
      <c r="I110" s="17">
        <v>5347.2</v>
      </c>
      <c r="J110" s="18">
        <v>5347.3</v>
      </c>
      <c r="K110" s="18">
        <v>2827.5</v>
      </c>
      <c r="L110" s="20">
        <f>K110*100/F110</f>
        <v>42.355108827538686</v>
      </c>
      <c r="M110" s="18">
        <f>K110*100/E110</f>
        <v>12.44640671907877</v>
      </c>
      <c r="N110" s="18">
        <f>K110*100/D110</f>
        <v>13.022452504317789</v>
      </c>
    </row>
    <row r="111" spans="1:14" ht="12.75" hidden="1">
      <c r="A111" s="14" t="s">
        <v>2</v>
      </c>
      <c r="B111" s="14"/>
      <c r="C111" s="35" t="s">
        <v>19</v>
      </c>
      <c r="D111" s="35"/>
      <c r="E111" s="65">
        <f t="shared" si="49"/>
        <v>0</v>
      </c>
      <c r="F111" s="65">
        <f>G111+H111</f>
        <v>0</v>
      </c>
      <c r="G111" s="78"/>
      <c r="H111" s="78"/>
      <c r="I111" s="17"/>
      <c r="J111" s="18"/>
      <c r="K111" s="18"/>
      <c r="L111" s="27"/>
      <c r="M111" s="24"/>
      <c r="N111" s="18" t="e">
        <f>K111*100/D111</f>
        <v>#DIV/0!</v>
      </c>
    </row>
    <row r="112" spans="1:14" ht="12.75">
      <c r="A112" s="21"/>
      <c r="B112" s="22"/>
      <c r="C112" s="23" t="s">
        <v>4</v>
      </c>
      <c r="D112" s="24">
        <f aca="true" t="shared" si="51" ref="D112:K112">D109+D99</f>
        <v>24522.3</v>
      </c>
      <c r="E112" s="24">
        <f t="shared" si="51"/>
        <v>25527.199999999997</v>
      </c>
      <c r="F112" s="36">
        <f t="shared" si="51"/>
        <v>7372.2</v>
      </c>
      <c r="G112" s="36">
        <f t="shared" si="51"/>
        <v>7372.2</v>
      </c>
      <c r="H112" s="36">
        <f>H109+H99</f>
        <v>6051.5</v>
      </c>
      <c r="I112" s="24">
        <f t="shared" si="51"/>
        <v>6051.7</v>
      </c>
      <c r="J112" s="24">
        <f t="shared" si="51"/>
        <v>6051.8</v>
      </c>
      <c r="K112" s="24">
        <f t="shared" si="51"/>
        <v>3316.1</v>
      </c>
      <c r="L112" s="27">
        <f>K112*100/F112</f>
        <v>44.981145384010205</v>
      </c>
      <c r="M112" s="24">
        <f>K112*100/E112</f>
        <v>12.99045723776991</v>
      </c>
      <c r="N112" s="24">
        <f>K112*100/D112</f>
        <v>13.522793538942107</v>
      </c>
    </row>
    <row r="113" spans="1:14" ht="12.75">
      <c r="A113" s="87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27"/>
      <c r="M113" s="24"/>
      <c r="N113" s="18"/>
    </row>
    <row r="114" spans="1:14" ht="12.75">
      <c r="A114" s="91" t="s">
        <v>30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3"/>
    </row>
    <row r="115" spans="1:14" ht="12.75">
      <c r="A115" s="25" t="s">
        <v>3</v>
      </c>
      <c r="B115" s="25"/>
      <c r="C115" s="26" t="s">
        <v>68</v>
      </c>
      <c r="D115" s="27">
        <f aca="true" t="shared" si="52" ref="D115:J115">D116+D120+D124+D121+D122+D125+D123+D126+D117+D118</f>
        <v>5053.8</v>
      </c>
      <c r="E115" s="27">
        <f t="shared" si="52"/>
        <v>5053.8</v>
      </c>
      <c r="F115" s="27">
        <f t="shared" si="52"/>
        <v>1073.6</v>
      </c>
      <c r="G115" s="27">
        <f t="shared" si="52"/>
        <v>1073.6</v>
      </c>
      <c r="H115" s="27">
        <f t="shared" si="52"/>
        <v>1243.8</v>
      </c>
      <c r="I115" s="27">
        <f t="shared" si="52"/>
        <v>1246.5</v>
      </c>
      <c r="J115" s="27">
        <f t="shared" si="52"/>
        <v>1489.9</v>
      </c>
      <c r="K115" s="27">
        <f>K116+K120+K124+K121+K122+K125+K123+K126+K117+K118+K119+0.1</f>
        <v>767.4000000000001</v>
      </c>
      <c r="L115" s="27">
        <f>K115*100/F115</f>
        <v>71.4791356184799</v>
      </c>
      <c r="M115" s="24">
        <f>K115*100/E115</f>
        <v>15.184613558114687</v>
      </c>
      <c r="N115" s="24">
        <f>K115*100/D115</f>
        <v>15.184613558114687</v>
      </c>
    </row>
    <row r="116" spans="1:14" ht="12.75">
      <c r="A116" s="21" t="s">
        <v>23</v>
      </c>
      <c r="B116" s="21"/>
      <c r="C116" s="28" t="s">
        <v>22</v>
      </c>
      <c r="D116" s="65">
        <v>1210</v>
      </c>
      <c r="E116" s="65">
        <f>G116+H116+I116+J116</f>
        <v>1210</v>
      </c>
      <c r="F116" s="49">
        <f aca="true" t="shared" si="53" ref="F116:F128">G116</f>
        <v>210</v>
      </c>
      <c r="G116" s="65">
        <v>210</v>
      </c>
      <c r="H116" s="65">
        <v>374</v>
      </c>
      <c r="I116" s="18">
        <v>279</v>
      </c>
      <c r="J116" s="18">
        <v>347</v>
      </c>
      <c r="K116" s="18">
        <v>137.7</v>
      </c>
      <c r="L116" s="20">
        <f>K116*100/F116</f>
        <v>65.57142857142857</v>
      </c>
      <c r="M116" s="18">
        <f>K116*100/E116</f>
        <v>11.380165289256198</v>
      </c>
      <c r="N116" s="18">
        <f>K116*100/D116</f>
        <v>11.380165289256198</v>
      </c>
    </row>
    <row r="117" spans="1:14" ht="12.75" hidden="1">
      <c r="A117" s="12" t="s">
        <v>8</v>
      </c>
      <c r="B117" s="12"/>
      <c r="C117" s="28" t="s">
        <v>5</v>
      </c>
      <c r="D117" s="65"/>
      <c r="E117" s="65">
        <f>G117+H117+I117+J117</f>
        <v>0</v>
      </c>
      <c r="F117" s="49">
        <f t="shared" si="53"/>
        <v>0</v>
      </c>
      <c r="G117" s="65"/>
      <c r="H117" s="65"/>
      <c r="I117" s="18"/>
      <c r="J117" s="18"/>
      <c r="K117" s="18"/>
      <c r="L117" s="20" t="e">
        <f>K117*100/F117</f>
        <v>#DIV/0!</v>
      </c>
      <c r="M117" s="18" t="e">
        <f>K117*100/E117</f>
        <v>#DIV/0!</v>
      </c>
      <c r="N117" s="18" t="e">
        <f>K117*100/D117</f>
        <v>#DIV/0!</v>
      </c>
    </row>
    <row r="118" spans="1:14" ht="13.5" customHeight="1">
      <c r="A118" s="12" t="s">
        <v>70</v>
      </c>
      <c r="B118" s="12"/>
      <c r="C118" s="28" t="s">
        <v>71</v>
      </c>
      <c r="D118" s="65">
        <v>2908.3</v>
      </c>
      <c r="E118" s="65">
        <f>G118+H118+I118+J118</f>
        <v>2908.3</v>
      </c>
      <c r="F118" s="49">
        <f t="shared" si="53"/>
        <v>631.1</v>
      </c>
      <c r="G118" s="65">
        <v>631.1</v>
      </c>
      <c r="H118" s="65">
        <v>674</v>
      </c>
      <c r="I118" s="18">
        <v>794.2</v>
      </c>
      <c r="J118" s="18">
        <v>809</v>
      </c>
      <c r="K118" s="18">
        <v>538.2</v>
      </c>
      <c r="L118" s="20">
        <f>K118*100/F118</f>
        <v>85.2796704167327</v>
      </c>
      <c r="M118" s="18">
        <f>K118*100/E118</f>
        <v>18.505656225286252</v>
      </c>
      <c r="N118" s="18">
        <f>K118*100/D118</f>
        <v>18.505656225286252</v>
      </c>
    </row>
    <row r="119" spans="1:14" ht="13.5" customHeight="1" hidden="1">
      <c r="A119" s="12" t="s">
        <v>8</v>
      </c>
      <c r="B119" s="12"/>
      <c r="C119" s="28" t="s">
        <v>5</v>
      </c>
      <c r="D119" s="65"/>
      <c r="E119" s="65"/>
      <c r="F119" s="49">
        <f t="shared" si="53"/>
        <v>0</v>
      </c>
      <c r="G119" s="65"/>
      <c r="H119" s="65"/>
      <c r="I119" s="18"/>
      <c r="J119" s="18"/>
      <c r="K119" s="18"/>
      <c r="L119" s="20"/>
      <c r="M119" s="18"/>
      <c r="N119" s="18"/>
    </row>
    <row r="120" spans="1:14" ht="12.75">
      <c r="A120" s="12" t="s">
        <v>9</v>
      </c>
      <c r="B120" s="12"/>
      <c r="C120" s="28" t="s">
        <v>6</v>
      </c>
      <c r="D120" s="65">
        <v>145</v>
      </c>
      <c r="E120" s="65">
        <f aca="true" t="shared" si="54" ref="E120:E128">G120+H120+I120+J120</f>
        <v>145</v>
      </c>
      <c r="F120" s="49">
        <f t="shared" si="53"/>
        <v>50.2</v>
      </c>
      <c r="G120" s="65">
        <v>50.2</v>
      </c>
      <c r="H120" s="65">
        <v>3.5</v>
      </c>
      <c r="I120" s="18">
        <v>4</v>
      </c>
      <c r="J120" s="18">
        <v>87.3</v>
      </c>
      <c r="K120" s="18">
        <v>33.2</v>
      </c>
      <c r="L120" s="20">
        <f>K120*100/F120</f>
        <v>66.13545816733068</v>
      </c>
      <c r="M120" s="18">
        <f>K120*100/E120</f>
        <v>22.896551724137936</v>
      </c>
      <c r="N120" s="18">
        <f>K120*100/D120</f>
        <v>22.896551724137936</v>
      </c>
    </row>
    <row r="121" spans="1:14" ht="12.75">
      <c r="A121" s="12" t="s">
        <v>10</v>
      </c>
      <c r="B121" s="12"/>
      <c r="C121" s="28" t="s">
        <v>21</v>
      </c>
      <c r="D121" s="65">
        <v>12</v>
      </c>
      <c r="E121" s="65">
        <f t="shared" si="54"/>
        <v>12</v>
      </c>
      <c r="F121" s="49">
        <f t="shared" si="53"/>
        <v>3</v>
      </c>
      <c r="G121" s="65">
        <v>3</v>
      </c>
      <c r="H121" s="65">
        <v>3</v>
      </c>
      <c r="I121" s="18">
        <v>3</v>
      </c>
      <c r="J121" s="18">
        <v>3</v>
      </c>
      <c r="K121" s="18">
        <v>0.8</v>
      </c>
      <c r="L121" s="20">
        <f>K121*100/F121</f>
        <v>26.666666666666668</v>
      </c>
      <c r="M121" s="18">
        <f>K121*100/E121</f>
        <v>6.666666666666667</v>
      </c>
      <c r="N121" s="18">
        <f>K121*100/D121</f>
        <v>6.666666666666667</v>
      </c>
    </row>
    <row r="122" spans="1:14" ht="22.5">
      <c r="A122" s="13" t="s">
        <v>11</v>
      </c>
      <c r="B122" s="13"/>
      <c r="C122" s="28" t="s">
        <v>17</v>
      </c>
      <c r="D122" s="65">
        <v>657.2</v>
      </c>
      <c r="E122" s="65">
        <f t="shared" si="54"/>
        <v>657.2</v>
      </c>
      <c r="F122" s="49">
        <f t="shared" si="53"/>
        <v>149.3</v>
      </c>
      <c r="G122" s="65">
        <v>149.3</v>
      </c>
      <c r="H122" s="65">
        <v>149.3</v>
      </c>
      <c r="I122" s="18">
        <v>149.3</v>
      </c>
      <c r="J122" s="18">
        <v>209.3</v>
      </c>
      <c r="K122" s="18">
        <v>23.7</v>
      </c>
      <c r="L122" s="20">
        <f>K122*100/F122</f>
        <v>15.874079035498994</v>
      </c>
      <c r="M122" s="18">
        <f>K122*100/E122</f>
        <v>3.6062081558125376</v>
      </c>
      <c r="N122" s="18">
        <f>K122*100/D122</f>
        <v>3.6062081558125376</v>
      </c>
    </row>
    <row r="123" spans="1:14" ht="22.5">
      <c r="A123" s="30" t="s">
        <v>42</v>
      </c>
      <c r="B123" s="30"/>
      <c r="C123" s="28" t="s">
        <v>43</v>
      </c>
      <c r="D123" s="65">
        <v>121.3</v>
      </c>
      <c r="E123" s="65">
        <f t="shared" si="54"/>
        <v>121.3</v>
      </c>
      <c r="F123" s="49">
        <f t="shared" si="53"/>
        <v>30</v>
      </c>
      <c r="G123" s="65">
        <v>30</v>
      </c>
      <c r="H123" s="65">
        <v>40</v>
      </c>
      <c r="I123" s="18">
        <v>17</v>
      </c>
      <c r="J123" s="18">
        <v>34.3</v>
      </c>
      <c r="K123" s="18">
        <v>15.3</v>
      </c>
      <c r="L123" s="20">
        <f>K123*100/F123</f>
        <v>51</v>
      </c>
      <c r="M123" s="18">
        <f>K123*100/E123</f>
        <v>12.61335531739489</v>
      </c>
      <c r="N123" s="18">
        <f>K123*100/D123</f>
        <v>12.61335531739489</v>
      </c>
    </row>
    <row r="124" spans="1:14" ht="16.5" customHeight="1">
      <c r="A124" s="29" t="s">
        <v>18</v>
      </c>
      <c r="B124" s="29"/>
      <c r="C124" s="28" t="s">
        <v>15</v>
      </c>
      <c r="D124" s="65"/>
      <c r="E124" s="65">
        <f t="shared" si="54"/>
        <v>0</v>
      </c>
      <c r="F124" s="49">
        <f t="shared" si="53"/>
        <v>0</v>
      </c>
      <c r="G124" s="65"/>
      <c r="H124" s="65"/>
      <c r="I124" s="18"/>
      <c r="J124" s="18"/>
      <c r="K124" s="18"/>
      <c r="L124" s="20"/>
      <c r="M124" s="18"/>
      <c r="N124" s="18"/>
    </row>
    <row r="125" spans="1:14" ht="17.25" customHeight="1">
      <c r="A125" s="21" t="s">
        <v>12</v>
      </c>
      <c r="B125" s="21"/>
      <c r="C125" s="28" t="s">
        <v>7</v>
      </c>
      <c r="D125" s="65"/>
      <c r="E125" s="65">
        <f t="shared" si="54"/>
        <v>0</v>
      </c>
      <c r="F125" s="49">
        <f t="shared" si="53"/>
        <v>0</v>
      </c>
      <c r="G125" s="65"/>
      <c r="H125" s="65"/>
      <c r="I125" s="18"/>
      <c r="J125" s="18"/>
      <c r="K125" s="18">
        <v>5</v>
      </c>
      <c r="L125" s="27"/>
      <c r="M125" s="24"/>
      <c r="N125" s="18"/>
    </row>
    <row r="126" spans="1:14" ht="14.25" customHeight="1">
      <c r="A126" s="29" t="s">
        <v>39</v>
      </c>
      <c r="B126" s="80"/>
      <c r="C126" s="16" t="s">
        <v>40</v>
      </c>
      <c r="D126" s="65"/>
      <c r="E126" s="65">
        <f t="shared" si="54"/>
        <v>0</v>
      </c>
      <c r="F126" s="49">
        <f t="shared" si="53"/>
        <v>0</v>
      </c>
      <c r="G126" s="65"/>
      <c r="H126" s="65"/>
      <c r="I126" s="18"/>
      <c r="J126" s="18"/>
      <c r="K126" s="18">
        <v>13.4</v>
      </c>
      <c r="L126" s="27"/>
      <c r="M126" s="24"/>
      <c r="N126" s="18"/>
    </row>
    <row r="127" spans="1:14" ht="12.75">
      <c r="A127" s="25" t="s">
        <v>1</v>
      </c>
      <c r="B127" s="25"/>
      <c r="C127" s="32" t="s">
        <v>0</v>
      </c>
      <c r="D127" s="33">
        <f aca="true" t="shared" si="55" ref="D127:K127">D128</f>
        <v>29006.8</v>
      </c>
      <c r="E127" s="33">
        <f t="shared" si="55"/>
        <v>33261.6</v>
      </c>
      <c r="F127" s="81">
        <f t="shared" si="55"/>
        <v>5782.8</v>
      </c>
      <c r="G127" s="81">
        <f t="shared" si="55"/>
        <v>5782.8</v>
      </c>
      <c r="H127" s="81">
        <f t="shared" si="55"/>
        <v>8495.3</v>
      </c>
      <c r="I127" s="81">
        <f t="shared" si="55"/>
        <v>12449.6</v>
      </c>
      <c r="J127" s="33">
        <f t="shared" si="55"/>
        <v>6533.9</v>
      </c>
      <c r="K127" s="33">
        <f t="shared" si="55"/>
        <v>3764.8</v>
      </c>
      <c r="L127" s="27">
        <f>K127*100/F127</f>
        <v>65.10341011274815</v>
      </c>
      <c r="M127" s="24">
        <f>K127*100/E127</f>
        <v>11.318757967145297</v>
      </c>
      <c r="N127" s="24">
        <f>K127*100/D127</f>
        <v>12.979025607788518</v>
      </c>
    </row>
    <row r="128" spans="1:14" ht="22.5">
      <c r="A128" s="14" t="s">
        <v>67</v>
      </c>
      <c r="B128" s="12"/>
      <c r="C128" s="34" t="s">
        <v>20</v>
      </c>
      <c r="D128" s="37">
        <v>29006.8</v>
      </c>
      <c r="E128" s="65">
        <f t="shared" si="54"/>
        <v>33261.6</v>
      </c>
      <c r="F128" s="49">
        <f t="shared" si="53"/>
        <v>5782.8</v>
      </c>
      <c r="G128" s="65">
        <v>5782.8</v>
      </c>
      <c r="H128" s="65">
        <v>8495.3</v>
      </c>
      <c r="I128" s="18">
        <v>12449.6</v>
      </c>
      <c r="J128" s="18">
        <v>6533.9</v>
      </c>
      <c r="K128" s="18">
        <v>3764.8</v>
      </c>
      <c r="L128" s="20">
        <f>K128*100/F128</f>
        <v>65.10341011274815</v>
      </c>
      <c r="M128" s="18">
        <f>K128*100/E128</f>
        <v>11.318757967145297</v>
      </c>
      <c r="N128" s="18">
        <f>K128*100/D128</f>
        <v>12.979025607788518</v>
      </c>
    </row>
    <row r="129" spans="1:14" ht="12.75">
      <c r="A129" s="21"/>
      <c r="B129" s="22"/>
      <c r="C129" s="23" t="s">
        <v>4</v>
      </c>
      <c r="D129" s="24">
        <f aca="true" t="shared" si="56" ref="D129:K129">D127+D115</f>
        <v>34060.6</v>
      </c>
      <c r="E129" s="24">
        <f t="shared" si="56"/>
        <v>38315.4</v>
      </c>
      <c r="F129" s="24">
        <f t="shared" si="56"/>
        <v>6856.4</v>
      </c>
      <c r="G129" s="24">
        <f t="shared" si="56"/>
        <v>6856.4</v>
      </c>
      <c r="H129" s="24">
        <f t="shared" si="56"/>
        <v>9739.099999999999</v>
      </c>
      <c r="I129" s="24">
        <f t="shared" si="56"/>
        <v>13696.1</v>
      </c>
      <c r="J129" s="24">
        <f t="shared" si="56"/>
        <v>8023.799999999999</v>
      </c>
      <c r="K129" s="24">
        <f t="shared" si="56"/>
        <v>4532.200000000001</v>
      </c>
      <c r="L129" s="27">
        <f>K129*100/F129</f>
        <v>66.10174435563854</v>
      </c>
      <c r="M129" s="24">
        <f>K129*100/E129</f>
        <v>11.828664192465693</v>
      </c>
      <c r="N129" s="24">
        <f>K129*100/D129</f>
        <v>13.306283506456142</v>
      </c>
    </row>
    <row r="130" spans="1:14" ht="12.75">
      <c r="A130" s="87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27"/>
      <c r="M130" s="24"/>
      <c r="N130" s="18"/>
    </row>
    <row r="131" spans="1:14" ht="12.75">
      <c r="A131" s="91" t="s">
        <v>31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ht="12.75">
      <c r="A132" s="25" t="s">
        <v>3</v>
      </c>
      <c r="B132" s="25"/>
      <c r="C132" s="26" t="s">
        <v>68</v>
      </c>
      <c r="D132" s="27">
        <f aca="true" t="shared" si="57" ref="D132:J132">D133+D135+D136+D137+D139+D141+D138+D140+D134</f>
        <v>10033.1</v>
      </c>
      <c r="E132" s="27">
        <f t="shared" si="57"/>
        <v>10033.099999999999</v>
      </c>
      <c r="F132" s="27">
        <f t="shared" si="57"/>
        <v>1784.1</v>
      </c>
      <c r="G132" s="27">
        <f t="shared" si="57"/>
        <v>1784.1</v>
      </c>
      <c r="H132" s="27">
        <f t="shared" si="57"/>
        <v>3024.3</v>
      </c>
      <c r="I132" s="27">
        <f t="shared" si="57"/>
        <v>2790.7</v>
      </c>
      <c r="J132" s="27">
        <f t="shared" si="57"/>
        <v>2434</v>
      </c>
      <c r="K132" s="27">
        <f>K133+K135+K136+K137+K139+K141+K138+K140+K134</f>
        <v>1628.1000000000001</v>
      </c>
      <c r="L132" s="27">
        <f aca="true" t="shared" si="58" ref="L132:L139">K132*100/F132</f>
        <v>91.25609551034135</v>
      </c>
      <c r="M132" s="24">
        <f aca="true" t="shared" si="59" ref="M132:M139">K132*100/E132</f>
        <v>16.227287677786528</v>
      </c>
      <c r="N132" s="24">
        <f aca="true" t="shared" si="60" ref="N132:N138">K132*100/D132</f>
        <v>16.227287677786524</v>
      </c>
    </row>
    <row r="133" spans="1:14" ht="12.75">
      <c r="A133" s="21" t="s">
        <v>23</v>
      </c>
      <c r="B133" s="21"/>
      <c r="C133" s="28" t="s">
        <v>22</v>
      </c>
      <c r="D133" s="65">
        <v>2950</v>
      </c>
      <c r="E133" s="65">
        <f>G133+H133+I133+J133</f>
        <v>2950</v>
      </c>
      <c r="F133" s="49">
        <f aca="true" t="shared" si="61" ref="F133:F145">G133</f>
        <v>531</v>
      </c>
      <c r="G133" s="37">
        <v>531</v>
      </c>
      <c r="H133" s="37">
        <v>914.5</v>
      </c>
      <c r="I133" s="17">
        <v>796.5</v>
      </c>
      <c r="J133" s="18">
        <v>708</v>
      </c>
      <c r="K133" s="18">
        <v>296.3</v>
      </c>
      <c r="L133" s="20">
        <f t="shared" si="58"/>
        <v>55.80037664783428</v>
      </c>
      <c r="M133" s="18">
        <f t="shared" si="59"/>
        <v>10.04406779661017</v>
      </c>
      <c r="N133" s="18">
        <f t="shared" si="60"/>
        <v>10.04406779661017</v>
      </c>
    </row>
    <row r="134" spans="1:14" ht="12.75">
      <c r="A134" s="12" t="s">
        <v>70</v>
      </c>
      <c r="B134" s="12"/>
      <c r="C134" s="28" t="s">
        <v>71</v>
      </c>
      <c r="D134" s="65">
        <v>6359.1</v>
      </c>
      <c r="E134" s="65">
        <f>G134+H134+I134+J134</f>
        <v>6359.099999999999</v>
      </c>
      <c r="F134" s="49">
        <f t="shared" si="61"/>
        <v>1144.6</v>
      </c>
      <c r="G134" s="37">
        <v>1144.6</v>
      </c>
      <c r="H134" s="37">
        <v>1971.6</v>
      </c>
      <c r="I134" s="17">
        <v>1716.7</v>
      </c>
      <c r="J134" s="18">
        <v>1526.2</v>
      </c>
      <c r="K134" s="18">
        <v>1176.9</v>
      </c>
      <c r="L134" s="20">
        <f t="shared" si="58"/>
        <v>102.82194653153942</v>
      </c>
      <c r="M134" s="18">
        <f t="shared" si="59"/>
        <v>18.507335943765632</v>
      </c>
      <c r="N134" s="18">
        <f t="shared" si="60"/>
        <v>18.50733594376563</v>
      </c>
    </row>
    <row r="135" spans="1:14" ht="12.75">
      <c r="A135" s="12" t="s">
        <v>9</v>
      </c>
      <c r="B135" s="12"/>
      <c r="C135" s="28" t="s">
        <v>6</v>
      </c>
      <c r="D135" s="65">
        <v>394</v>
      </c>
      <c r="E135" s="65">
        <f aca="true" t="shared" si="62" ref="E135:E144">G135+H135+I135+J135</f>
        <v>394</v>
      </c>
      <c r="F135" s="49">
        <f t="shared" si="61"/>
        <v>69.7</v>
      </c>
      <c r="G135" s="37">
        <v>69.7</v>
      </c>
      <c r="H135" s="37">
        <v>95.1</v>
      </c>
      <c r="I135" s="17">
        <v>84.8</v>
      </c>
      <c r="J135" s="18">
        <v>144.4</v>
      </c>
      <c r="K135" s="18">
        <v>111.7</v>
      </c>
      <c r="L135" s="20">
        <f t="shared" si="58"/>
        <v>160.25824964131994</v>
      </c>
      <c r="M135" s="18">
        <f t="shared" si="59"/>
        <v>28.3502538071066</v>
      </c>
      <c r="N135" s="18">
        <f t="shared" si="60"/>
        <v>28.3502538071066</v>
      </c>
    </row>
    <row r="136" spans="1:14" ht="12.75">
      <c r="A136" s="12" t="s">
        <v>10</v>
      </c>
      <c r="B136" s="12"/>
      <c r="C136" s="28" t="s">
        <v>21</v>
      </c>
      <c r="D136" s="65">
        <v>10</v>
      </c>
      <c r="E136" s="65">
        <f t="shared" si="62"/>
        <v>10</v>
      </c>
      <c r="F136" s="49">
        <f t="shared" si="61"/>
        <v>1.8</v>
      </c>
      <c r="G136" s="37">
        <v>1.8</v>
      </c>
      <c r="H136" s="37">
        <v>3.1</v>
      </c>
      <c r="I136" s="17">
        <v>2.7</v>
      </c>
      <c r="J136" s="18">
        <v>2.4</v>
      </c>
      <c r="K136" s="18">
        <v>5.6</v>
      </c>
      <c r="L136" s="20">
        <f t="shared" si="58"/>
        <v>311.1111111111111</v>
      </c>
      <c r="M136" s="18">
        <f t="shared" si="59"/>
        <v>56</v>
      </c>
      <c r="N136" s="18">
        <f t="shared" si="60"/>
        <v>56</v>
      </c>
    </row>
    <row r="137" spans="1:14" ht="22.5">
      <c r="A137" s="13" t="s">
        <v>11</v>
      </c>
      <c r="B137" s="13"/>
      <c r="C137" s="28" t="s">
        <v>17</v>
      </c>
      <c r="D137" s="65">
        <v>220</v>
      </c>
      <c r="E137" s="65">
        <f t="shared" si="62"/>
        <v>220</v>
      </c>
      <c r="F137" s="49">
        <f t="shared" si="61"/>
        <v>12</v>
      </c>
      <c r="G137" s="37">
        <v>12</v>
      </c>
      <c r="H137" s="37">
        <v>15</v>
      </c>
      <c r="I137" s="17">
        <v>165</v>
      </c>
      <c r="J137" s="18">
        <v>28</v>
      </c>
      <c r="K137" s="18">
        <v>51.3</v>
      </c>
      <c r="L137" s="20">
        <f t="shared" si="58"/>
        <v>427.5</v>
      </c>
      <c r="M137" s="18">
        <f t="shared" si="59"/>
        <v>23.318181818181817</v>
      </c>
      <c r="N137" s="18">
        <f t="shared" si="60"/>
        <v>23.318181818181817</v>
      </c>
    </row>
    <row r="138" spans="1:14" ht="22.5">
      <c r="A138" s="30" t="s">
        <v>42</v>
      </c>
      <c r="B138" s="30"/>
      <c r="C138" s="28" t="s">
        <v>43</v>
      </c>
      <c r="D138" s="65">
        <v>100</v>
      </c>
      <c r="E138" s="65">
        <f t="shared" si="62"/>
        <v>100</v>
      </c>
      <c r="F138" s="49">
        <f t="shared" si="61"/>
        <v>25</v>
      </c>
      <c r="G138" s="37">
        <v>25</v>
      </c>
      <c r="H138" s="37">
        <v>25</v>
      </c>
      <c r="I138" s="17">
        <v>25</v>
      </c>
      <c r="J138" s="18">
        <v>25</v>
      </c>
      <c r="K138" s="18"/>
      <c r="L138" s="20">
        <f t="shared" si="58"/>
        <v>0</v>
      </c>
      <c r="M138" s="18">
        <f t="shared" si="59"/>
        <v>0</v>
      </c>
      <c r="N138" s="18">
        <f t="shared" si="60"/>
        <v>0</v>
      </c>
    </row>
    <row r="139" spans="1:14" ht="18.75" customHeight="1" hidden="1">
      <c r="A139" s="30" t="s">
        <v>18</v>
      </c>
      <c r="B139" s="30"/>
      <c r="C139" s="28" t="s">
        <v>15</v>
      </c>
      <c r="D139" s="65">
        <v>0</v>
      </c>
      <c r="E139" s="65">
        <f t="shared" si="62"/>
        <v>0</v>
      </c>
      <c r="F139" s="49">
        <f t="shared" si="61"/>
        <v>0</v>
      </c>
      <c r="G139" s="37"/>
      <c r="H139" s="37"/>
      <c r="I139" s="17"/>
      <c r="J139" s="18"/>
      <c r="K139" s="18"/>
      <c r="L139" s="20" t="e">
        <f t="shared" si="58"/>
        <v>#DIV/0!</v>
      </c>
      <c r="M139" s="18" t="e">
        <f t="shared" si="59"/>
        <v>#DIV/0!</v>
      </c>
      <c r="N139" s="18"/>
    </row>
    <row r="140" spans="1:14" ht="15" customHeight="1" hidden="1">
      <c r="A140" s="21" t="s">
        <v>12</v>
      </c>
      <c r="B140" s="21"/>
      <c r="C140" s="28" t="s">
        <v>7</v>
      </c>
      <c r="D140" s="65"/>
      <c r="E140" s="65">
        <f t="shared" si="62"/>
        <v>0</v>
      </c>
      <c r="F140" s="49">
        <f t="shared" si="61"/>
        <v>0</v>
      </c>
      <c r="G140" s="37"/>
      <c r="H140" s="37"/>
      <c r="I140" s="17"/>
      <c r="J140" s="18"/>
      <c r="K140" s="18"/>
      <c r="L140" s="20"/>
      <c r="M140" s="18"/>
      <c r="N140" s="18"/>
    </row>
    <row r="141" spans="1:14" ht="18" customHeight="1">
      <c r="A141" s="30" t="s">
        <v>39</v>
      </c>
      <c r="B141" s="80"/>
      <c r="C141" s="16" t="s">
        <v>40</v>
      </c>
      <c r="D141" s="65"/>
      <c r="E141" s="65">
        <f t="shared" si="62"/>
        <v>0</v>
      </c>
      <c r="F141" s="49">
        <f t="shared" si="61"/>
        <v>0</v>
      </c>
      <c r="G141" s="37"/>
      <c r="H141" s="37"/>
      <c r="I141" s="17"/>
      <c r="J141" s="18"/>
      <c r="K141" s="17">
        <v>-13.7</v>
      </c>
      <c r="L141" s="20"/>
      <c r="M141" s="18"/>
      <c r="N141" s="18"/>
    </row>
    <row r="142" spans="1:14" ht="18" customHeight="1">
      <c r="A142" s="61" t="s">
        <v>1</v>
      </c>
      <c r="B142" s="61"/>
      <c r="C142" s="32" t="s">
        <v>0</v>
      </c>
      <c r="D142" s="33">
        <f aca="true" t="shared" si="63" ref="D142:K142">D143+D144+D145</f>
        <v>42946.5</v>
      </c>
      <c r="E142" s="33">
        <f t="shared" si="63"/>
        <v>43694.1</v>
      </c>
      <c r="F142" s="33">
        <f t="shared" si="63"/>
        <v>9375.5</v>
      </c>
      <c r="G142" s="33">
        <f t="shared" si="63"/>
        <v>9375.5</v>
      </c>
      <c r="H142" s="33">
        <f t="shared" si="63"/>
        <v>11571.3</v>
      </c>
      <c r="I142" s="33">
        <f t="shared" si="63"/>
        <v>12656.400000000001</v>
      </c>
      <c r="J142" s="33">
        <f t="shared" si="63"/>
        <v>10090.9</v>
      </c>
      <c r="K142" s="33">
        <f t="shared" si="63"/>
        <v>5495.4</v>
      </c>
      <c r="L142" s="27">
        <f>K142*100/F142</f>
        <v>58.61447389472561</v>
      </c>
      <c r="M142" s="24">
        <f>K142*100/E142</f>
        <v>12.576984077941873</v>
      </c>
      <c r="N142" s="24">
        <f>K142*100/D142</f>
        <v>12.79592050574552</v>
      </c>
    </row>
    <row r="143" spans="1:14" ht="22.5">
      <c r="A143" s="14" t="s">
        <v>67</v>
      </c>
      <c r="B143" s="12"/>
      <c r="C143" s="34" t="s">
        <v>20</v>
      </c>
      <c r="D143" s="37">
        <v>42946.5</v>
      </c>
      <c r="E143" s="65">
        <f t="shared" si="62"/>
        <v>43694.1</v>
      </c>
      <c r="F143" s="49">
        <f t="shared" si="61"/>
        <v>9375.5</v>
      </c>
      <c r="G143" s="37">
        <f>9144.9+230.6</f>
        <v>9375.5</v>
      </c>
      <c r="H143" s="37">
        <v>11571.3</v>
      </c>
      <c r="I143" s="17">
        <f>12456.7+199.7</f>
        <v>12656.400000000001</v>
      </c>
      <c r="J143" s="18">
        <v>10090.9</v>
      </c>
      <c r="K143" s="18">
        <v>5495.4</v>
      </c>
      <c r="L143" s="20">
        <f>K143*100/F143</f>
        <v>58.61447389472561</v>
      </c>
      <c r="M143" s="18">
        <f>K143*100/E143</f>
        <v>12.576984077941873</v>
      </c>
      <c r="N143" s="18">
        <f>K143*100/D143</f>
        <v>12.79592050574552</v>
      </c>
    </row>
    <row r="144" spans="1:14" ht="12.75" customHeight="1" hidden="1">
      <c r="A144" s="14" t="s">
        <v>2</v>
      </c>
      <c r="B144" s="14"/>
      <c r="C144" s="35" t="s">
        <v>19</v>
      </c>
      <c r="D144" s="35"/>
      <c r="E144" s="65">
        <f t="shared" si="62"/>
        <v>0</v>
      </c>
      <c r="F144" s="49">
        <f t="shared" si="61"/>
        <v>0</v>
      </c>
      <c r="G144" s="78"/>
      <c r="H144" s="78"/>
      <c r="I144" s="17"/>
      <c r="J144" s="18"/>
      <c r="K144" s="18"/>
      <c r="L144" s="20"/>
      <c r="M144" s="18"/>
      <c r="N144" s="18"/>
    </row>
    <row r="145" spans="1:14" ht="33" customHeight="1" hidden="1">
      <c r="A145" s="14" t="s">
        <v>66</v>
      </c>
      <c r="B145" s="67"/>
      <c r="C145" s="19" t="s">
        <v>63</v>
      </c>
      <c r="D145" s="35"/>
      <c r="E145" s="65"/>
      <c r="F145" s="49">
        <f t="shared" si="61"/>
        <v>0</v>
      </c>
      <c r="G145" s="78"/>
      <c r="H145" s="78"/>
      <c r="I145" s="17"/>
      <c r="J145" s="18"/>
      <c r="K145" s="18"/>
      <c r="L145" s="20"/>
      <c r="M145" s="18"/>
      <c r="N145" s="18"/>
    </row>
    <row r="146" spans="1:14" ht="12.75">
      <c r="A146" s="21"/>
      <c r="B146" s="22"/>
      <c r="C146" s="23" t="s">
        <v>4</v>
      </c>
      <c r="D146" s="24">
        <f aca="true" t="shared" si="64" ref="D146:K146">D142+D132</f>
        <v>52979.6</v>
      </c>
      <c r="E146" s="24">
        <f t="shared" si="64"/>
        <v>53727.2</v>
      </c>
      <c r="F146" s="24">
        <f t="shared" si="64"/>
        <v>11159.6</v>
      </c>
      <c r="G146" s="36">
        <f t="shared" si="64"/>
        <v>11159.6</v>
      </c>
      <c r="H146" s="36">
        <f t="shared" si="64"/>
        <v>14595.599999999999</v>
      </c>
      <c r="I146" s="36">
        <f t="shared" si="64"/>
        <v>15447.100000000002</v>
      </c>
      <c r="J146" s="24">
        <f t="shared" si="64"/>
        <v>12524.9</v>
      </c>
      <c r="K146" s="24">
        <f t="shared" si="64"/>
        <v>7123.5</v>
      </c>
      <c r="L146" s="27">
        <f>K146*100/F146</f>
        <v>63.83293308003871</v>
      </c>
      <c r="M146" s="24">
        <f>K146*100/E146</f>
        <v>13.258647389032</v>
      </c>
      <c r="N146" s="24">
        <f>K146*100/D146</f>
        <v>13.445741379700866</v>
      </c>
    </row>
    <row r="147" spans="1:14" ht="12.75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27"/>
      <c r="M147" s="24"/>
      <c r="N147" s="18"/>
    </row>
    <row r="148" spans="1:14" ht="12.75">
      <c r="A148" s="91" t="s">
        <v>32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3"/>
    </row>
    <row r="149" spans="1:14" ht="12.75">
      <c r="A149" s="25" t="s">
        <v>3</v>
      </c>
      <c r="B149" s="25"/>
      <c r="C149" s="26" t="s">
        <v>68</v>
      </c>
      <c r="D149" s="27">
        <f aca="true" t="shared" si="65" ref="D149:J149">D150+D153+D155+D157+D154+D158+D156+D159+D152+D151</f>
        <v>20058.2</v>
      </c>
      <c r="E149" s="27">
        <f t="shared" si="65"/>
        <v>20058.2</v>
      </c>
      <c r="F149" s="27">
        <f t="shared" si="65"/>
        <v>4954.4</v>
      </c>
      <c r="G149" s="27">
        <f t="shared" si="65"/>
        <v>4954.4</v>
      </c>
      <c r="H149" s="27">
        <f t="shared" si="65"/>
        <v>5135.2</v>
      </c>
      <c r="I149" s="27">
        <f t="shared" si="65"/>
        <v>5636.5</v>
      </c>
      <c r="J149" s="27">
        <f t="shared" si="65"/>
        <v>4332.099999999999</v>
      </c>
      <c r="K149" s="27">
        <f>K150+K153+K155+K157+K154+K158+K156+K159+K152+K151+0.1</f>
        <v>3426.1</v>
      </c>
      <c r="L149" s="27">
        <f aca="true" t="shared" si="66" ref="L149:L155">K149*100/F149</f>
        <v>69.15267237203294</v>
      </c>
      <c r="M149" s="24">
        <f aca="true" t="shared" si="67" ref="M149:M155">K149*100/E149</f>
        <v>17.080794886879183</v>
      </c>
      <c r="N149" s="24">
        <f aca="true" t="shared" si="68" ref="N149:N155">K149*100/D149</f>
        <v>17.080794886879183</v>
      </c>
    </row>
    <row r="150" spans="1:14" ht="12.75">
      <c r="A150" s="21" t="s">
        <v>23</v>
      </c>
      <c r="B150" s="21"/>
      <c r="C150" s="28" t="s">
        <v>22</v>
      </c>
      <c r="D150" s="65">
        <v>13450</v>
      </c>
      <c r="E150" s="37">
        <f>G150+H150+I150+J150</f>
        <v>13450</v>
      </c>
      <c r="F150" s="49">
        <f aca="true" t="shared" si="69" ref="F150:F161">G150</f>
        <v>3322.2</v>
      </c>
      <c r="G150" s="37">
        <v>3322.2</v>
      </c>
      <c r="H150" s="37">
        <v>3443.6</v>
      </c>
      <c r="I150" s="17">
        <v>3779.5</v>
      </c>
      <c r="J150" s="18">
        <v>2904.7</v>
      </c>
      <c r="K150" s="18">
        <v>2044.7</v>
      </c>
      <c r="L150" s="20">
        <f t="shared" si="66"/>
        <v>61.54656552886642</v>
      </c>
      <c r="M150" s="18">
        <f t="shared" si="67"/>
        <v>15.202230483271375</v>
      </c>
      <c r="N150" s="18">
        <f t="shared" si="68"/>
        <v>15.202230483271375</v>
      </c>
    </row>
    <row r="151" spans="1:14" ht="12.75">
      <c r="A151" s="12" t="s">
        <v>70</v>
      </c>
      <c r="B151" s="12"/>
      <c r="C151" s="28" t="s">
        <v>71</v>
      </c>
      <c r="D151" s="65">
        <v>4776.3</v>
      </c>
      <c r="E151" s="37">
        <f>G151+H151+I151+J151</f>
        <v>4776.3</v>
      </c>
      <c r="F151" s="49">
        <f t="shared" si="69"/>
        <v>1179.7</v>
      </c>
      <c r="G151" s="37">
        <v>1179.7</v>
      </c>
      <c r="H151" s="37">
        <v>1222.7</v>
      </c>
      <c r="I151" s="17">
        <v>1342.2</v>
      </c>
      <c r="J151" s="18">
        <v>1031.7</v>
      </c>
      <c r="K151" s="18">
        <v>883.9</v>
      </c>
      <c r="L151" s="20">
        <f t="shared" si="66"/>
        <v>74.92582860049164</v>
      </c>
      <c r="M151" s="18">
        <f t="shared" si="67"/>
        <v>18.505956493520088</v>
      </c>
      <c r="N151" s="18">
        <f t="shared" si="68"/>
        <v>18.505956493520088</v>
      </c>
    </row>
    <row r="152" spans="1:14" ht="12.75" customHeight="1">
      <c r="A152" s="12" t="s">
        <v>8</v>
      </c>
      <c r="B152" s="12"/>
      <c r="C152" s="28" t="s">
        <v>5</v>
      </c>
      <c r="D152" s="65">
        <v>10</v>
      </c>
      <c r="E152" s="37">
        <f aca="true" t="shared" si="70" ref="E152:E161">G152+H152+I152+J152</f>
        <v>10</v>
      </c>
      <c r="F152" s="49">
        <f t="shared" si="69"/>
        <v>2.5</v>
      </c>
      <c r="G152" s="37">
        <v>2.5</v>
      </c>
      <c r="H152" s="37">
        <v>2.5</v>
      </c>
      <c r="I152" s="17">
        <v>2.8</v>
      </c>
      <c r="J152" s="18">
        <v>2.2</v>
      </c>
      <c r="K152" s="18">
        <v>0.4</v>
      </c>
      <c r="L152" s="20">
        <f t="shared" si="66"/>
        <v>16</v>
      </c>
      <c r="M152" s="18">
        <f t="shared" si="67"/>
        <v>4</v>
      </c>
      <c r="N152" s="18">
        <f t="shared" si="68"/>
        <v>4</v>
      </c>
    </row>
    <row r="153" spans="1:14" ht="12.75">
      <c r="A153" s="12" t="s">
        <v>9</v>
      </c>
      <c r="B153" s="12"/>
      <c r="C153" s="28" t="s">
        <v>6</v>
      </c>
      <c r="D153" s="65">
        <v>1510</v>
      </c>
      <c r="E153" s="37">
        <f t="shared" si="70"/>
        <v>1510</v>
      </c>
      <c r="F153" s="49">
        <f t="shared" si="69"/>
        <v>373</v>
      </c>
      <c r="G153" s="37">
        <v>373</v>
      </c>
      <c r="H153" s="37">
        <v>386.6</v>
      </c>
      <c r="I153" s="17">
        <v>424.3</v>
      </c>
      <c r="J153" s="18">
        <v>326.1</v>
      </c>
      <c r="K153" s="18">
        <v>460.9</v>
      </c>
      <c r="L153" s="20">
        <f t="shared" si="66"/>
        <v>123.5656836461126</v>
      </c>
      <c r="M153" s="18">
        <f t="shared" si="67"/>
        <v>30.52317880794702</v>
      </c>
      <c r="N153" s="18">
        <f t="shared" si="68"/>
        <v>30.52317880794702</v>
      </c>
    </row>
    <row r="154" spans="1:14" ht="12.75">
      <c r="A154" s="12" t="s">
        <v>10</v>
      </c>
      <c r="B154" s="12"/>
      <c r="C154" s="28" t="s">
        <v>21</v>
      </c>
      <c r="D154" s="65">
        <v>145.1</v>
      </c>
      <c r="E154" s="37">
        <f t="shared" si="70"/>
        <v>145.1</v>
      </c>
      <c r="F154" s="49">
        <f t="shared" si="69"/>
        <v>35.8</v>
      </c>
      <c r="G154" s="37">
        <v>35.8</v>
      </c>
      <c r="H154" s="37">
        <v>37.1</v>
      </c>
      <c r="I154" s="17">
        <v>40.8</v>
      </c>
      <c r="J154" s="18">
        <v>31.4</v>
      </c>
      <c r="K154" s="18">
        <v>17.6</v>
      </c>
      <c r="L154" s="20">
        <f t="shared" si="66"/>
        <v>49.16201117318437</v>
      </c>
      <c r="M154" s="18">
        <f t="shared" si="67"/>
        <v>12.129565816678156</v>
      </c>
      <c r="N154" s="18">
        <f t="shared" si="68"/>
        <v>12.129565816678156</v>
      </c>
    </row>
    <row r="155" spans="1:14" ht="22.5">
      <c r="A155" s="13" t="s">
        <v>11</v>
      </c>
      <c r="B155" s="13"/>
      <c r="C155" s="28" t="s">
        <v>17</v>
      </c>
      <c r="D155" s="65">
        <v>166.8</v>
      </c>
      <c r="E155" s="37">
        <f t="shared" si="70"/>
        <v>166.8</v>
      </c>
      <c r="F155" s="49">
        <f t="shared" si="69"/>
        <v>41.2</v>
      </c>
      <c r="G155" s="37">
        <v>41.2</v>
      </c>
      <c r="H155" s="37">
        <v>42.7</v>
      </c>
      <c r="I155" s="17">
        <v>46.9</v>
      </c>
      <c r="J155" s="18">
        <v>36</v>
      </c>
      <c r="K155" s="18"/>
      <c r="L155" s="20">
        <f t="shared" si="66"/>
        <v>0</v>
      </c>
      <c r="M155" s="18">
        <f t="shared" si="67"/>
        <v>0</v>
      </c>
      <c r="N155" s="18">
        <f t="shared" si="68"/>
        <v>0</v>
      </c>
    </row>
    <row r="156" spans="1:14" ht="19.5" customHeight="1">
      <c r="A156" s="30" t="s">
        <v>42</v>
      </c>
      <c r="B156" s="30"/>
      <c r="C156" s="28" t="s">
        <v>43</v>
      </c>
      <c r="D156" s="65"/>
      <c r="E156" s="37">
        <f t="shared" si="70"/>
        <v>0</v>
      </c>
      <c r="F156" s="49">
        <f t="shared" si="69"/>
        <v>0</v>
      </c>
      <c r="G156" s="37"/>
      <c r="H156" s="37"/>
      <c r="I156" s="17"/>
      <c r="J156" s="18"/>
      <c r="K156" s="18">
        <v>18</v>
      </c>
      <c r="L156" s="20"/>
      <c r="M156" s="18"/>
      <c r="N156" s="18"/>
    </row>
    <row r="157" spans="1:14" ht="19.5" customHeight="1" hidden="1">
      <c r="A157" s="29" t="s">
        <v>18</v>
      </c>
      <c r="B157" s="29"/>
      <c r="C157" s="28" t="s">
        <v>15</v>
      </c>
      <c r="D157" s="65"/>
      <c r="E157" s="37">
        <f t="shared" si="70"/>
        <v>0</v>
      </c>
      <c r="F157" s="49">
        <f t="shared" si="69"/>
        <v>0</v>
      </c>
      <c r="G157" s="37"/>
      <c r="H157" s="37"/>
      <c r="I157" s="17"/>
      <c r="J157" s="18"/>
      <c r="K157" s="18"/>
      <c r="L157" s="20"/>
      <c r="M157" s="18"/>
      <c r="N157" s="18"/>
    </row>
    <row r="158" spans="1:14" ht="17.25" customHeight="1">
      <c r="A158" s="21" t="s">
        <v>12</v>
      </c>
      <c r="B158" s="21"/>
      <c r="C158" s="28" t="s">
        <v>7</v>
      </c>
      <c r="D158" s="65"/>
      <c r="E158" s="37">
        <f t="shared" si="70"/>
        <v>0</v>
      </c>
      <c r="F158" s="49">
        <f t="shared" si="69"/>
        <v>0</v>
      </c>
      <c r="G158" s="37"/>
      <c r="H158" s="37"/>
      <c r="I158" s="17"/>
      <c r="J158" s="18"/>
      <c r="K158" s="18"/>
      <c r="L158" s="20"/>
      <c r="M158" s="18"/>
      <c r="N158" s="18"/>
    </row>
    <row r="159" spans="1:14" ht="16.5" customHeight="1">
      <c r="A159" s="29" t="s">
        <v>39</v>
      </c>
      <c r="B159" s="52"/>
      <c r="C159" s="16" t="s">
        <v>40</v>
      </c>
      <c r="D159" s="65"/>
      <c r="E159" s="37">
        <f t="shared" si="70"/>
        <v>0</v>
      </c>
      <c r="F159" s="49">
        <f t="shared" si="69"/>
        <v>0</v>
      </c>
      <c r="G159" s="37"/>
      <c r="H159" s="37"/>
      <c r="I159" s="17"/>
      <c r="J159" s="18"/>
      <c r="K159" s="18">
        <v>0.5</v>
      </c>
      <c r="L159" s="27"/>
      <c r="M159" s="24"/>
      <c r="N159" s="18"/>
    </row>
    <row r="160" spans="1:14" ht="12.75">
      <c r="A160" s="25" t="s">
        <v>1</v>
      </c>
      <c r="B160" s="25"/>
      <c r="C160" s="32" t="s">
        <v>0</v>
      </c>
      <c r="D160" s="33">
        <f>D161+D162</f>
        <v>29590.9</v>
      </c>
      <c r="E160" s="33">
        <f>E161+E162</f>
        <v>30139.199999999997</v>
      </c>
      <c r="F160" s="33">
        <f aca="true" t="shared" si="71" ref="F160:K160">F161+F162</f>
        <v>7857.3</v>
      </c>
      <c r="G160" s="33">
        <f t="shared" si="71"/>
        <v>7857.3</v>
      </c>
      <c r="H160" s="33">
        <f t="shared" si="71"/>
        <v>7575.3</v>
      </c>
      <c r="I160" s="33">
        <f t="shared" si="71"/>
        <v>8315</v>
      </c>
      <c r="J160" s="33">
        <f t="shared" si="71"/>
        <v>6391.6</v>
      </c>
      <c r="K160" s="33">
        <f t="shared" si="71"/>
        <v>3463.8</v>
      </c>
      <c r="L160" s="27">
        <f>K160*100/F160</f>
        <v>44.083845595815355</v>
      </c>
      <c r="M160" s="24">
        <f>K160*100/E160</f>
        <v>11.492673992673994</v>
      </c>
      <c r="N160" s="24">
        <f>K160*100/D160</f>
        <v>11.705625716014044</v>
      </c>
    </row>
    <row r="161" spans="1:14" ht="22.5">
      <c r="A161" s="14" t="s">
        <v>67</v>
      </c>
      <c r="B161" s="12"/>
      <c r="C161" s="34" t="s">
        <v>20</v>
      </c>
      <c r="D161" s="37">
        <v>29590.9</v>
      </c>
      <c r="E161" s="37">
        <f t="shared" si="70"/>
        <v>30139.199999999997</v>
      </c>
      <c r="F161" s="49">
        <f t="shared" si="69"/>
        <v>7857.3</v>
      </c>
      <c r="G161" s="37">
        <v>7857.3</v>
      </c>
      <c r="H161" s="37">
        <v>7575.3</v>
      </c>
      <c r="I161" s="17">
        <v>8315</v>
      </c>
      <c r="J161" s="18">
        <v>6391.6</v>
      </c>
      <c r="K161" s="18">
        <v>3463.8</v>
      </c>
      <c r="L161" s="20">
        <f>K161*100/F161</f>
        <v>44.083845595815355</v>
      </c>
      <c r="M161" s="18">
        <f>K161*100/E161</f>
        <v>11.492673992673994</v>
      </c>
      <c r="N161" s="18">
        <f>K161*100/D161</f>
        <v>11.705625716014044</v>
      </c>
    </row>
    <row r="162" spans="1:14" ht="12.75" hidden="1">
      <c r="A162" s="14" t="s">
        <v>2</v>
      </c>
      <c r="B162" s="14"/>
      <c r="C162" s="35" t="s">
        <v>19</v>
      </c>
      <c r="D162" s="35"/>
      <c r="E162" s="37">
        <f>G162+H162+I162+J162</f>
        <v>0</v>
      </c>
      <c r="F162" s="65">
        <f>G162</f>
        <v>0</v>
      </c>
      <c r="G162" s="37"/>
      <c r="H162" s="37"/>
      <c r="I162" s="17"/>
      <c r="J162" s="18"/>
      <c r="K162" s="18"/>
      <c r="L162" s="20"/>
      <c r="M162" s="18"/>
      <c r="N162" s="18" t="e">
        <f>K162*100/D162</f>
        <v>#DIV/0!</v>
      </c>
    </row>
    <row r="163" spans="1:14" ht="12.75">
      <c r="A163" s="21"/>
      <c r="B163" s="22"/>
      <c r="C163" s="23" t="s">
        <v>4</v>
      </c>
      <c r="D163" s="24">
        <f aca="true" t="shared" si="72" ref="D163:K163">D160+D149</f>
        <v>49649.100000000006</v>
      </c>
      <c r="E163" s="24">
        <f t="shared" si="72"/>
        <v>50197.399999999994</v>
      </c>
      <c r="F163" s="24">
        <f t="shared" si="72"/>
        <v>12811.7</v>
      </c>
      <c r="G163" s="24">
        <f t="shared" si="72"/>
        <v>12811.7</v>
      </c>
      <c r="H163" s="24">
        <f t="shared" si="72"/>
        <v>12710.5</v>
      </c>
      <c r="I163" s="24">
        <f t="shared" si="72"/>
        <v>13951.5</v>
      </c>
      <c r="J163" s="24">
        <f t="shared" si="72"/>
        <v>10723.7</v>
      </c>
      <c r="K163" s="24">
        <f t="shared" si="72"/>
        <v>6889.9</v>
      </c>
      <c r="L163" s="27">
        <f>K163*100/F163</f>
        <v>53.77818712583029</v>
      </c>
      <c r="M163" s="24">
        <f>K163*100/E163</f>
        <v>13.725611286640346</v>
      </c>
      <c r="N163" s="24">
        <f>K163*100/D163</f>
        <v>13.87719012026401</v>
      </c>
    </row>
    <row r="164" spans="1:14" ht="12.75">
      <c r="A164" s="87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27"/>
      <c r="M164" s="24"/>
      <c r="N164" s="18"/>
    </row>
    <row r="165" spans="1:14" ht="12.75">
      <c r="A165" s="91" t="s">
        <v>33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3"/>
    </row>
    <row r="166" spans="1:14" ht="12.75">
      <c r="A166" s="25" t="s">
        <v>3</v>
      </c>
      <c r="B166" s="25"/>
      <c r="C166" s="26" t="s">
        <v>68</v>
      </c>
      <c r="D166" s="27">
        <f>D167+D170+D171+D172+D174+D175+D176+D173+D168+D169</f>
        <v>6717.4</v>
      </c>
      <c r="E166" s="27">
        <f>E167+E170+E171+E172+E174+E175+E176+E173+E168+E169</f>
        <v>6717.4</v>
      </c>
      <c r="F166" s="27">
        <f aca="true" t="shared" si="73" ref="F166:K166">F167+F170+F171+F172+F174+F175+F176+F173+F168+F169</f>
        <v>1440.8000000000002</v>
      </c>
      <c r="G166" s="27">
        <f t="shared" si="73"/>
        <v>1440.8000000000002</v>
      </c>
      <c r="H166" s="27">
        <f t="shared" si="73"/>
        <v>1640.9</v>
      </c>
      <c r="I166" s="27">
        <f t="shared" si="73"/>
        <v>1552.9</v>
      </c>
      <c r="J166" s="27">
        <f t="shared" si="73"/>
        <v>2082.8</v>
      </c>
      <c r="K166" s="27">
        <f t="shared" si="73"/>
        <v>1256.6</v>
      </c>
      <c r="L166" s="27">
        <f>K166*100/F166</f>
        <v>87.21543586896166</v>
      </c>
      <c r="M166" s="24">
        <f aca="true" t="shared" si="74" ref="M166:M173">K166*100/E166</f>
        <v>18.706642450948284</v>
      </c>
      <c r="N166" s="24">
        <f>K166*100/D166</f>
        <v>18.706642450948284</v>
      </c>
    </row>
    <row r="167" spans="1:14" ht="12.75">
      <c r="A167" s="21" t="s">
        <v>23</v>
      </c>
      <c r="B167" s="21"/>
      <c r="C167" s="28" t="s">
        <v>22</v>
      </c>
      <c r="D167" s="65">
        <v>2900</v>
      </c>
      <c r="E167" s="37">
        <f>G167+H167+I167+J167</f>
        <v>2900</v>
      </c>
      <c r="F167" s="49">
        <f aca="true" t="shared" si="75" ref="F167:F178">G167</f>
        <v>720</v>
      </c>
      <c r="G167" s="65">
        <v>720</v>
      </c>
      <c r="H167" s="65">
        <v>771.7</v>
      </c>
      <c r="I167" s="17">
        <v>625</v>
      </c>
      <c r="J167" s="18">
        <v>783.3</v>
      </c>
      <c r="K167" s="18">
        <v>409.7</v>
      </c>
      <c r="L167" s="20">
        <f>K167*100/F167</f>
        <v>56.90277777777778</v>
      </c>
      <c r="M167" s="18">
        <f t="shared" si="74"/>
        <v>14.127586206896552</v>
      </c>
      <c r="N167" s="18">
        <f>K167*100/D167</f>
        <v>14.127586206896552</v>
      </c>
    </row>
    <row r="168" spans="1:14" ht="12.75">
      <c r="A168" s="12" t="s">
        <v>70</v>
      </c>
      <c r="B168" s="12"/>
      <c r="C168" s="28" t="s">
        <v>71</v>
      </c>
      <c r="D168" s="65">
        <v>2746.1</v>
      </c>
      <c r="E168" s="37">
        <f>G168+H168+I168+J168</f>
        <v>2746.1</v>
      </c>
      <c r="F168" s="49">
        <f t="shared" si="75"/>
        <v>686.6</v>
      </c>
      <c r="G168" s="65">
        <v>686.6</v>
      </c>
      <c r="H168" s="65">
        <v>686.5</v>
      </c>
      <c r="I168" s="17">
        <v>686.5</v>
      </c>
      <c r="J168" s="18">
        <v>686.5</v>
      </c>
      <c r="K168" s="18">
        <v>508.2</v>
      </c>
      <c r="L168" s="20">
        <f>K168*100/F168</f>
        <v>74.01689484415962</v>
      </c>
      <c r="M168" s="18">
        <f t="shared" si="74"/>
        <v>18.50624522049452</v>
      </c>
      <c r="N168" s="18">
        <f>K168*100/D168</f>
        <v>18.50624522049452</v>
      </c>
    </row>
    <row r="169" spans="1:14" ht="15" customHeight="1">
      <c r="A169" s="12" t="s">
        <v>8</v>
      </c>
      <c r="B169" s="12"/>
      <c r="C169" s="28" t="s">
        <v>5</v>
      </c>
      <c r="D169" s="65">
        <v>2</v>
      </c>
      <c r="E169" s="37">
        <f>G169+H169+I169+J169</f>
        <v>2</v>
      </c>
      <c r="F169" s="49">
        <f t="shared" si="75"/>
        <v>0</v>
      </c>
      <c r="G169" s="65"/>
      <c r="H169" s="65">
        <v>2</v>
      </c>
      <c r="I169" s="17"/>
      <c r="J169" s="18"/>
      <c r="K169" s="18"/>
      <c r="L169" s="20"/>
      <c r="M169" s="18">
        <f t="shared" si="74"/>
        <v>0</v>
      </c>
      <c r="N169" s="18"/>
    </row>
    <row r="170" spans="1:14" ht="12.75">
      <c r="A170" s="12" t="s">
        <v>9</v>
      </c>
      <c r="B170" s="12"/>
      <c r="C170" s="28" t="s">
        <v>6</v>
      </c>
      <c r="D170" s="65">
        <v>686</v>
      </c>
      <c r="E170" s="37">
        <f>G170+H170+I170+J170</f>
        <v>686</v>
      </c>
      <c r="F170" s="49">
        <f t="shared" si="75"/>
        <v>0</v>
      </c>
      <c r="G170" s="65"/>
      <c r="H170" s="65">
        <v>84.8</v>
      </c>
      <c r="I170" s="17">
        <v>145.5</v>
      </c>
      <c r="J170" s="18">
        <v>455.7</v>
      </c>
      <c r="K170" s="18">
        <v>112.2</v>
      </c>
      <c r="L170" s="20"/>
      <c r="M170" s="18">
        <f t="shared" si="74"/>
        <v>16.355685131195337</v>
      </c>
      <c r="N170" s="18">
        <f>K170*100/D170</f>
        <v>16.355685131195337</v>
      </c>
    </row>
    <row r="171" spans="1:14" ht="12.75">
      <c r="A171" s="12" t="s">
        <v>10</v>
      </c>
      <c r="B171" s="12"/>
      <c r="C171" s="28" t="s">
        <v>21</v>
      </c>
      <c r="D171" s="65">
        <v>35</v>
      </c>
      <c r="E171" s="37">
        <f aca="true" t="shared" si="76" ref="E171:E178">G171+H171+I171+J171</f>
        <v>35</v>
      </c>
      <c r="F171" s="49">
        <f t="shared" si="75"/>
        <v>8.7</v>
      </c>
      <c r="G171" s="65">
        <v>8.7</v>
      </c>
      <c r="H171" s="65">
        <v>8.8</v>
      </c>
      <c r="I171" s="17">
        <v>8.8</v>
      </c>
      <c r="J171" s="18">
        <v>8.7</v>
      </c>
      <c r="K171" s="18">
        <v>5.6</v>
      </c>
      <c r="L171" s="20">
        <f>K171*100/F171</f>
        <v>64.36781609195403</v>
      </c>
      <c r="M171" s="18">
        <f t="shared" si="74"/>
        <v>16</v>
      </c>
      <c r="N171" s="18">
        <f>K171*100/D171</f>
        <v>16</v>
      </c>
    </row>
    <row r="172" spans="1:14" ht="22.5">
      <c r="A172" s="13" t="s">
        <v>11</v>
      </c>
      <c r="B172" s="13"/>
      <c r="C172" s="28" t="s">
        <v>17</v>
      </c>
      <c r="D172" s="65">
        <v>246.3</v>
      </c>
      <c r="E172" s="37">
        <f t="shared" si="76"/>
        <v>246.3</v>
      </c>
      <c r="F172" s="49">
        <f t="shared" si="75"/>
        <v>0</v>
      </c>
      <c r="G172" s="65"/>
      <c r="H172" s="65">
        <v>61.6</v>
      </c>
      <c r="I172" s="17">
        <v>61.6</v>
      </c>
      <c r="J172" s="18">
        <v>123.1</v>
      </c>
      <c r="K172" s="18">
        <v>152.3</v>
      </c>
      <c r="L172" s="20"/>
      <c r="M172" s="18">
        <f t="shared" si="74"/>
        <v>61.835160373528225</v>
      </c>
      <c r="N172" s="18">
        <f>K172*100/D172</f>
        <v>61.835160373528225</v>
      </c>
    </row>
    <row r="173" spans="1:14" ht="22.5">
      <c r="A173" s="30" t="s">
        <v>42</v>
      </c>
      <c r="B173" s="30"/>
      <c r="C173" s="28" t="s">
        <v>43</v>
      </c>
      <c r="D173" s="65">
        <v>102</v>
      </c>
      <c r="E173" s="37">
        <f t="shared" si="76"/>
        <v>102</v>
      </c>
      <c r="F173" s="49">
        <f t="shared" si="75"/>
        <v>25.5</v>
      </c>
      <c r="G173" s="65">
        <v>25.5</v>
      </c>
      <c r="H173" s="65">
        <v>25.5</v>
      </c>
      <c r="I173" s="17">
        <v>25.5</v>
      </c>
      <c r="J173" s="18">
        <v>25.5</v>
      </c>
      <c r="K173" s="18">
        <v>49.4</v>
      </c>
      <c r="L173" s="20">
        <f>K173*100/F173</f>
        <v>193.72549019607843</v>
      </c>
      <c r="M173" s="18">
        <f t="shared" si="74"/>
        <v>48.431372549019606</v>
      </c>
      <c r="N173" s="18">
        <f>K173*100/D173</f>
        <v>48.431372549019606</v>
      </c>
    </row>
    <row r="174" spans="1:14" ht="22.5" hidden="1">
      <c r="A174" s="29" t="s">
        <v>18</v>
      </c>
      <c r="B174" s="29"/>
      <c r="C174" s="28" t="s">
        <v>15</v>
      </c>
      <c r="D174" s="65"/>
      <c r="E174" s="37">
        <f t="shared" si="76"/>
        <v>0</v>
      </c>
      <c r="F174" s="49">
        <f t="shared" si="75"/>
        <v>0</v>
      </c>
      <c r="G174" s="65"/>
      <c r="H174" s="65"/>
      <c r="I174" s="17"/>
      <c r="J174" s="18"/>
      <c r="K174" s="18"/>
      <c r="L174" s="20"/>
      <c r="M174" s="18"/>
      <c r="N174" s="18" t="e">
        <f>K174*100/D174</f>
        <v>#DIV/0!</v>
      </c>
    </row>
    <row r="175" spans="1:14" ht="17.25" customHeight="1">
      <c r="A175" s="21" t="s">
        <v>12</v>
      </c>
      <c r="B175" s="21"/>
      <c r="C175" s="28" t="s">
        <v>7</v>
      </c>
      <c r="D175" s="65"/>
      <c r="E175" s="37">
        <f t="shared" si="76"/>
        <v>0</v>
      </c>
      <c r="F175" s="49">
        <f t="shared" si="75"/>
        <v>0</v>
      </c>
      <c r="G175" s="65"/>
      <c r="H175" s="65"/>
      <c r="I175" s="17"/>
      <c r="J175" s="18"/>
      <c r="K175" s="18">
        <v>19.2</v>
      </c>
      <c r="L175" s="27"/>
      <c r="M175" s="24"/>
      <c r="N175" s="18"/>
    </row>
    <row r="176" spans="1:14" ht="14.25" customHeight="1">
      <c r="A176" s="51" t="s">
        <v>39</v>
      </c>
      <c r="B176" s="50"/>
      <c r="C176" s="16" t="s">
        <v>40</v>
      </c>
      <c r="D176" s="65"/>
      <c r="E176" s="37">
        <f t="shared" si="76"/>
        <v>0</v>
      </c>
      <c r="F176" s="49">
        <f t="shared" si="75"/>
        <v>0</v>
      </c>
      <c r="G176" s="65"/>
      <c r="H176" s="65"/>
      <c r="I176" s="17"/>
      <c r="J176" s="18"/>
      <c r="K176" s="18"/>
      <c r="L176" s="27"/>
      <c r="M176" s="24"/>
      <c r="N176" s="18"/>
    </row>
    <row r="177" spans="1:14" ht="12.75">
      <c r="A177" s="25" t="s">
        <v>1</v>
      </c>
      <c r="B177" s="25"/>
      <c r="C177" s="32" t="s">
        <v>0</v>
      </c>
      <c r="D177" s="33">
        <f aca="true" t="shared" si="77" ref="D177:K177">D178+D179</f>
        <v>24541.8</v>
      </c>
      <c r="E177" s="33">
        <f t="shared" si="77"/>
        <v>31104.199999999997</v>
      </c>
      <c r="F177" s="81">
        <f t="shared" si="77"/>
        <v>6166.9</v>
      </c>
      <c r="G177" s="81">
        <f t="shared" si="77"/>
        <v>6166.9</v>
      </c>
      <c r="H177" s="81">
        <f t="shared" si="77"/>
        <v>5989.6</v>
      </c>
      <c r="I177" s="33">
        <f t="shared" si="77"/>
        <v>12310.6</v>
      </c>
      <c r="J177" s="33">
        <f t="shared" si="77"/>
        <v>6637.1</v>
      </c>
      <c r="K177" s="33">
        <f t="shared" si="77"/>
        <v>3171.2</v>
      </c>
      <c r="L177" s="27">
        <f>K177*100/F177</f>
        <v>51.42291913278957</v>
      </c>
      <c r="M177" s="24">
        <f>K177*100/E177</f>
        <v>10.19540769413777</v>
      </c>
      <c r="N177" s="24">
        <f>K177*100/D177</f>
        <v>12.921627590478286</v>
      </c>
    </row>
    <row r="178" spans="1:14" ht="23.25" customHeight="1">
      <c r="A178" s="14" t="s">
        <v>67</v>
      </c>
      <c r="B178" s="12"/>
      <c r="C178" s="34" t="s">
        <v>20</v>
      </c>
      <c r="D178" s="37">
        <v>24541.8</v>
      </c>
      <c r="E178" s="37">
        <f t="shared" si="76"/>
        <v>31104.199999999997</v>
      </c>
      <c r="F178" s="49">
        <f t="shared" si="75"/>
        <v>6166.9</v>
      </c>
      <c r="G178" s="65">
        <v>6166.9</v>
      </c>
      <c r="H178" s="65">
        <v>5989.6</v>
      </c>
      <c r="I178" s="17">
        <v>12310.6</v>
      </c>
      <c r="J178" s="18">
        <v>6637.1</v>
      </c>
      <c r="K178" s="18">
        <v>3171.2</v>
      </c>
      <c r="L178" s="20">
        <f>K178*100/F178</f>
        <v>51.42291913278957</v>
      </c>
      <c r="M178" s="18">
        <f>K178*100/E178</f>
        <v>10.19540769413777</v>
      </c>
      <c r="N178" s="18">
        <f>K178*100/D178</f>
        <v>12.921627590478286</v>
      </c>
    </row>
    <row r="179" spans="1:14" ht="15.75" customHeight="1" hidden="1">
      <c r="A179" s="14" t="s">
        <v>2</v>
      </c>
      <c r="B179" s="14"/>
      <c r="C179" s="35" t="s">
        <v>19</v>
      </c>
      <c r="D179" s="66"/>
      <c r="E179" s="37">
        <f>G179+H179+I179+J179</f>
        <v>0</v>
      </c>
      <c r="F179" s="49">
        <f>G179+H179</f>
        <v>0</v>
      </c>
      <c r="G179" s="66"/>
      <c r="H179" s="66"/>
      <c r="I179" s="17"/>
      <c r="J179" s="18"/>
      <c r="K179" s="18"/>
      <c r="L179" s="20"/>
      <c r="M179" s="18"/>
      <c r="N179" s="18"/>
    </row>
    <row r="180" spans="1:14" ht="12.75">
      <c r="A180" s="21"/>
      <c r="B180" s="22"/>
      <c r="C180" s="23" t="s">
        <v>4</v>
      </c>
      <c r="D180" s="24">
        <f aca="true" t="shared" si="78" ref="D180:K180">D177+D166</f>
        <v>31259.199999999997</v>
      </c>
      <c r="E180" s="24">
        <f t="shared" si="78"/>
        <v>37821.6</v>
      </c>
      <c r="F180" s="24">
        <f t="shared" si="78"/>
        <v>7607.7</v>
      </c>
      <c r="G180" s="24">
        <f t="shared" si="78"/>
        <v>7607.7</v>
      </c>
      <c r="H180" s="24">
        <f t="shared" si="78"/>
        <v>7630.5</v>
      </c>
      <c r="I180" s="24">
        <f t="shared" si="78"/>
        <v>13863.5</v>
      </c>
      <c r="J180" s="24">
        <f t="shared" si="78"/>
        <v>8719.900000000001</v>
      </c>
      <c r="K180" s="24">
        <f t="shared" si="78"/>
        <v>4427.799999999999</v>
      </c>
      <c r="L180" s="27">
        <f>K180*100/F180</f>
        <v>58.201558946856466</v>
      </c>
      <c r="M180" s="24">
        <f>K180*100/E180</f>
        <v>11.707066861264462</v>
      </c>
      <c r="N180" s="24">
        <f>K180*100/D180</f>
        <v>14.164789885857603</v>
      </c>
    </row>
    <row r="181" spans="1:14" ht="12.75">
      <c r="A181" s="87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27"/>
      <c r="M181" s="24"/>
      <c r="N181" s="18"/>
    </row>
    <row r="182" spans="1:14" ht="12.75">
      <c r="A182" s="91" t="s">
        <v>34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3"/>
    </row>
    <row r="183" spans="1:14" ht="12.75">
      <c r="A183" s="25" t="s">
        <v>3</v>
      </c>
      <c r="B183" s="25"/>
      <c r="C183" s="26" t="s">
        <v>68</v>
      </c>
      <c r="D183" s="27">
        <f aca="true" t="shared" si="79" ref="D183:J183">D184+D186+D187+D188+D189+D191+D193+D192+D190+D185</f>
        <v>24972.1</v>
      </c>
      <c r="E183" s="27">
        <f t="shared" si="79"/>
        <v>24972.1</v>
      </c>
      <c r="F183" s="27">
        <f t="shared" si="79"/>
        <v>5930.3</v>
      </c>
      <c r="G183" s="27">
        <f t="shared" si="79"/>
        <v>5930.3</v>
      </c>
      <c r="H183" s="27">
        <f t="shared" si="79"/>
        <v>5799.3</v>
      </c>
      <c r="I183" s="27">
        <f t="shared" si="79"/>
        <v>5719.3</v>
      </c>
      <c r="J183" s="27">
        <f t="shared" si="79"/>
        <v>7523.2</v>
      </c>
      <c r="K183" s="27">
        <f>K184+K186+K187+K188+K189+K191+K193+K192+K190+K185</f>
        <v>5781.5</v>
      </c>
      <c r="L183" s="27">
        <f aca="true" t="shared" si="80" ref="L183:L190">K183*100/F183</f>
        <v>97.49085206481965</v>
      </c>
      <c r="M183" s="24">
        <f aca="true" t="shared" si="81" ref="M183:M190">K183*100/E183</f>
        <v>23.151837450594865</v>
      </c>
      <c r="N183" s="24">
        <f aca="true" t="shared" si="82" ref="N183:N190">K183*100/D183</f>
        <v>23.151837450594865</v>
      </c>
    </row>
    <row r="184" spans="1:14" ht="12.75">
      <c r="A184" s="21" t="s">
        <v>23</v>
      </c>
      <c r="B184" s="21"/>
      <c r="C184" s="28" t="s">
        <v>22</v>
      </c>
      <c r="D184" s="65">
        <v>16900</v>
      </c>
      <c r="E184" s="37">
        <f>G184+H184+I184+J184</f>
        <v>16900</v>
      </c>
      <c r="F184" s="49">
        <f aca="true" t="shared" si="83" ref="F184:F195">G184</f>
        <v>4224</v>
      </c>
      <c r="G184" s="37">
        <v>4224</v>
      </c>
      <c r="H184" s="37">
        <v>4224</v>
      </c>
      <c r="I184" s="17">
        <v>4224</v>
      </c>
      <c r="J184" s="18">
        <v>4228</v>
      </c>
      <c r="K184" s="18">
        <v>2983.8</v>
      </c>
      <c r="L184" s="20">
        <f t="shared" si="80"/>
        <v>70.63920454545455</v>
      </c>
      <c r="M184" s="18">
        <f t="shared" si="81"/>
        <v>17.65562130177515</v>
      </c>
      <c r="N184" s="18">
        <f t="shared" si="82"/>
        <v>17.65562130177515</v>
      </c>
    </row>
    <row r="185" spans="1:14" ht="12.75">
      <c r="A185" s="12" t="s">
        <v>70</v>
      </c>
      <c r="B185" s="12"/>
      <c r="C185" s="28" t="s">
        <v>71</v>
      </c>
      <c r="D185" s="65">
        <v>4105.1</v>
      </c>
      <c r="E185" s="37">
        <f>G185+H185+I185+J185</f>
        <v>4105.099999999999</v>
      </c>
      <c r="F185" s="49">
        <f t="shared" si="83"/>
        <v>1024.3</v>
      </c>
      <c r="G185" s="37">
        <v>1024.3</v>
      </c>
      <c r="H185" s="37">
        <v>1024.3</v>
      </c>
      <c r="I185" s="17">
        <v>1024.3</v>
      </c>
      <c r="J185" s="18">
        <v>1032.2</v>
      </c>
      <c r="K185" s="18">
        <v>759.7</v>
      </c>
      <c r="L185" s="20">
        <f t="shared" si="80"/>
        <v>74.16772429952162</v>
      </c>
      <c r="M185" s="18">
        <f t="shared" si="81"/>
        <v>18.506248325253956</v>
      </c>
      <c r="N185" s="18">
        <f t="shared" si="82"/>
        <v>18.50624832525395</v>
      </c>
    </row>
    <row r="186" spans="1:14" ht="13.5" customHeight="1" hidden="1">
      <c r="A186" s="12" t="s">
        <v>8</v>
      </c>
      <c r="B186" s="12"/>
      <c r="C186" s="28" t="s">
        <v>5</v>
      </c>
      <c r="D186" s="65"/>
      <c r="E186" s="37">
        <f aca="true" t="shared" si="84" ref="E186:E195">G186+H186+I186+J186</f>
        <v>0</v>
      </c>
      <c r="F186" s="49">
        <f t="shared" si="83"/>
        <v>0</v>
      </c>
      <c r="G186" s="37"/>
      <c r="H186" s="37"/>
      <c r="I186" s="17"/>
      <c r="J186" s="18"/>
      <c r="K186" s="18"/>
      <c r="L186" s="20" t="e">
        <f t="shared" si="80"/>
        <v>#DIV/0!</v>
      </c>
      <c r="M186" s="18" t="e">
        <f t="shared" si="81"/>
        <v>#DIV/0!</v>
      </c>
      <c r="N186" s="18" t="e">
        <f t="shared" si="82"/>
        <v>#DIV/0!</v>
      </c>
    </row>
    <row r="187" spans="1:14" ht="12.75">
      <c r="A187" s="12" t="s">
        <v>9</v>
      </c>
      <c r="B187" s="12"/>
      <c r="C187" s="28" t="s">
        <v>6</v>
      </c>
      <c r="D187" s="65">
        <v>2860</v>
      </c>
      <c r="E187" s="37">
        <f t="shared" si="84"/>
        <v>2860</v>
      </c>
      <c r="F187" s="49">
        <f t="shared" si="83"/>
        <v>345</v>
      </c>
      <c r="G187" s="37">
        <v>345</v>
      </c>
      <c r="H187" s="37">
        <v>280</v>
      </c>
      <c r="I187" s="17">
        <v>280</v>
      </c>
      <c r="J187" s="18">
        <v>1955</v>
      </c>
      <c r="K187" s="18">
        <v>547</v>
      </c>
      <c r="L187" s="20">
        <f t="shared" si="80"/>
        <v>158.55072463768116</v>
      </c>
      <c r="M187" s="18">
        <f t="shared" si="81"/>
        <v>19.125874125874127</v>
      </c>
      <c r="N187" s="18">
        <f t="shared" si="82"/>
        <v>19.125874125874127</v>
      </c>
    </row>
    <row r="188" spans="1:14" ht="12.75">
      <c r="A188" s="12" t="s">
        <v>10</v>
      </c>
      <c r="B188" s="12"/>
      <c r="C188" s="28" t="s">
        <v>21</v>
      </c>
      <c r="D188" s="65">
        <v>182</v>
      </c>
      <c r="E188" s="37">
        <f t="shared" si="84"/>
        <v>182</v>
      </c>
      <c r="F188" s="49">
        <f t="shared" si="83"/>
        <v>51</v>
      </c>
      <c r="G188" s="37">
        <v>51</v>
      </c>
      <c r="H188" s="37">
        <v>35</v>
      </c>
      <c r="I188" s="17">
        <v>38</v>
      </c>
      <c r="J188" s="18">
        <v>58</v>
      </c>
      <c r="K188" s="18">
        <v>36.1</v>
      </c>
      <c r="L188" s="20">
        <f t="shared" si="80"/>
        <v>70.7843137254902</v>
      </c>
      <c r="M188" s="18">
        <f t="shared" si="81"/>
        <v>19.835164835164836</v>
      </c>
      <c r="N188" s="18">
        <f t="shared" si="82"/>
        <v>19.835164835164836</v>
      </c>
    </row>
    <row r="189" spans="1:14" ht="22.5">
      <c r="A189" s="13" t="s">
        <v>11</v>
      </c>
      <c r="B189" s="13"/>
      <c r="C189" s="28" t="s">
        <v>17</v>
      </c>
      <c r="D189" s="65">
        <v>760</v>
      </c>
      <c r="E189" s="37">
        <f t="shared" si="84"/>
        <v>760</v>
      </c>
      <c r="F189" s="49">
        <f t="shared" si="83"/>
        <v>241</v>
      </c>
      <c r="G189" s="37">
        <v>241</v>
      </c>
      <c r="H189" s="37">
        <v>221</v>
      </c>
      <c r="I189" s="17">
        <v>123</v>
      </c>
      <c r="J189" s="18">
        <v>175</v>
      </c>
      <c r="K189" s="18">
        <v>43.4</v>
      </c>
      <c r="L189" s="20">
        <f t="shared" si="80"/>
        <v>18.008298755186722</v>
      </c>
      <c r="M189" s="18">
        <f t="shared" si="81"/>
        <v>5.7105263157894735</v>
      </c>
      <c r="N189" s="18">
        <f t="shared" si="82"/>
        <v>5.7105263157894735</v>
      </c>
    </row>
    <row r="190" spans="1:14" ht="22.5">
      <c r="A190" s="29" t="s">
        <v>42</v>
      </c>
      <c r="B190" s="30"/>
      <c r="C190" s="28" t="s">
        <v>43</v>
      </c>
      <c r="D190" s="65">
        <v>165</v>
      </c>
      <c r="E190" s="37">
        <f t="shared" si="84"/>
        <v>165</v>
      </c>
      <c r="F190" s="49">
        <f t="shared" si="83"/>
        <v>45</v>
      </c>
      <c r="G190" s="37">
        <v>45</v>
      </c>
      <c r="H190" s="37">
        <v>15</v>
      </c>
      <c r="I190" s="17">
        <v>30</v>
      </c>
      <c r="J190" s="18">
        <v>75</v>
      </c>
      <c r="K190" s="18">
        <v>30.5</v>
      </c>
      <c r="L190" s="20">
        <f t="shared" si="80"/>
        <v>67.77777777777777</v>
      </c>
      <c r="M190" s="18">
        <f t="shared" si="81"/>
        <v>18.484848484848484</v>
      </c>
      <c r="N190" s="18">
        <f t="shared" si="82"/>
        <v>18.484848484848484</v>
      </c>
    </row>
    <row r="191" spans="1:14" ht="24" customHeight="1">
      <c r="A191" s="29" t="s">
        <v>18</v>
      </c>
      <c r="B191" s="30"/>
      <c r="C191" s="28" t="s">
        <v>15</v>
      </c>
      <c r="D191" s="65"/>
      <c r="E191" s="37">
        <f t="shared" si="84"/>
        <v>0</v>
      </c>
      <c r="F191" s="49">
        <f t="shared" si="83"/>
        <v>0</v>
      </c>
      <c r="G191" s="37"/>
      <c r="H191" s="37"/>
      <c r="I191" s="17"/>
      <c r="J191" s="18"/>
      <c r="K191" s="18">
        <v>1381</v>
      </c>
      <c r="L191" s="20"/>
      <c r="M191" s="18"/>
      <c r="N191" s="18"/>
    </row>
    <row r="192" spans="1:14" ht="17.25" customHeight="1" hidden="1">
      <c r="A192" s="21" t="s">
        <v>12</v>
      </c>
      <c r="B192" s="21"/>
      <c r="C192" s="28" t="s">
        <v>7</v>
      </c>
      <c r="D192" s="65"/>
      <c r="E192" s="37">
        <f t="shared" si="84"/>
        <v>0</v>
      </c>
      <c r="F192" s="49">
        <f t="shared" si="83"/>
        <v>0</v>
      </c>
      <c r="G192" s="37"/>
      <c r="H192" s="37"/>
      <c r="I192" s="17"/>
      <c r="J192" s="18"/>
      <c r="K192" s="18"/>
      <c r="L192" s="20"/>
      <c r="M192" s="18"/>
      <c r="N192" s="18"/>
    </row>
    <row r="193" spans="1:14" ht="15" customHeight="1">
      <c r="A193" s="51" t="s">
        <v>39</v>
      </c>
      <c r="B193" s="50"/>
      <c r="C193" s="16" t="s">
        <v>40</v>
      </c>
      <c r="D193" s="65"/>
      <c r="E193" s="37">
        <f t="shared" si="84"/>
        <v>0</v>
      </c>
      <c r="F193" s="49">
        <f t="shared" si="83"/>
        <v>0</v>
      </c>
      <c r="G193" s="82"/>
      <c r="H193" s="82"/>
      <c r="I193" s="17"/>
      <c r="J193" s="18"/>
      <c r="K193" s="18"/>
      <c r="L193" s="27"/>
      <c r="M193" s="24"/>
      <c r="N193" s="18"/>
    </row>
    <row r="194" spans="1:14" ht="12.75">
      <c r="A194" s="61" t="s">
        <v>1</v>
      </c>
      <c r="B194" s="25"/>
      <c r="C194" s="32" t="s">
        <v>0</v>
      </c>
      <c r="D194" s="36">
        <f aca="true" t="shared" si="85" ref="D194:K194">D195</f>
        <v>25429.7</v>
      </c>
      <c r="E194" s="36">
        <f t="shared" si="85"/>
        <v>26108.6</v>
      </c>
      <c r="F194" s="36">
        <f t="shared" si="85"/>
        <v>7583.3</v>
      </c>
      <c r="G194" s="36">
        <f t="shared" si="85"/>
        <v>7583.3</v>
      </c>
      <c r="H194" s="36">
        <f t="shared" si="85"/>
        <v>6190.2</v>
      </c>
      <c r="I194" s="36">
        <f t="shared" si="85"/>
        <v>6173.3</v>
      </c>
      <c r="J194" s="36">
        <f t="shared" si="85"/>
        <v>6161.8</v>
      </c>
      <c r="K194" s="36">
        <f t="shared" si="85"/>
        <v>3294.8</v>
      </c>
      <c r="L194" s="27">
        <f>K194*100/F194</f>
        <v>43.44810306858491</v>
      </c>
      <c r="M194" s="24">
        <f>K194*100/E194</f>
        <v>12.619596608014218</v>
      </c>
      <c r="N194" s="24">
        <f>K194*100/D194</f>
        <v>12.956503615850757</v>
      </c>
    </row>
    <row r="195" spans="1:14" ht="22.5">
      <c r="A195" s="83" t="s">
        <v>67</v>
      </c>
      <c r="B195" s="12"/>
      <c r="C195" s="34" t="s">
        <v>20</v>
      </c>
      <c r="D195" s="37">
        <v>25429.7</v>
      </c>
      <c r="E195" s="37">
        <f t="shared" si="84"/>
        <v>26108.6</v>
      </c>
      <c r="F195" s="49">
        <f t="shared" si="83"/>
        <v>7583.3</v>
      </c>
      <c r="G195" s="37">
        <v>7583.3</v>
      </c>
      <c r="H195" s="37">
        <v>6190.2</v>
      </c>
      <c r="I195" s="17">
        <v>6173.3</v>
      </c>
      <c r="J195" s="18">
        <v>6161.8</v>
      </c>
      <c r="K195" s="18">
        <v>3294.8</v>
      </c>
      <c r="L195" s="20">
        <f>K195*100/F195</f>
        <v>43.44810306858491</v>
      </c>
      <c r="M195" s="18">
        <f>K195*100/E195</f>
        <v>12.619596608014218</v>
      </c>
      <c r="N195" s="18">
        <f>K195*100/D195</f>
        <v>12.956503615850757</v>
      </c>
    </row>
    <row r="196" spans="1:14" ht="12.75">
      <c r="A196" s="21"/>
      <c r="B196" s="22"/>
      <c r="C196" s="23" t="s">
        <v>4</v>
      </c>
      <c r="D196" s="24">
        <f aca="true" t="shared" si="86" ref="D196:K196">D194+D183</f>
        <v>50401.8</v>
      </c>
      <c r="E196" s="24">
        <f t="shared" si="86"/>
        <v>51080.7</v>
      </c>
      <c r="F196" s="24">
        <f t="shared" si="86"/>
        <v>13513.6</v>
      </c>
      <c r="G196" s="24">
        <f t="shared" si="86"/>
        <v>13513.6</v>
      </c>
      <c r="H196" s="24">
        <f t="shared" si="86"/>
        <v>11989.5</v>
      </c>
      <c r="I196" s="24">
        <f t="shared" si="86"/>
        <v>11892.6</v>
      </c>
      <c r="J196" s="24">
        <f t="shared" si="86"/>
        <v>13685</v>
      </c>
      <c r="K196" s="24">
        <f t="shared" si="86"/>
        <v>9076.3</v>
      </c>
      <c r="L196" s="27">
        <f>K196*100/F196</f>
        <v>67.16419014918303</v>
      </c>
      <c r="M196" s="24">
        <f>K196*100/E196</f>
        <v>17.76855054844589</v>
      </c>
      <c r="N196" s="24">
        <f>K196*100/D196</f>
        <v>18.007888607152914</v>
      </c>
    </row>
    <row r="197" spans="1:14" ht="12.75">
      <c r="A197" s="87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27"/>
      <c r="M197" s="24"/>
      <c r="N197" s="18"/>
    </row>
    <row r="198" spans="1:14" ht="12.75">
      <c r="A198" s="91" t="s">
        <v>35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3"/>
    </row>
    <row r="199" spans="1:14" ht="12.75">
      <c r="A199" s="25" t="s">
        <v>3</v>
      </c>
      <c r="B199" s="25"/>
      <c r="C199" s="26" t="s">
        <v>68</v>
      </c>
      <c r="D199" s="27">
        <f aca="true" t="shared" si="87" ref="D199:K199">D200+D203+D205+D206+D204+D207+D208+D202+D201</f>
        <v>5052.299999999999</v>
      </c>
      <c r="E199" s="27">
        <f t="shared" si="87"/>
        <v>5052.3</v>
      </c>
      <c r="F199" s="27">
        <f t="shared" si="87"/>
        <v>1197.9</v>
      </c>
      <c r="G199" s="27">
        <f t="shared" si="87"/>
        <v>1197.9</v>
      </c>
      <c r="H199" s="27">
        <f t="shared" si="87"/>
        <v>1279.9</v>
      </c>
      <c r="I199" s="27">
        <f t="shared" si="87"/>
        <v>1197.1</v>
      </c>
      <c r="J199" s="27">
        <f t="shared" si="87"/>
        <v>1377.4</v>
      </c>
      <c r="K199" s="27">
        <f t="shared" si="87"/>
        <v>893.1999999999999</v>
      </c>
      <c r="L199" s="27">
        <f>K199*100/F199</f>
        <v>74.56382001836546</v>
      </c>
      <c r="M199" s="24">
        <f aca="true" t="shared" si="88" ref="M199:M205">K199*100/E199</f>
        <v>17.679076856085345</v>
      </c>
      <c r="N199" s="24">
        <f aca="true" t="shared" si="89" ref="N199:N207">K199*100/D199</f>
        <v>17.67907685608535</v>
      </c>
    </row>
    <row r="200" spans="1:14" ht="12.75">
      <c r="A200" s="21" t="s">
        <v>23</v>
      </c>
      <c r="B200" s="21"/>
      <c r="C200" s="28" t="s">
        <v>22</v>
      </c>
      <c r="D200" s="65">
        <v>1250</v>
      </c>
      <c r="E200" s="37">
        <f>G200+H200+I200+J200</f>
        <v>1250</v>
      </c>
      <c r="F200" s="49">
        <f aca="true" t="shared" si="90" ref="F200:F210">G200</f>
        <v>250</v>
      </c>
      <c r="G200" s="37">
        <v>250</v>
      </c>
      <c r="H200" s="37">
        <v>340</v>
      </c>
      <c r="I200" s="17">
        <v>270</v>
      </c>
      <c r="J200" s="17">
        <v>390</v>
      </c>
      <c r="K200" s="18">
        <v>121.4</v>
      </c>
      <c r="L200" s="20">
        <f>K200*100/F200</f>
        <v>48.56</v>
      </c>
      <c r="M200" s="18">
        <f t="shared" si="88"/>
        <v>9.712</v>
      </c>
      <c r="N200" s="18">
        <f t="shared" si="89"/>
        <v>9.712</v>
      </c>
    </row>
    <row r="201" spans="1:14" ht="12.75">
      <c r="A201" s="12" t="s">
        <v>70</v>
      </c>
      <c r="B201" s="12"/>
      <c r="C201" s="28" t="s">
        <v>71</v>
      </c>
      <c r="D201" s="65">
        <v>3417.2</v>
      </c>
      <c r="E201" s="37">
        <f>G201+H201+I201+J201</f>
        <v>3417.2000000000003</v>
      </c>
      <c r="F201" s="49">
        <f t="shared" si="90"/>
        <v>854.4</v>
      </c>
      <c r="G201" s="37">
        <v>854.4</v>
      </c>
      <c r="H201" s="37">
        <v>854.1</v>
      </c>
      <c r="I201" s="17">
        <v>854.3</v>
      </c>
      <c r="J201" s="17">
        <v>854.4</v>
      </c>
      <c r="K201" s="18">
        <v>632.4</v>
      </c>
      <c r="L201" s="20">
        <f>K201*100/F201</f>
        <v>74.01685393258427</v>
      </c>
      <c r="M201" s="18">
        <f t="shared" si="88"/>
        <v>18.50637949198174</v>
      </c>
      <c r="N201" s="18">
        <f t="shared" si="89"/>
        <v>18.50637949198174</v>
      </c>
    </row>
    <row r="202" spans="1:14" ht="12.75">
      <c r="A202" s="12" t="s">
        <v>8</v>
      </c>
      <c r="B202" s="38" t="s">
        <v>55</v>
      </c>
      <c r="C202" s="28" t="s">
        <v>5</v>
      </c>
      <c r="D202" s="65">
        <v>7</v>
      </c>
      <c r="E202" s="37">
        <f aca="true" t="shared" si="91" ref="E202:E210">G202+H202+I202+J202</f>
        <v>7</v>
      </c>
      <c r="F202" s="49">
        <f t="shared" si="90"/>
        <v>0</v>
      </c>
      <c r="G202" s="37"/>
      <c r="H202" s="37">
        <v>7</v>
      </c>
      <c r="I202" s="17"/>
      <c r="J202" s="17"/>
      <c r="K202" s="18">
        <v>42.4</v>
      </c>
      <c r="L202" s="20"/>
      <c r="M202" s="18">
        <f t="shared" si="88"/>
        <v>605.7142857142857</v>
      </c>
      <c r="N202" s="18">
        <f t="shared" si="89"/>
        <v>605.7142857142857</v>
      </c>
    </row>
    <row r="203" spans="1:14" ht="12.75">
      <c r="A203" s="12" t="s">
        <v>9</v>
      </c>
      <c r="B203" s="12"/>
      <c r="C203" s="28" t="s">
        <v>6</v>
      </c>
      <c r="D203" s="65">
        <v>225</v>
      </c>
      <c r="E203" s="37">
        <f t="shared" si="91"/>
        <v>225</v>
      </c>
      <c r="F203" s="49">
        <f t="shared" si="90"/>
        <v>49</v>
      </c>
      <c r="G203" s="37">
        <v>49</v>
      </c>
      <c r="H203" s="37">
        <v>43</v>
      </c>
      <c r="I203" s="17">
        <v>38</v>
      </c>
      <c r="J203" s="17">
        <v>95</v>
      </c>
      <c r="K203" s="18">
        <v>70.8</v>
      </c>
      <c r="L203" s="20">
        <f>K203*100/F203</f>
        <v>144.48979591836735</v>
      </c>
      <c r="M203" s="18">
        <f t="shared" si="88"/>
        <v>31.466666666666665</v>
      </c>
      <c r="N203" s="18">
        <f t="shared" si="89"/>
        <v>31.466666666666665</v>
      </c>
    </row>
    <row r="204" spans="1:14" ht="12.75">
      <c r="A204" s="12" t="s">
        <v>10</v>
      </c>
      <c r="B204" s="12"/>
      <c r="C204" s="28" t="s">
        <v>21</v>
      </c>
      <c r="D204" s="65">
        <v>18</v>
      </c>
      <c r="E204" s="37">
        <f t="shared" si="91"/>
        <v>18</v>
      </c>
      <c r="F204" s="49">
        <f t="shared" si="90"/>
        <v>3</v>
      </c>
      <c r="G204" s="37">
        <v>3</v>
      </c>
      <c r="H204" s="37">
        <v>6</v>
      </c>
      <c r="I204" s="17">
        <v>5</v>
      </c>
      <c r="J204" s="17">
        <v>4</v>
      </c>
      <c r="K204" s="18">
        <v>2.1</v>
      </c>
      <c r="L204" s="20">
        <f>K204*100/F204</f>
        <v>70</v>
      </c>
      <c r="M204" s="18">
        <f t="shared" si="88"/>
        <v>11.666666666666666</v>
      </c>
      <c r="N204" s="18">
        <f t="shared" si="89"/>
        <v>11.666666666666666</v>
      </c>
    </row>
    <row r="205" spans="1:14" ht="22.5">
      <c r="A205" s="13" t="s">
        <v>11</v>
      </c>
      <c r="B205" s="13"/>
      <c r="C205" s="28" t="s">
        <v>17</v>
      </c>
      <c r="D205" s="65">
        <v>135.1</v>
      </c>
      <c r="E205" s="37">
        <f t="shared" si="91"/>
        <v>135.1</v>
      </c>
      <c r="F205" s="49">
        <f t="shared" si="90"/>
        <v>41.5</v>
      </c>
      <c r="G205" s="37">
        <v>41.5</v>
      </c>
      <c r="H205" s="37">
        <v>29.8</v>
      </c>
      <c r="I205" s="17">
        <v>29.8</v>
      </c>
      <c r="J205" s="17">
        <v>34</v>
      </c>
      <c r="K205" s="18">
        <v>24.1</v>
      </c>
      <c r="L205" s="20">
        <f>K205*100/F205</f>
        <v>58.0722891566265</v>
      </c>
      <c r="M205" s="18">
        <f t="shared" si="88"/>
        <v>17.838638045891933</v>
      </c>
      <c r="N205" s="18">
        <f t="shared" si="89"/>
        <v>17.838638045891933</v>
      </c>
    </row>
    <row r="206" spans="1:14" ht="22.5" hidden="1">
      <c r="A206" s="29" t="s">
        <v>18</v>
      </c>
      <c r="B206" s="29"/>
      <c r="C206" s="28" t="s">
        <v>15</v>
      </c>
      <c r="D206" s="65"/>
      <c r="E206" s="37">
        <f t="shared" si="91"/>
        <v>0</v>
      </c>
      <c r="F206" s="49">
        <f t="shared" si="90"/>
        <v>0</v>
      </c>
      <c r="G206" s="37"/>
      <c r="H206" s="37"/>
      <c r="I206" s="17"/>
      <c r="J206" s="17"/>
      <c r="K206" s="18"/>
      <c r="L206" s="20"/>
      <c r="M206" s="18"/>
      <c r="N206" s="18" t="e">
        <f t="shared" si="89"/>
        <v>#DIV/0!</v>
      </c>
    </row>
    <row r="207" spans="1:14" ht="15.75" customHeight="1" hidden="1">
      <c r="A207" s="29" t="s">
        <v>12</v>
      </c>
      <c r="B207" s="52"/>
      <c r="C207" s="28" t="s">
        <v>7</v>
      </c>
      <c r="D207" s="65"/>
      <c r="E207" s="37">
        <f t="shared" si="91"/>
        <v>0</v>
      </c>
      <c r="F207" s="49">
        <f t="shared" si="90"/>
        <v>0</v>
      </c>
      <c r="G207" s="37"/>
      <c r="H207" s="37"/>
      <c r="I207" s="17"/>
      <c r="J207" s="17"/>
      <c r="K207" s="18"/>
      <c r="L207" s="20"/>
      <c r="M207" s="18"/>
      <c r="N207" s="18" t="e">
        <f t="shared" si="89"/>
        <v>#DIV/0!</v>
      </c>
    </row>
    <row r="208" spans="1:14" ht="13.5" customHeight="1">
      <c r="A208" s="51" t="s">
        <v>39</v>
      </c>
      <c r="B208" s="50"/>
      <c r="C208" s="16" t="s">
        <v>40</v>
      </c>
      <c r="D208" s="65"/>
      <c r="E208" s="37">
        <f t="shared" si="91"/>
        <v>0</v>
      </c>
      <c r="F208" s="49">
        <f t="shared" si="90"/>
        <v>0</v>
      </c>
      <c r="G208" s="37"/>
      <c r="H208" s="37"/>
      <c r="I208" s="17"/>
      <c r="J208" s="17"/>
      <c r="K208" s="18"/>
      <c r="L208" s="20"/>
      <c r="M208" s="18"/>
      <c r="N208" s="18"/>
    </row>
    <row r="209" spans="1:14" ht="12.75">
      <c r="A209" s="25" t="s">
        <v>1</v>
      </c>
      <c r="B209" s="25"/>
      <c r="C209" s="32" t="s">
        <v>0</v>
      </c>
      <c r="D209" s="33">
        <f aca="true" t="shared" si="92" ref="D209:K209">D210</f>
        <v>25551.8</v>
      </c>
      <c r="E209" s="33">
        <f t="shared" si="92"/>
        <v>25758.1</v>
      </c>
      <c r="F209" s="33">
        <f t="shared" si="92"/>
        <v>6375.4</v>
      </c>
      <c r="G209" s="33">
        <f t="shared" si="92"/>
        <v>6375.4</v>
      </c>
      <c r="H209" s="33">
        <f t="shared" si="92"/>
        <v>7018.9</v>
      </c>
      <c r="I209" s="33">
        <f t="shared" si="92"/>
        <v>6169.4</v>
      </c>
      <c r="J209" s="33">
        <f t="shared" si="92"/>
        <v>6194.4</v>
      </c>
      <c r="K209" s="33">
        <f t="shared" si="92"/>
        <v>3274.1</v>
      </c>
      <c r="L209" s="27">
        <f>K209*100/F209</f>
        <v>51.35520908492016</v>
      </c>
      <c r="M209" s="24">
        <f>K209*100/E209</f>
        <v>12.710953059425968</v>
      </c>
      <c r="N209" s="24">
        <f>K209*100/D209</f>
        <v>12.813578691129392</v>
      </c>
    </row>
    <row r="210" spans="1:14" ht="22.5">
      <c r="A210" s="14" t="s">
        <v>67</v>
      </c>
      <c r="B210" s="12"/>
      <c r="C210" s="34" t="s">
        <v>20</v>
      </c>
      <c r="D210" s="37">
        <v>25551.8</v>
      </c>
      <c r="E210" s="37">
        <f t="shared" si="91"/>
        <v>25758.1</v>
      </c>
      <c r="F210" s="49">
        <f t="shared" si="90"/>
        <v>6375.4</v>
      </c>
      <c r="G210" s="37">
        <v>6375.4</v>
      </c>
      <c r="H210" s="37">
        <v>7018.9</v>
      </c>
      <c r="I210" s="17">
        <v>6169.4</v>
      </c>
      <c r="J210" s="17">
        <v>6194.4</v>
      </c>
      <c r="K210" s="18">
        <v>3274.1</v>
      </c>
      <c r="L210" s="20">
        <f>K210*100/F210</f>
        <v>51.35520908492016</v>
      </c>
      <c r="M210" s="18">
        <f>K210*100/E210</f>
        <v>12.710953059425968</v>
      </c>
      <c r="N210" s="18">
        <f>K210*100/D210</f>
        <v>12.813578691129392</v>
      </c>
    </row>
    <row r="211" spans="1:14" ht="12.75">
      <c r="A211" s="21"/>
      <c r="B211" s="22"/>
      <c r="C211" s="23" t="s">
        <v>4</v>
      </c>
      <c r="D211" s="24">
        <f aca="true" t="shared" si="93" ref="D211:K211">D209+D199</f>
        <v>30604.1</v>
      </c>
      <c r="E211" s="24">
        <f t="shared" si="93"/>
        <v>30810.399999999998</v>
      </c>
      <c r="F211" s="24">
        <f t="shared" si="93"/>
        <v>7573.299999999999</v>
      </c>
      <c r="G211" s="36">
        <f t="shared" si="93"/>
        <v>7573.299999999999</v>
      </c>
      <c r="H211" s="36">
        <f t="shared" si="93"/>
        <v>8298.8</v>
      </c>
      <c r="I211" s="36">
        <f t="shared" si="93"/>
        <v>7366.5</v>
      </c>
      <c r="J211" s="36">
        <f t="shared" si="93"/>
        <v>7571.799999999999</v>
      </c>
      <c r="K211" s="24">
        <f t="shared" si="93"/>
        <v>4167.3</v>
      </c>
      <c r="L211" s="27">
        <f>K211*100/F211</f>
        <v>55.02621050268708</v>
      </c>
      <c r="M211" s="24">
        <f>K211*100/E211</f>
        <v>13.525627710123855</v>
      </c>
      <c r="N211" s="24">
        <f>K211*100/D211</f>
        <v>13.616802977378848</v>
      </c>
    </row>
    <row r="212" spans="1:14" ht="12.75">
      <c r="A212" s="87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27"/>
      <c r="M212" s="24"/>
      <c r="N212" s="18"/>
    </row>
    <row r="213" spans="1:14" ht="12.75">
      <c r="A213" s="91" t="s">
        <v>36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3"/>
    </row>
    <row r="214" spans="1:14" ht="12.75">
      <c r="A214" s="25" t="s">
        <v>3</v>
      </c>
      <c r="B214" s="39"/>
      <c r="C214" s="26" t="s">
        <v>68</v>
      </c>
      <c r="D214" s="27">
        <f aca="true" t="shared" si="94" ref="D214:J214">D215+D217+D218+D219+D221+D222+D224+D226+D223+D220+D227+D225+D216</f>
        <v>978570.1</v>
      </c>
      <c r="E214" s="27">
        <f t="shared" si="94"/>
        <v>979470.1</v>
      </c>
      <c r="F214" s="27">
        <f t="shared" si="94"/>
        <v>228801.30000000002</v>
      </c>
      <c r="G214" s="27">
        <f t="shared" si="94"/>
        <v>228801.30000000002</v>
      </c>
      <c r="H214" s="27">
        <f t="shared" si="94"/>
        <v>255857.49999999997</v>
      </c>
      <c r="I214" s="27">
        <f t="shared" si="94"/>
        <v>228199.8</v>
      </c>
      <c r="J214" s="27">
        <f t="shared" si="94"/>
        <v>266611.5</v>
      </c>
      <c r="K214" s="27">
        <f>K215+K217+K218+K219+K221+K222+K224+K226+K223+K220+K227+K225+K216-0.1</f>
        <v>163634.3</v>
      </c>
      <c r="L214" s="27">
        <f aca="true" t="shared" si="95" ref="L214:L219">K214*100/F214</f>
        <v>71.51808140950247</v>
      </c>
      <c r="M214" s="24">
        <f aca="true" t="shared" si="96" ref="M214:M219">K214*100/E214</f>
        <v>16.706410946081967</v>
      </c>
      <c r="N214" s="24">
        <f aca="true" t="shared" si="97" ref="N214:N226">K214*100/D214</f>
        <v>16.72177598722871</v>
      </c>
    </row>
    <row r="215" spans="1:14" ht="12.75">
      <c r="A215" s="21" t="s">
        <v>23</v>
      </c>
      <c r="B215" s="40" t="s">
        <v>54</v>
      </c>
      <c r="C215" s="28" t="s">
        <v>22</v>
      </c>
      <c r="D215" s="18">
        <f>D9+D31+D47+D65+D82+D100+D116+D133+D150+D167+D184+D200</f>
        <v>706575.5</v>
      </c>
      <c r="E215" s="37">
        <f>G215+H215+I215+J215</f>
        <v>706575.5</v>
      </c>
      <c r="F215" s="49">
        <f aca="true" t="shared" si="98" ref="F215:F231">G215</f>
        <v>165753.6</v>
      </c>
      <c r="G215" s="18">
        <f>G9+G31+G47+G65+G82+G100+G116+G133+G150+G167+G184+G200</f>
        <v>165753.6</v>
      </c>
      <c r="H215" s="18">
        <f>H9+H31+H47+H65+H82+H100+H116+H133+H150+H167+H184+H200</f>
        <v>185869.6</v>
      </c>
      <c r="I215" s="18">
        <f>I9+I31+I47+I65+I82+I100+I116+I133+I150+I167+I184+I200</f>
        <v>163126.30000000002</v>
      </c>
      <c r="J215" s="18">
        <f>J9+J31+J47+J65+J82+J100+J116+J133+J150+J167+J184+J200</f>
        <v>191826</v>
      </c>
      <c r="K215" s="18">
        <f>K9+K31+K47+K65+K82+K100+K116+K133+K150+K167+K184+K200+0.2</f>
        <v>126614.4</v>
      </c>
      <c r="L215" s="20">
        <f t="shared" si="95"/>
        <v>76.38711919379126</v>
      </c>
      <c r="M215" s="18">
        <f t="shared" si="96"/>
        <v>17.919443852780063</v>
      </c>
      <c r="N215" s="18">
        <f t="shared" si="97"/>
        <v>17.919443852780063</v>
      </c>
    </row>
    <row r="216" spans="1:14" ht="12.75">
      <c r="A216" s="12" t="s">
        <v>70</v>
      </c>
      <c r="B216" s="12"/>
      <c r="C216" s="28" t="s">
        <v>71</v>
      </c>
      <c r="D216" s="18">
        <f>D10+D32+D48+D66+D83+D101+D118+D134+D151+D168+D185+D201</f>
        <v>46940.7</v>
      </c>
      <c r="E216" s="37">
        <f aca="true" t="shared" si="99" ref="E216:E231">G216+H216+I216+J216</f>
        <v>46940.7</v>
      </c>
      <c r="F216" s="49">
        <f t="shared" si="98"/>
        <v>11248.7</v>
      </c>
      <c r="G216" s="18">
        <f>G10+G32+G48+G66+G83+G101+G118+G134+G151+G168+G185+G201</f>
        <v>11248.7</v>
      </c>
      <c r="H216" s="18">
        <f>H10+H32+H48+H66+H83+H101+H118+H134+H151+H168+H185+H201</f>
        <v>12135.400000000001</v>
      </c>
      <c r="I216" s="18">
        <f>I10+I32+I48+I66+I83+I101+I118+I134+I151+I168+I185+I201</f>
        <v>11950.599999999999</v>
      </c>
      <c r="J216" s="18">
        <f>J10+J32+J48+J66+J83+J101+J118+J134+J151+J168+J185+J201</f>
        <v>11606</v>
      </c>
      <c r="K216" s="18">
        <f>K10+K32+K48+K66+K83+K101+K118+K134+K151+K168+K185+K201+0.2</f>
        <v>8687.3</v>
      </c>
      <c r="L216" s="20">
        <f t="shared" si="95"/>
        <v>77.22936872705289</v>
      </c>
      <c r="M216" s="18">
        <f t="shared" si="96"/>
        <v>18.506967301297166</v>
      </c>
      <c r="N216" s="18">
        <f t="shared" si="97"/>
        <v>18.506967301297166</v>
      </c>
    </row>
    <row r="217" spans="1:14" ht="12.75">
      <c r="A217" s="12" t="s">
        <v>8</v>
      </c>
      <c r="B217" s="38" t="s">
        <v>55</v>
      </c>
      <c r="C217" s="28" t="s">
        <v>5</v>
      </c>
      <c r="D217" s="18">
        <f>D11+D49+D67+D202+D152+D117+D186+D84+D102+D169+D119</f>
        <v>45460</v>
      </c>
      <c r="E217" s="37">
        <f>G217+H217+I217+J217</f>
        <v>45460</v>
      </c>
      <c r="F217" s="49">
        <f t="shared" si="98"/>
        <v>11181</v>
      </c>
      <c r="G217" s="18">
        <f>G11+G49+G67+G202+G152+G117+G186+G84+G102+G169</f>
        <v>11181</v>
      </c>
      <c r="H217" s="18">
        <f>H11+H49+H67+H202+H152+H117+H186+H84+H102+H169</f>
        <v>13529</v>
      </c>
      <c r="I217" s="18">
        <f>I11+I49+I67+I202+I152+I117+I186+I84+I102+I169</f>
        <v>10620.3</v>
      </c>
      <c r="J217" s="18">
        <f>J11+J49+J67+J202+J152+J117+J186+J84+J102+J169</f>
        <v>10129.7</v>
      </c>
      <c r="K217" s="18">
        <f>K11+K49+K67+K202+K152+K117+K186+K84+K102+K169+K119</f>
        <v>5708.9</v>
      </c>
      <c r="L217" s="20">
        <f t="shared" si="95"/>
        <v>51.05893927197925</v>
      </c>
      <c r="M217" s="18">
        <f t="shared" si="96"/>
        <v>12.558073031236251</v>
      </c>
      <c r="N217" s="18">
        <f t="shared" si="97"/>
        <v>12.558073031236251</v>
      </c>
    </row>
    <row r="218" spans="1:14" ht="12.75">
      <c r="A218" s="12" t="s">
        <v>9</v>
      </c>
      <c r="B218" s="38" t="s">
        <v>56</v>
      </c>
      <c r="C218" s="28" t="s">
        <v>6</v>
      </c>
      <c r="D218" s="18">
        <f>D12+D33+D50+D68+D85+D103+D120+D135+D153+D170+D187+D203</f>
        <v>21147.7</v>
      </c>
      <c r="E218" s="37">
        <f t="shared" si="99"/>
        <v>21147.7</v>
      </c>
      <c r="F218" s="49">
        <f t="shared" si="98"/>
        <v>3783.2</v>
      </c>
      <c r="G218" s="18">
        <f>G12+G33+G50+G68+G85+G103+G120+G135+G153+G170+G187+G203</f>
        <v>3783.2</v>
      </c>
      <c r="H218" s="18">
        <f>H12+H33+H50+H68+H85+H103+H120+H135+H153+H170+H187+H203</f>
        <v>3298.8999999999996</v>
      </c>
      <c r="I218" s="18">
        <f>I12+I33+I50+I68+I85+I103+I120+I135+I153+I170+I187+I203</f>
        <v>3329.9000000000005</v>
      </c>
      <c r="J218" s="18">
        <f>J12+J33+J50+J68+J85+J103+J120+J135+J153+J170+J187+J203</f>
        <v>10735.7</v>
      </c>
      <c r="K218" s="18">
        <f>K12+K33+K50+K68+K85+K103+K120+K135+K153+K170+K187+K203</f>
        <v>4950.599999999999</v>
      </c>
      <c r="L218" s="20">
        <f t="shared" si="95"/>
        <v>130.85747515330937</v>
      </c>
      <c r="M218" s="18">
        <f t="shared" si="96"/>
        <v>23.40963792752876</v>
      </c>
      <c r="N218" s="18">
        <f t="shared" si="97"/>
        <v>23.40963792752876</v>
      </c>
    </row>
    <row r="219" spans="1:14" ht="12.75">
      <c r="A219" s="12" t="s">
        <v>10</v>
      </c>
      <c r="B219" s="38" t="s">
        <v>49</v>
      </c>
      <c r="C219" s="28" t="s">
        <v>21</v>
      </c>
      <c r="D219" s="18">
        <f>D13+D34+D51+D69+D86+D104+D121+D136+D154+D171+D188+D204</f>
        <v>3579.3999999999996</v>
      </c>
      <c r="E219" s="37">
        <f t="shared" si="99"/>
        <v>3579.4</v>
      </c>
      <c r="F219" s="49">
        <f t="shared" si="98"/>
        <v>871.4</v>
      </c>
      <c r="G219" s="18">
        <f>G13+G34+G69+G86+G104+G121+G136+G154+G171+G188+G204</f>
        <v>871.4</v>
      </c>
      <c r="H219" s="18">
        <f>H13+H34+H69+H86+H104+H121+H136+H154+H171+H188+H204</f>
        <v>861.1</v>
      </c>
      <c r="I219" s="18">
        <f>I13+I34+I69+I86+I104+I121+I136+I154+I171+I188+I204</f>
        <v>868.4</v>
      </c>
      <c r="J219" s="18">
        <f>J13+J34+J69+J86+J104+J121+J136+J154+J171+J188+J204</f>
        <v>978.5</v>
      </c>
      <c r="K219" s="18">
        <f>K13+K34+K51+K69+K86+K104+K121+K136+K154+K171+K188+K204</f>
        <v>572.6000000000001</v>
      </c>
      <c r="L219" s="20">
        <f t="shared" si="95"/>
        <v>65.71035115905441</v>
      </c>
      <c r="M219" s="18">
        <f t="shared" si="96"/>
        <v>15.99709448510924</v>
      </c>
      <c r="N219" s="18">
        <f t="shared" si="97"/>
        <v>15.997094485109242</v>
      </c>
    </row>
    <row r="220" spans="1:14" ht="22.5" hidden="1">
      <c r="A220" s="12" t="s">
        <v>37</v>
      </c>
      <c r="B220" s="38" t="s">
        <v>57</v>
      </c>
      <c r="C220" s="28" t="s">
        <v>38</v>
      </c>
      <c r="D220" s="41">
        <f>D14</f>
        <v>0</v>
      </c>
      <c r="E220" s="37">
        <f t="shared" si="99"/>
        <v>0</v>
      </c>
      <c r="F220" s="49">
        <f t="shared" si="98"/>
        <v>0</v>
      </c>
      <c r="G220" s="41">
        <f>G14</f>
        <v>0</v>
      </c>
      <c r="H220" s="41">
        <f>H14</f>
        <v>0</v>
      </c>
      <c r="I220" s="41">
        <f>I14</f>
        <v>0</v>
      </c>
      <c r="J220" s="41">
        <f>J14</f>
        <v>0</v>
      </c>
      <c r="K220" s="41">
        <f>K14</f>
        <v>0</v>
      </c>
      <c r="L220" s="20"/>
      <c r="M220" s="18"/>
      <c r="N220" s="18" t="e">
        <f t="shared" si="97"/>
        <v>#DIV/0!</v>
      </c>
    </row>
    <row r="221" spans="1:14" ht="22.5">
      <c r="A221" s="13" t="s">
        <v>11</v>
      </c>
      <c r="B221" s="42" t="s">
        <v>48</v>
      </c>
      <c r="C221" s="28" t="s">
        <v>17</v>
      </c>
      <c r="D221" s="18">
        <f>D15+D35+D52+D70+D87+D105+D122+D137+D155+D172+D189+D205</f>
        <v>116967.7</v>
      </c>
      <c r="E221" s="37">
        <f t="shared" si="99"/>
        <v>116967.7</v>
      </c>
      <c r="F221" s="49">
        <f t="shared" si="98"/>
        <v>26841.399999999994</v>
      </c>
      <c r="G221" s="18">
        <f>G15+G35+G52+G70+G87+G105+G122+G137+G155+G172+G189+G205</f>
        <v>26841.399999999994</v>
      </c>
      <c r="H221" s="18">
        <f>H15+H35+H52+H70+H87+H105+H122+H137+H155+H172+H189+H205</f>
        <v>29092.3</v>
      </c>
      <c r="I221" s="18">
        <f>I15+I35+I52+I70+I87+I105+I122+I137+I155+I172+I189+I205</f>
        <v>29451.499999999996</v>
      </c>
      <c r="J221" s="18">
        <f>J15+J35+J52+J70+J87+J105+J122+J137+J155+J172+J189+J205</f>
        <v>31582.5</v>
      </c>
      <c r="K221" s="18">
        <f>K15+K35+K52+K70+K87+K105+K122+K137+K155+K172+K189+K205-0.2</f>
        <v>6948.300000000001</v>
      </c>
      <c r="L221" s="20">
        <f aca="true" t="shared" si="100" ref="L221:L226">K221*100/F221</f>
        <v>25.886503684606627</v>
      </c>
      <c r="M221" s="18">
        <f aca="true" t="shared" si="101" ref="M221:M226">K221*100/E221</f>
        <v>5.940357893674921</v>
      </c>
      <c r="N221" s="18">
        <f t="shared" si="97"/>
        <v>5.940357893674921</v>
      </c>
    </row>
    <row r="222" spans="1:14" ht="12.75">
      <c r="A222" s="29" t="s">
        <v>14</v>
      </c>
      <c r="B222" s="43" t="s">
        <v>47</v>
      </c>
      <c r="C222" s="28" t="s">
        <v>13</v>
      </c>
      <c r="D222" s="18">
        <f>D16</f>
        <v>4251.8</v>
      </c>
      <c r="E222" s="37">
        <f t="shared" si="99"/>
        <v>4251.8</v>
      </c>
      <c r="F222" s="49">
        <f t="shared" si="98"/>
        <v>1063</v>
      </c>
      <c r="G222" s="18">
        <f>G16</f>
        <v>1063</v>
      </c>
      <c r="H222" s="18">
        <f>H16</f>
        <v>1062.9</v>
      </c>
      <c r="I222" s="18">
        <f>I16</f>
        <v>1063</v>
      </c>
      <c r="J222" s="18">
        <f>J16</f>
        <v>1062.9</v>
      </c>
      <c r="K222" s="18">
        <f>K16</f>
        <v>347.2</v>
      </c>
      <c r="L222" s="20">
        <f t="shared" si="100"/>
        <v>32.66227657572907</v>
      </c>
      <c r="M222" s="18">
        <f t="shared" si="101"/>
        <v>8.165953243332236</v>
      </c>
      <c r="N222" s="18">
        <f t="shared" si="97"/>
        <v>8.165953243332236</v>
      </c>
    </row>
    <row r="223" spans="1:14" ht="22.5">
      <c r="A223" s="30" t="s">
        <v>42</v>
      </c>
      <c r="B223" s="44" t="s">
        <v>58</v>
      </c>
      <c r="C223" s="28" t="s">
        <v>43</v>
      </c>
      <c r="D223" s="45">
        <f>D17+D88+D53+D106+D138+D156+D173+D190+D123+D71+D36</f>
        <v>15872.999999999998</v>
      </c>
      <c r="E223" s="37">
        <f t="shared" si="99"/>
        <v>15873</v>
      </c>
      <c r="F223" s="49">
        <f t="shared" si="98"/>
        <v>3960.2000000000003</v>
      </c>
      <c r="G223" s="45">
        <f>G17+G88+G53+G106+G138+G156+G173+G190+G123+G71+G36</f>
        <v>3960.2000000000003</v>
      </c>
      <c r="H223" s="45">
        <f>H17+H88+H53+H106+H138+H156+H173+H190+H123+H71+H36</f>
        <v>3971.1</v>
      </c>
      <c r="I223" s="45">
        <f>I17+I88+I53+I106+I138+I156+I173+I190+I123+I71+I36</f>
        <v>3858.1</v>
      </c>
      <c r="J223" s="45">
        <f>J17+J88+J53+J106+J138+J156+J173+J190+J123+J71+J36</f>
        <v>4083.6000000000004</v>
      </c>
      <c r="K223" s="45">
        <f>K17+K88+K53+K106+K138+K156+K173+K190+K123+K71+K36</f>
        <v>2546.6000000000004</v>
      </c>
      <c r="L223" s="20">
        <f t="shared" si="100"/>
        <v>64.30483308923792</v>
      </c>
      <c r="M223" s="18">
        <f t="shared" si="101"/>
        <v>16.043596043596047</v>
      </c>
      <c r="N223" s="18">
        <f t="shared" si="97"/>
        <v>16.043596043596047</v>
      </c>
    </row>
    <row r="224" spans="1:14" ht="22.5">
      <c r="A224" s="30" t="s">
        <v>18</v>
      </c>
      <c r="B224" s="44" t="s">
        <v>53</v>
      </c>
      <c r="C224" s="28" t="s">
        <v>15</v>
      </c>
      <c r="D224" s="18">
        <f>D18+D37+D54+D72+D89+D124+D157+D174+D191+D206+D139</f>
        <v>17538</v>
      </c>
      <c r="E224" s="37">
        <f>G224+H224+I224+J224</f>
        <v>17538</v>
      </c>
      <c r="F224" s="49">
        <f t="shared" si="98"/>
        <v>3637.4</v>
      </c>
      <c r="G224" s="18">
        <f>G18+G37+G54+G72+G89+G107+G124+G157+G174+G191+G206+G139</f>
        <v>3637.4</v>
      </c>
      <c r="H224" s="18">
        <f>H18+H37+H54+H72+H89+H107+H124+H157+H174+H191+H206+H139</f>
        <v>5678.400000000001</v>
      </c>
      <c r="I224" s="18">
        <f>I18+I37+I54+I72+I89+I107+I124+I157+I174+I191+I206+I139</f>
        <v>3677.4</v>
      </c>
      <c r="J224" s="18">
        <f>J18+J37+J54+J72+J89+J107+J124+J157+J174+J191+J206+J139</f>
        <v>4544.8</v>
      </c>
      <c r="K224" s="18">
        <f>K18+K37+K54+K72+K89+K124+K157+K174+K191+K206+K139</f>
        <v>4560.099999999999</v>
      </c>
      <c r="L224" s="20">
        <f t="shared" si="100"/>
        <v>125.36702039918622</v>
      </c>
      <c r="M224" s="18">
        <f t="shared" si="101"/>
        <v>26.001254418975936</v>
      </c>
      <c r="N224" s="18">
        <f t="shared" si="97"/>
        <v>26.001254418975936</v>
      </c>
    </row>
    <row r="225" spans="1:14" ht="12.75">
      <c r="A225" s="30" t="s">
        <v>60</v>
      </c>
      <c r="B225" s="30"/>
      <c r="C225" s="28" t="s">
        <v>61</v>
      </c>
      <c r="D225" s="18">
        <f>D19</f>
        <v>6</v>
      </c>
      <c r="E225" s="37">
        <f t="shared" si="99"/>
        <v>6</v>
      </c>
      <c r="F225" s="49">
        <f t="shared" si="98"/>
        <v>1</v>
      </c>
      <c r="G225" s="18">
        <f>G19</f>
        <v>1</v>
      </c>
      <c r="H225" s="18">
        <f>H19</f>
        <v>2</v>
      </c>
      <c r="I225" s="18">
        <f>I19</f>
        <v>1</v>
      </c>
      <c r="J225" s="18">
        <f>J19</f>
        <v>2</v>
      </c>
      <c r="K225" s="18">
        <f>K19</f>
        <v>0</v>
      </c>
      <c r="L225" s="20">
        <f t="shared" si="100"/>
        <v>0</v>
      </c>
      <c r="M225" s="18">
        <f t="shared" si="101"/>
        <v>0</v>
      </c>
      <c r="N225" s="18">
        <f t="shared" si="97"/>
        <v>0</v>
      </c>
    </row>
    <row r="226" spans="1:14" ht="12.75">
      <c r="A226" s="21" t="s">
        <v>12</v>
      </c>
      <c r="B226" s="40" t="s">
        <v>50</v>
      </c>
      <c r="C226" s="28" t="s">
        <v>7</v>
      </c>
      <c r="D226" s="18">
        <f>D20+D192+D207+D73+D140+D55+D158+D90+D175+D107</f>
        <v>230.29999999999998</v>
      </c>
      <c r="E226" s="37">
        <f t="shared" si="99"/>
        <v>1130.3</v>
      </c>
      <c r="F226" s="49">
        <f t="shared" si="98"/>
        <v>460.4</v>
      </c>
      <c r="G226" s="18">
        <f>G20+G192+G207+G73+G140+G55+G158+G90+G175+G107+G38+G125</f>
        <v>460.4</v>
      </c>
      <c r="H226" s="18">
        <f>H20+H192+H207+H73+H140+H55+H158+H90+H175+H107+H38+H125</f>
        <v>356.8</v>
      </c>
      <c r="I226" s="18">
        <f>I20+I192+I207+I73+I140+I55+I158+I90+I175+I107+I38+I125</f>
        <v>253.3</v>
      </c>
      <c r="J226" s="18">
        <f>J20+J192+J207+J73+J140+J55+J158+J90+J175+J107+J38+J125</f>
        <v>59.800000000000004</v>
      </c>
      <c r="K226" s="18">
        <f>K20+K192+K207+K73+K140+K55+K158+K90+K175+K107+K38+K125</f>
        <v>2751.8999999999996</v>
      </c>
      <c r="L226" s="20">
        <f t="shared" si="100"/>
        <v>597.7193744569938</v>
      </c>
      <c r="M226" s="18">
        <f t="shared" si="101"/>
        <v>243.46633637087496</v>
      </c>
      <c r="N226" s="18">
        <f t="shared" si="97"/>
        <v>1194.9196699956576</v>
      </c>
    </row>
    <row r="227" spans="1:14" ht="12.75">
      <c r="A227" s="31" t="s">
        <v>39</v>
      </c>
      <c r="B227" s="46" t="s">
        <v>57</v>
      </c>
      <c r="C227" s="16" t="s">
        <v>40</v>
      </c>
      <c r="D227" s="18">
        <f>D21+D39+D56+D74+D91+D108+D126+D141+D159+D176+D193+D208</f>
        <v>0</v>
      </c>
      <c r="E227" s="37">
        <f t="shared" si="99"/>
        <v>0</v>
      </c>
      <c r="F227" s="49">
        <f t="shared" si="98"/>
        <v>0</v>
      </c>
      <c r="G227" s="18">
        <v>0</v>
      </c>
      <c r="H227" s="18">
        <f>H21+H39+H56+H74+H91+H108+H126+H141+H159+H176+H193+H208</f>
        <v>0</v>
      </c>
      <c r="I227" s="18">
        <f>I21+I39+I56+I74+I91+I108+I126+I141+I159+I176+I193+I208</f>
        <v>0</v>
      </c>
      <c r="J227" s="18">
        <f>J21+J39+J56+J74+J91+J108+J126+J141+J159+J176+J193+J208</f>
        <v>0</v>
      </c>
      <c r="K227" s="18">
        <f>K21+K39+K56+K74+K91+K108+K126+K141+K159+K176+K193+K208</f>
        <v>-53.5</v>
      </c>
      <c r="L227" s="20"/>
      <c r="M227" s="18"/>
      <c r="N227" s="18"/>
    </row>
    <row r="228" spans="1:14" ht="12.75">
      <c r="A228" s="25" t="s">
        <v>1</v>
      </c>
      <c r="B228" s="39"/>
      <c r="C228" s="32" t="s">
        <v>0</v>
      </c>
      <c r="D228" s="33">
        <f aca="true" t="shared" si="102" ref="D228:J228">D229+D230+D231</f>
        <v>2676706.5</v>
      </c>
      <c r="E228" s="33">
        <f t="shared" si="102"/>
        <v>2701211.4</v>
      </c>
      <c r="F228" s="33">
        <f t="shared" si="102"/>
        <v>658487.2000000001</v>
      </c>
      <c r="G228" s="33">
        <f t="shared" si="102"/>
        <v>658487.2000000001</v>
      </c>
      <c r="H228" s="33">
        <f t="shared" si="102"/>
        <v>675354.6</v>
      </c>
      <c r="I228" s="33">
        <f t="shared" si="102"/>
        <v>672651.3</v>
      </c>
      <c r="J228" s="33">
        <f t="shared" si="102"/>
        <v>694718.3</v>
      </c>
      <c r="K228" s="33">
        <f>K229+K230+K231</f>
        <v>331229</v>
      </c>
      <c r="L228" s="27">
        <f>K228*100/F228</f>
        <v>50.30150927762908</v>
      </c>
      <c r="M228" s="24">
        <f>K228*100/E228</f>
        <v>12.26223908280559</v>
      </c>
      <c r="N228" s="24">
        <f>K228*100/D228</f>
        <v>12.374498287354255</v>
      </c>
    </row>
    <row r="229" spans="1:14" ht="22.5">
      <c r="A229" s="14" t="s">
        <v>67</v>
      </c>
      <c r="B229" s="38" t="s">
        <v>51</v>
      </c>
      <c r="C229" s="34" t="s">
        <v>20</v>
      </c>
      <c r="D229" s="17">
        <f>D23-16095.4</f>
        <v>2676706.5</v>
      </c>
      <c r="E229" s="37">
        <f t="shared" si="99"/>
        <v>2682063.1</v>
      </c>
      <c r="F229" s="49">
        <f t="shared" si="98"/>
        <v>654338.9</v>
      </c>
      <c r="G229" s="17">
        <f>G23-1609.6</f>
        <v>654338.9</v>
      </c>
      <c r="H229" s="17">
        <f>H23-4828.6</f>
        <v>670354.6</v>
      </c>
      <c r="I229" s="17">
        <f>I23-4828.6</f>
        <v>667651.3</v>
      </c>
      <c r="J229" s="17">
        <f>J23-4828.6+480</f>
        <v>689718.3</v>
      </c>
      <c r="K229" s="17">
        <f>K23</f>
        <v>333915</v>
      </c>
      <c r="L229" s="20">
        <f>K229*100/F229</f>
        <v>51.03089545799585</v>
      </c>
      <c r="M229" s="18">
        <f>K229*100/E229</f>
        <v>12.449930801404337</v>
      </c>
      <c r="N229" s="18">
        <f>K229*100/D229</f>
        <v>12.474845486421467</v>
      </c>
    </row>
    <row r="230" spans="1:14" ht="12.75">
      <c r="A230" s="14" t="s">
        <v>2</v>
      </c>
      <c r="B230" s="14" t="s">
        <v>52</v>
      </c>
      <c r="C230" s="35" t="s">
        <v>19</v>
      </c>
      <c r="D230" s="18">
        <f>D24+D95+D179+D77</f>
        <v>0</v>
      </c>
      <c r="E230" s="18">
        <f>E24+E95+E179+E77+E144</f>
        <v>20000</v>
      </c>
      <c r="F230" s="49">
        <f t="shared" si="98"/>
        <v>5000</v>
      </c>
      <c r="G230" s="18">
        <f>G24+G95+G179+G77</f>
        <v>5000</v>
      </c>
      <c r="H230" s="18">
        <f>H24+H95+H179+H77</f>
        <v>5000</v>
      </c>
      <c r="I230" s="18">
        <f>I24+I95+I179+I77</f>
        <v>5000</v>
      </c>
      <c r="J230" s="18">
        <f>J24+J95+J179+J77</f>
        <v>5000</v>
      </c>
      <c r="K230" s="18">
        <f>K24+K95+K179+K77+K144</f>
        <v>3341.6</v>
      </c>
      <c r="L230" s="20">
        <f>K230*100/F230</f>
        <v>66.832</v>
      </c>
      <c r="M230" s="18">
        <f>K230*100/E230</f>
        <v>16.708</v>
      </c>
      <c r="N230" s="18"/>
    </row>
    <row r="231" spans="1:14" ht="33.75">
      <c r="A231" s="14" t="s">
        <v>66</v>
      </c>
      <c r="B231" s="15"/>
      <c r="C231" s="19" t="s">
        <v>63</v>
      </c>
      <c r="D231" s="18">
        <f>D26</f>
        <v>0</v>
      </c>
      <c r="E231" s="37">
        <f t="shared" si="99"/>
        <v>-851.7</v>
      </c>
      <c r="F231" s="49">
        <f t="shared" si="98"/>
        <v>-851.7</v>
      </c>
      <c r="G231" s="18">
        <f>G26</f>
        <v>-851.7</v>
      </c>
      <c r="H231" s="18">
        <f>H26</f>
        <v>0</v>
      </c>
      <c r="I231" s="18">
        <f>I26</f>
        <v>0</v>
      </c>
      <c r="J231" s="18">
        <f>J26</f>
        <v>0</v>
      </c>
      <c r="K231" s="18">
        <f>K26</f>
        <v>-6027.6</v>
      </c>
      <c r="L231" s="20">
        <f>K231*100/F231</f>
        <v>707.7139837971116</v>
      </c>
      <c r="M231" s="18">
        <f>K231*100/E231</f>
        <v>707.7139837971116</v>
      </c>
      <c r="N231" s="18"/>
    </row>
    <row r="232" spans="1:14" ht="12.75">
      <c r="A232" s="21"/>
      <c r="B232" s="22"/>
      <c r="C232" s="23" t="s">
        <v>4</v>
      </c>
      <c r="D232" s="24">
        <f>D228+D214</f>
        <v>3655276.6</v>
      </c>
      <c r="E232" s="24">
        <f>E228+E214</f>
        <v>3680681.5</v>
      </c>
      <c r="F232" s="24">
        <f aca="true" t="shared" si="103" ref="F232:K232">F228+F214</f>
        <v>887288.5000000001</v>
      </c>
      <c r="G232" s="24">
        <f t="shared" si="103"/>
        <v>887288.5000000001</v>
      </c>
      <c r="H232" s="24">
        <f t="shared" si="103"/>
        <v>931212.1</v>
      </c>
      <c r="I232" s="24">
        <f t="shared" si="103"/>
        <v>900851.1000000001</v>
      </c>
      <c r="J232" s="24">
        <f t="shared" si="103"/>
        <v>961329.8</v>
      </c>
      <c r="K232" s="24">
        <f t="shared" si="103"/>
        <v>494863.3</v>
      </c>
      <c r="L232" s="27">
        <f>K232*100/F232</f>
        <v>55.7725362156728</v>
      </c>
      <c r="M232" s="24">
        <f>K232*100/E232</f>
        <v>13.444882421910181</v>
      </c>
      <c r="N232" s="24">
        <f>K232*100/D232</f>
        <v>13.538327031119888</v>
      </c>
    </row>
    <row r="233" spans="3:9" ht="12.75">
      <c r="C233" s="8"/>
      <c r="D233" s="8"/>
      <c r="E233" s="8"/>
      <c r="F233" s="8"/>
      <c r="G233" s="8"/>
      <c r="H233" s="8"/>
      <c r="I233" s="2"/>
    </row>
    <row r="234" spans="3:11" ht="12.75">
      <c r="C234" s="9" t="s">
        <v>59</v>
      </c>
      <c r="D234" s="9"/>
      <c r="E234" s="9"/>
      <c r="F234" s="9"/>
      <c r="G234" s="9"/>
      <c r="H234" s="9"/>
      <c r="I234" s="3"/>
      <c r="J234" s="3"/>
      <c r="K234" s="5"/>
    </row>
    <row r="235" spans="3:11" ht="12.75" hidden="1">
      <c r="C235" s="9"/>
      <c r="D235" s="9"/>
      <c r="E235" s="9"/>
      <c r="F235" s="9"/>
      <c r="G235" s="9"/>
      <c r="H235" s="9"/>
      <c r="I235" s="3" t="s">
        <v>62</v>
      </c>
      <c r="J235" s="3">
        <f>J234-J214</f>
        <v>-266611.5</v>
      </c>
      <c r="K235" s="4"/>
    </row>
    <row r="236" spans="1:11" ht="12.75" hidden="1">
      <c r="A236" s="2"/>
      <c r="C236" s="9"/>
      <c r="D236" s="9"/>
      <c r="E236" s="9"/>
      <c r="F236" s="9"/>
      <c r="G236" s="9"/>
      <c r="H236" s="9"/>
      <c r="I236" s="6"/>
      <c r="J236" s="3"/>
      <c r="K236" s="5"/>
    </row>
    <row r="237" spans="3:11" ht="12.75" hidden="1">
      <c r="C237" s="10"/>
      <c r="D237" s="10"/>
      <c r="E237" s="10"/>
      <c r="F237" s="10"/>
      <c r="G237" s="10"/>
      <c r="H237" s="10"/>
      <c r="I237" s="3"/>
      <c r="J237" s="3">
        <f>J236-J228</f>
        <v>-694718.3</v>
      </c>
      <c r="K237" s="5"/>
    </row>
    <row r="238" spans="3:11" ht="12.75" hidden="1">
      <c r="C238" s="10"/>
      <c r="D238" s="10"/>
      <c r="E238" s="10"/>
      <c r="F238" s="10"/>
      <c r="G238" s="10"/>
      <c r="H238" s="10"/>
      <c r="I238" s="6"/>
      <c r="J238" s="3" t="e">
        <f>#REF!+#REF!+#REF!+#REF!+#REF!+#REF!+#REF!+#REF!+#REF!+#REF!</f>
        <v>#REF!</v>
      </c>
      <c r="K238" s="5"/>
    </row>
    <row r="239" spans="1:11" ht="12.75" hidden="1">
      <c r="A239" s="2">
        <f>J214+J228</f>
        <v>961329.8</v>
      </c>
      <c r="C239" s="11"/>
      <c r="D239" s="11"/>
      <c r="E239" s="11"/>
      <c r="F239" s="11"/>
      <c r="G239" s="11"/>
      <c r="H239" s="11"/>
      <c r="I239" s="6"/>
      <c r="J239" s="3" t="e">
        <f>J238-#REF!</f>
        <v>#REF!</v>
      </c>
      <c r="K239" s="5"/>
    </row>
    <row r="240" spans="1:11" ht="12.75" hidden="1">
      <c r="A240" s="2" t="e">
        <f>#REF!+#REF!</f>
        <v>#REF!</v>
      </c>
      <c r="C240" s="10"/>
      <c r="D240" s="10"/>
      <c r="E240" s="10"/>
      <c r="F240" s="10"/>
      <c r="G240" s="10"/>
      <c r="H240" s="10"/>
      <c r="I240" s="6"/>
      <c r="J240" s="3" t="e">
        <f>J234+J236+J238</f>
        <v>#REF!</v>
      </c>
      <c r="K240" s="5"/>
    </row>
    <row r="241" spans="1:11" ht="12.75" hidden="1">
      <c r="A241" s="2" t="e">
        <f>J214+#REF!</f>
        <v>#REF!</v>
      </c>
      <c r="C241" s="9"/>
      <c r="D241" s="9"/>
      <c r="E241" s="9"/>
      <c r="F241" s="9"/>
      <c r="G241" s="9"/>
      <c r="H241" s="9"/>
      <c r="I241" s="6"/>
      <c r="J241" s="3">
        <f>J27+J43+J61+J78+J96+J112+J129+J146+J163+J180+J196+J211-J209-J194-J177-J160-J142-J127-J109-J93-J75-J40-J57</f>
        <v>965678.3999999999</v>
      </c>
      <c r="K241" s="5"/>
    </row>
    <row r="242" spans="1:11" ht="12.75" hidden="1">
      <c r="A242" s="2" t="e">
        <f>J228+#REF!</f>
        <v>#REF!</v>
      </c>
      <c r="C242" s="9"/>
      <c r="D242" s="9"/>
      <c r="E242" s="9"/>
      <c r="F242" s="9"/>
      <c r="G242" s="9"/>
      <c r="H242" s="9"/>
      <c r="I242" s="6"/>
      <c r="J242" s="3">
        <f>J241-J232</f>
        <v>4348.59999999986</v>
      </c>
      <c r="K242" s="5"/>
    </row>
    <row r="243" spans="3:11" ht="12.75" hidden="1">
      <c r="C243" s="9"/>
      <c r="D243" s="9"/>
      <c r="E243" s="9"/>
      <c r="F243" s="9"/>
      <c r="G243" s="9"/>
      <c r="H243" s="9"/>
      <c r="I243" s="6"/>
      <c r="J243" s="3"/>
      <c r="K243" s="5"/>
    </row>
    <row r="244" spans="3:11" ht="12.75" hidden="1">
      <c r="C244" s="8"/>
      <c r="D244" s="8"/>
      <c r="E244" s="8"/>
      <c r="F244" s="8"/>
      <c r="G244" s="8"/>
      <c r="H244" s="8"/>
      <c r="I244" s="5"/>
      <c r="J244" s="4"/>
      <c r="K244" s="5"/>
    </row>
    <row r="245" spans="3:11" ht="12.75">
      <c r="C245" s="8"/>
      <c r="D245" s="8"/>
      <c r="E245" s="8"/>
      <c r="F245" s="48"/>
      <c r="G245" s="48"/>
      <c r="H245" s="48"/>
      <c r="I245" s="48"/>
      <c r="J245" s="48"/>
      <c r="K245" s="48"/>
    </row>
    <row r="246" spans="3:11" ht="12.75">
      <c r="C246" s="8"/>
      <c r="D246" s="8"/>
      <c r="E246" s="8"/>
      <c r="F246" s="8"/>
      <c r="G246" s="8"/>
      <c r="H246" s="8"/>
      <c r="I246" s="5"/>
      <c r="J246" s="4"/>
      <c r="K246" s="5"/>
    </row>
    <row r="247" spans="3:11" ht="12.75">
      <c r="C247" s="8"/>
      <c r="D247" s="48"/>
      <c r="E247" s="48"/>
      <c r="F247" s="8"/>
      <c r="G247" s="48"/>
      <c r="H247" s="48"/>
      <c r="I247" s="48"/>
      <c r="J247" s="48"/>
      <c r="K247" s="48"/>
    </row>
    <row r="248" spans="4:11" ht="12.75">
      <c r="D248" s="2"/>
      <c r="E248" s="2"/>
      <c r="F248" s="2"/>
      <c r="G248" s="2"/>
      <c r="H248" s="2"/>
      <c r="I248" s="2"/>
      <c r="J248" s="2"/>
      <c r="K248" s="2"/>
    </row>
    <row r="249" spans="9:11" ht="12.75">
      <c r="I249" s="5"/>
      <c r="J249" s="4"/>
      <c r="K249" s="5"/>
    </row>
    <row r="250" spans="9:11" ht="12.75">
      <c r="I250" s="5"/>
      <c r="J250" s="4"/>
      <c r="K250" s="5"/>
    </row>
    <row r="251" spans="3:11" ht="12.75">
      <c r="C251" s="8"/>
      <c r="D251" s="8"/>
      <c r="E251" s="8"/>
      <c r="F251" s="8"/>
      <c r="G251" s="8"/>
      <c r="H251" s="8"/>
      <c r="I251" s="5"/>
      <c r="J251" s="4"/>
      <c r="K251" s="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8"/>
      <c r="E253" s="8"/>
      <c r="F253" s="8"/>
      <c r="G253" s="8"/>
      <c r="H253" s="8"/>
      <c r="I253" s="5"/>
      <c r="J253" s="4"/>
      <c r="K253" s="5"/>
    </row>
    <row r="254" spans="3:11" ht="12.75">
      <c r="C254" s="8"/>
      <c r="D254" s="8"/>
      <c r="E254" s="8"/>
      <c r="F254" s="8"/>
      <c r="G254" s="8"/>
      <c r="H254" s="8"/>
      <c r="I254" s="5"/>
      <c r="J254" s="4"/>
      <c r="K254" s="5"/>
    </row>
    <row r="255" spans="3:11" ht="12.75">
      <c r="C255" s="8"/>
      <c r="D255" s="8"/>
      <c r="E255" s="8"/>
      <c r="F255" s="8"/>
      <c r="G255" s="8"/>
      <c r="H255" s="8"/>
      <c r="I255" s="4"/>
      <c r="J255" s="4"/>
      <c r="K255" s="4"/>
    </row>
    <row r="256" spans="3:11" ht="12.75">
      <c r="C256" s="8"/>
      <c r="D256" s="8"/>
      <c r="E256" s="8"/>
      <c r="F256" s="8"/>
      <c r="G256" s="8"/>
      <c r="H256" s="8"/>
      <c r="I256" s="5"/>
      <c r="J256" s="5"/>
      <c r="K256" s="5"/>
    </row>
    <row r="257" spans="3:11" ht="12.75">
      <c r="C257" s="8"/>
      <c r="D257" s="8"/>
      <c r="E257" s="8"/>
      <c r="F257" s="8"/>
      <c r="G257" s="8"/>
      <c r="H257" s="8"/>
      <c r="I257" s="7"/>
      <c r="J257" s="4"/>
      <c r="K257" s="5"/>
    </row>
  </sheetData>
  <sheetProtection password="CF7A" sheet="1"/>
  <mergeCells count="38">
    <mergeCell ref="A2:K2"/>
    <mergeCell ref="A97:K97"/>
    <mergeCell ref="A113:K113"/>
    <mergeCell ref="C44:K44"/>
    <mergeCell ref="A28:K28"/>
    <mergeCell ref="A7:N7"/>
    <mergeCell ref="A62:K62"/>
    <mergeCell ref="A45:N45"/>
    <mergeCell ref="A29:N29"/>
    <mergeCell ref="A1:N1"/>
    <mergeCell ref="A213:N213"/>
    <mergeCell ref="A198:N198"/>
    <mergeCell ref="A182:N182"/>
    <mergeCell ref="A165:N165"/>
    <mergeCell ref="A148:N148"/>
    <mergeCell ref="A131:N131"/>
    <mergeCell ref="I4:I6"/>
    <mergeCell ref="J4:J6"/>
    <mergeCell ref="D4:D6"/>
    <mergeCell ref="A212:K212"/>
    <mergeCell ref="A197:K197"/>
    <mergeCell ref="A164:K164"/>
    <mergeCell ref="L4:L6"/>
    <mergeCell ref="A130:K130"/>
    <mergeCell ref="A98:N98"/>
    <mergeCell ref="A80:N80"/>
    <mergeCell ref="E4:E6"/>
    <mergeCell ref="M4:M6"/>
    <mergeCell ref="H4:H6"/>
    <mergeCell ref="K4:K6"/>
    <mergeCell ref="A181:K181"/>
    <mergeCell ref="A147:K147"/>
    <mergeCell ref="A63:N63"/>
    <mergeCell ref="A114:N114"/>
    <mergeCell ref="A79:K79"/>
    <mergeCell ref="G4:G6"/>
    <mergeCell ref="N4:N6"/>
    <mergeCell ref="F4:F6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00">
      <selection activeCell="I105" sqref="I105"/>
    </sheetView>
  </sheetViews>
  <sheetFormatPr defaultColWidth="9.00390625" defaultRowHeight="12.75"/>
  <cols>
    <col min="2" max="2" width="40.50390625" style="0" customWidth="1"/>
    <col min="3" max="3" width="14.375" style="0" customWidth="1"/>
    <col min="4" max="4" width="14.125" style="0" customWidth="1"/>
    <col min="6" max="6" width="13.75390625" style="0" customWidth="1"/>
    <col min="7" max="7" width="13.00390625" style="0" customWidth="1"/>
    <col min="9" max="9" width="13.75390625" style="0" customWidth="1"/>
    <col min="10" max="10" width="12.75390625" style="0" customWidth="1"/>
  </cols>
  <sheetData>
    <row r="1" spans="1:11" ht="15">
      <c r="A1" s="100" t="s">
        <v>84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3.5" thickBot="1">
      <c r="A2" s="101"/>
      <c r="B2" s="102"/>
      <c r="C2" s="103"/>
      <c r="D2" s="104"/>
      <c r="E2" s="105"/>
      <c r="F2" s="106"/>
      <c r="G2" s="107"/>
      <c r="H2" s="107"/>
      <c r="I2" s="108"/>
      <c r="J2" s="109"/>
      <c r="K2" s="109"/>
    </row>
    <row r="3" spans="1:11" ht="13.5">
      <c r="A3" s="110" t="s">
        <v>85</v>
      </c>
      <c r="B3" s="111" t="s">
        <v>86</v>
      </c>
      <c r="C3" s="112" t="s">
        <v>87</v>
      </c>
      <c r="D3" s="112"/>
      <c r="E3" s="112"/>
      <c r="F3" s="113" t="s">
        <v>88</v>
      </c>
      <c r="G3" s="113"/>
      <c r="H3" s="113"/>
      <c r="I3" s="114" t="s">
        <v>89</v>
      </c>
      <c r="J3" s="114"/>
      <c r="K3" s="115"/>
    </row>
    <row r="4" spans="1:11" ht="12.75">
      <c r="A4" s="116"/>
      <c r="B4" s="117"/>
      <c r="C4" s="118" t="s">
        <v>90</v>
      </c>
      <c r="D4" s="118" t="s">
        <v>91</v>
      </c>
      <c r="E4" s="118" t="s">
        <v>92</v>
      </c>
      <c r="F4" s="118" t="s">
        <v>90</v>
      </c>
      <c r="G4" s="119" t="s">
        <v>91</v>
      </c>
      <c r="H4" s="119" t="s">
        <v>92</v>
      </c>
      <c r="I4" s="120" t="s">
        <v>90</v>
      </c>
      <c r="J4" s="121" t="s">
        <v>93</v>
      </c>
      <c r="K4" s="122" t="s">
        <v>92</v>
      </c>
    </row>
    <row r="5" spans="1:11" ht="12.75">
      <c r="A5" s="116"/>
      <c r="B5" s="117"/>
      <c r="C5" s="123"/>
      <c r="D5" s="118"/>
      <c r="E5" s="124"/>
      <c r="F5" s="123"/>
      <c r="G5" s="119"/>
      <c r="H5" s="123"/>
      <c r="I5" s="125"/>
      <c r="J5" s="121"/>
      <c r="K5" s="126"/>
    </row>
    <row r="6" spans="1:11" ht="12.75">
      <c r="A6" s="116"/>
      <c r="B6" s="127" t="s">
        <v>94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1:11" ht="12.75">
      <c r="A7" s="116"/>
      <c r="B7" s="127"/>
      <c r="C7" s="127"/>
      <c r="D7" s="127"/>
      <c r="E7" s="127"/>
      <c r="F7" s="127"/>
      <c r="G7" s="127"/>
      <c r="H7" s="127"/>
      <c r="I7" s="127"/>
      <c r="J7" s="127"/>
      <c r="K7" s="128"/>
    </row>
    <row r="8" spans="1:11" ht="12.75">
      <c r="A8" s="116"/>
      <c r="B8" s="127"/>
      <c r="C8" s="127"/>
      <c r="D8" s="127"/>
      <c r="E8" s="127"/>
      <c r="F8" s="127"/>
      <c r="G8" s="127"/>
      <c r="H8" s="127"/>
      <c r="I8" s="127"/>
      <c r="J8" s="127"/>
      <c r="K8" s="128"/>
    </row>
    <row r="9" spans="1:11" ht="13.5">
      <c r="A9" s="129" t="s">
        <v>95</v>
      </c>
      <c r="B9" s="130" t="s">
        <v>96</v>
      </c>
      <c r="C9" s="131">
        <f>SUM(C10:C17)</f>
        <v>400281.9</v>
      </c>
      <c r="D9" s="131">
        <f>SUM(D10:D17)</f>
        <v>52458.7</v>
      </c>
      <c r="E9" s="131">
        <f>D9/C9*100</f>
        <v>13.105438941905689</v>
      </c>
      <c r="F9" s="131">
        <f>F10+F11+F12+F13+F14+F16+F17+F15</f>
        <v>189324.6</v>
      </c>
      <c r="G9" s="131">
        <f>SUM(G10:G17)</f>
        <v>34071</v>
      </c>
      <c r="H9" s="132">
        <f>G9/F9*100</f>
        <v>17.996076579588703</v>
      </c>
      <c r="I9" s="131">
        <f>SUM(I10:I17)</f>
        <v>579856.9</v>
      </c>
      <c r="J9" s="131">
        <f>SUM(J10:J17)</f>
        <v>86529.7</v>
      </c>
      <c r="K9" s="133">
        <f>J9/I9*100</f>
        <v>14.922595557628096</v>
      </c>
    </row>
    <row r="10" spans="1:11" ht="27">
      <c r="A10" s="134" t="s">
        <v>97</v>
      </c>
      <c r="B10" s="135" t="s">
        <v>98</v>
      </c>
      <c r="C10" s="136">
        <v>4507.4</v>
      </c>
      <c r="D10" s="136">
        <v>766.4</v>
      </c>
      <c r="E10" s="136">
        <f>D10/C10*100</f>
        <v>17.00315037493899</v>
      </c>
      <c r="F10" s="137">
        <v>43873.1</v>
      </c>
      <c r="G10" s="137">
        <v>8529.9</v>
      </c>
      <c r="H10" s="137">
        <f>G10/F10*100</f>
        <v>19.442209463201827</v>
      </c>
      <c r="I10" s="138">
        <f>C10+F10</f>
        <v>48380.5</v>
      </c>
      <c r="J10" s="139">
        <f>D10+G10</f>
        <v>9296.3</v>
      </c>
      <c r="K10" s="140">
        <f aca="true" t="shared" si="0" ref="K10:K76">J10/I10*100</f>
        <v>19.214972974648877</v>
      </c>
    </row>
    <row r="11" spans="1:11" ht="27">
      <c r="A11" s="134" t="s">
        <v>99</v>
      </c>
      <c r="B11" s="135" t="s">
        <v>100</v>
      </c>
      <c r="C11" s="136">
        <v>7226.9</v>
      </c>
      <c r="D11" s="136">
        <v>1765.5</v>
      </c>
      <c r="E11" s="136">
        <f aca="true" t="shared" si="1" ref="E11:E19">D11/C11*100</f>
        <v>24.429561776141913</v>
      </c>
      <c r="F11" s="137">
        <v>0</v>
      </c>
      <c r="G11" s="137"/>
      <c r="H11" s="137">
        <v>0</v>
      </c>
      <c r="I11" s="138">
        <f>C11+F11</f>
        <v>7226.9</v>
      </c>
      <c r="J11" s="139">
        <f>D11+G11</f>
        <v>1765.5</v>
      </c>
      <c r="K11" s="140">
        <f t="shared" si="0"/>
        <v>24.429561776141913</v>
      </c>
    </row>
    <row r="12" spans="1:11" ht="27">
      <c r="A12" s="134" t="s">
        <v>101</v>
      </c>
      <c r="B12" s="135" t="s">
        <v>102</v>
      </c>
      <c r="C12" s="136">
        <v>160413.2</v>
      </c>
      <c r="D12" s="136">
        <v>30371.8</v>
      </c>
      <c r="E12" s="136">
        <f t="shared" si="1"/>
        <v>18.933479289734258</v>
      </c>
      <c r="F12" s="137">
        <v>117663.6</v>
      </c>
      <c r="G12" s="137">
        <v>22063.2</v>
      </c>
      <c r="H12" s="137">
        <f>G12/F12*100</f>
        <v>18.751083597646172</v>
      </c>
      <c r="I12" s="138">
        <f>C12+F12</f>
        <v>278076.80000000005</v>
      </c>
      <c r="J12" s="139">
        <f>D12+G12</f>
        <v>52435</v>
      </c>
      <c r="K12" s="140">
        <f t="shared" si="0"/>
        <v>18.856301568487552</v>
      </c>
    </row>
    <row r="13" spans="1:11" ht="13.5">
      <c r="A13" s="134" t="s">
        <v>103</v>
      </c>
      <c r="B13" s="135" t="s">
        <v>104</v>
      </c>
      <c r="C13" s="136">
        <v>11.3</v>
      </c>
      <c r="D13" s="136"/>
      <c r="E13" s="136">
        <f t="shared" si="1"/>
        <v>0</v>
      </c>
      <c r="F13" s="137">
        <v>0</v>
      </c>
      <c r="G13" s="137"/>
      <c r="H13" s="137">
        <v>0</v>
      </c>
      <c r="I13" s="138">
        <f>C13+F13</f>
        <v>11.3</v>
      </c>
      <c r="J13" s="139">
        <f>D13+G13</f>
        <v>0</v>
      </c>
      <c r="K13" s="140">
        <f t="shared" si="0"/>
        <v>0</v>
      </c>
    </row>
    <row r="14" spans="1:11" ht="27">
      <c r="A14" s="134" t="s">
        <v>105</v>
      </c>
      <c r="B14" s="135" t="s">
        <v>106</v>
      </c>
      <c r="C14" s="136">
        <v>29472</v>
      </c>
      <c r="D14" s="136">
        <v>6931.5</v>
      </c>
      <c r="E14" s="136">
        <f t="shared" si="1"/>
        <v>23.5189332247557</v>
      </c>
      <c r="F14" s="137">
        <v>0</v>
      </c>
      <c r="G14" s="137"/>
      <c r="H14" s="137">
        <v>0</v>
      </c>
      <c r="I14" s="138">
        <f>C14+F14</f>
        <v>29472</v>
      </c>
      <c r="J14" s="139">
        <f>D14+G14</f>
        <v>6931.5</v>
      </c>
      <c r="K14" s="140">
        <f t="shared" si="0"/>
        <v>23.5189332247557</v>
      </c>
    </row>
    <row r="15" spans="1:11" ht="27">
      <c r="A15" s="134" t="s">
        <v>107</v>
      </c>
      <c r="B15" s="135" t="s">
        <v>108</v>
      </c>
      <c r="C15" s="136"/>
      <c r="D15" s="136"/>
      <c r="E15" s="136"/>
      <c r="F15" s="137">
        <v>232</v>
      </c>
      <c r="G15" s="137"/>
      <c r="H15" s="137">
        <f>G15/F15*100</f>
        <v>0</v>
      </c>
      <c r="I15" s="138">
        <f>C15+F15</f>
        <v>232</v>
      </c>
      <c r="J15" s="139">
        <f>D15+G15</f>
        <v>0</v>
      </c>
      <c r="K15" s="140">
        <f t="shared" si="0"/>
        <v>0</v>
      </c>
    </row>
    <row r="16" spans="1:11" ht="13.5">
      <c r="A16" s="141" t="s">
        <v>109</v>
      </c>
      <c r="B16" s="135" t="s">
        <v>110</v>
      </c>
      <c r="C16" s="136">
        <v>15000</v>
      </c>
      <c r="D16" s="136"/>
      <c r="E16" s="136">
        <f t="shared" si="1"/>
        <v>0</v>
      </c>
      <c r="F16" s="137">
        <v>950</v>
      </c>
      <c r="G16" s="137"/>
      <c r="H16" s="137">
        <f>G16/F16*100</f>
        <v>0</v>
      </c>
      <c r="I16" s="138">
        <f>C16+F16</f>
        <v>15950</v>
      </c>
      <c r="J16" s="139">
        <f>D16+G16</f>
        <v>0</v>
      </c>
      <c r="K16" s="140">
        <f t="shared" si="0"/>
        <v>0</v>
      </c>
    </row>
    <row r="17" spans="1:11" ht="13.5">
      <c r="A17" s="134" t="s">
        <v>111</v>
      </c>
      <c r="B17" s="135" t="s">
        <v>112</v>
      </c>
      <c r="C17" s="136">
        <v>183651.1</v>
      </c>
      <c r="D17" s="136">
        <v>12623.5</v>
      </c>
      <c r="E17" s="136">
        <f t="shared" si="1"/>
        <v>6.873631576396765</v>
      </c>
      <c r="F17" s="137">
        <v>26605.9</v>
      </c>
      <c r="G17" s="137">
        <v>3477.9</v>
      </c>
      <c r="H17" s="137">
        <f>G17/F17*100</f>
        <v>13.07191262088484</v>
      </c>
      <c r="I17" s="138">
        <f>C17+F17-8749.6-1000</f>
        <v>200507.4</v>
      </c>
      <c r="J17" s="139">
        <f>D17+G17</f>
        <v>16101.4</v>
      </c>
      <c r="K17" s="140">
        <f t="shared" si="0"/>
        <v>8.030327060248151</v>
      </c>
    </row>
    <row r="18" spans="1:11" ht="13.5">
      <c r="A18" s="129" t="s">
        <v>113</v>
      </c>
      <c r="B18" s="130" t="s">
        <v>114</v>
      </c>
      <c r="C18" s="131">
        <f aca="true" t="shared" si="2" ref="C18:J18">C19</f>
        <v>3702</v>
      </c>
      <c r="D18" s="131">
        <f t="shared" si="2"/>
        <v>357.3</v>
      </c>
      <c r="E18" s="131">
        <f t="shared" si="2"/>
        <v>9.651539708265803</v>
      </c>
      <c r="F18" s="131">
        <f t="shared" si="2"/>
        <v>3702</v>
      </c>
      <c r="G18" s="131">
        <f t="shared" si="2"/>
        <v>352.8</v>
      </c>
      <c r="H18" s="142">
        <f t="shared" si="2"/>
        <v>9.52998379254457</v>
      </c>
      <c r="I18" s="131">
        <f t="shared" si="2"/>
        <v>3702</v>
      </c>
      <c r="J18" s="131">
        <f t="shared" si="2"/>
        <v>352.8</v>
      </c>
      <c r="K18" s="143">
        <f t="shared" si="0"/>
        <v>9.52998379254457</v>
      </c>
    </row>
    <row r="19" spans="1:11" ht="13.5">
      <c r="A19" s="134" t="s">
        <v>115</v>
      </c>
      <c r="B19" s="135" t="s">
        <v>116</v>
      </c>
      <c r="C19" s="136">
        <v>3702</v>
      </c>
      <c r="D19" s="144">
        <v>357.3</v>
      </c>
      <c r="E19" s="136">
        <f t="shared" si="1"/>
        <v>9.651539708265803</v>
      </c>
      <c r="F19" s="137">
        <v>3702</v>
      </c>
      <c r="G19" s="137">
        <v>352.8</v>
      </c>
      <c r="H19" s="137">
        <f>G19/F19*100</f>
        <v>9.52998379254457</v>
      </c>
      <c r="I19" s="138">
        <f>C19+F19-3702</f>
        <v>3702</v>
      </c>
      <c r="J19" s="139">
        <f>D19+G19-357.3</f>
        <v>352.8</v>
      </c>
      <c r="K19" s="140">
        <f t="shared" si="0"/>
        <v>9.52998379254457</v>
      </c>
    </row>
    <row r="20" spans="1:11" ht="12.75">
      <c r="A20" s="145" t="s">
        <v>117</v>
      </c>
      <c r="B20" s="146" t="s">
        <v>118</v>
      </c>
      <c r="C20" s="147">
        <f>C23+C24+C22</f>
        <v>13691.400000000001</v>
      </c>
      <c r="D20" s="147">
        <f>D23+D24+D22</f>
        <v>748.5999999999999</v>
      </c>
      <c r="E20" s="147">
        <f>D20/C20*100</f>
        <v>5.467665834027198</v>
      </c>
      <c r="F20" s="147">
        <f>F23+F24+F22</f>
        <v>4704.299999999999</v>
      </c>
      <c r="G20" s="147">
        <f>G23+G24+G22</f>
        <v>182.8</v>
      </c>
      <c r="H20" s="147">
        <f>G20/F20*100</f>
        <v>3.8858066024700815</v>
      </c>
      <c r="I20" s="147">
        <f>I23+I24+I22</f>
        <v>16727.1</v>
      </c>
      <c r="J20" s="147">
        <f>SUM(J22:J24)</f>
        <v>885.4</v>
      </c>
      <c r="K20" s="147">
        <f>J20/I20*100</f>
        <v>5.293206832027071</v>
      </c>
    </row>
    <row r="21" spans="1:11" ht="12.75">
      <c r="A21" s="145"/>
      <c r="B21" s="146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3.5">
      <c r="A22" s="141" t="s">
        <v>119</v>
      </c>
      <c r="B22" s="135" t="s">
        <v>120</v>
      </c>
      <c r="C22" s="136">
        <v>6524.6</v>
      </c>
      <c r="D22" s="136">
        <v>522.8</v>
      </c>
      <c r="E22" s="136">
        <f aca="true" t="shared" si="3" ref="E22:E87">D22/C22*100</f>
        <v>8.012751739570241</v>
      </c>
      <c r="F22" s="137">
        <v>874</v>
      </c>
      <c r="G22" s="137">
        <v>32.5</v>
      </c>
      <c r="H22" s="137">
        <f>G22/F22*100</f>
        <v>3.718535469107551</v>
      </c>
      <c r="I22" s="138">
        <f>C22+F22-874</f>
        <v>6524.6</v>
      </c>
      <c r="J22" s="139">
        <f>D22+G22-46</f>
        <v>509.29999999999995</v>
      </c>
      <c r="K22" s="140">
        <f>J22/I22*100</f>
        <v>7.805842503755018</v>
      </c>
    </row>
    <row r="23" spans="1:11" ht="27">
      <c r="A23" s="134" t="s">
        <v>121</v>
      </c>
      <c r="B23" s="135" t="s">
        <v>122</v>
      </c>
      <c r="C23" s="136">
        <v>6545.7</v>
      </c>
      <c r="D23" s="136">
        <v>225.8</v>
      </c>
      <c r="E23" s="136">
        <f t="shared" si="3"/>
        <v>3.4495928624898795</v>
      </c>
      <c r="F23" s="137">
        <v>3468.2</v>
      </c>
      <c r="G23" s="137">
        <v>150.3</v>
      </c>
      <c r="H23" s="137">
        <f>G23/F23*100</f>
        <v>4.333660111873595</v>
      </c>
      <c r="I23" s="138">
        <f>C23+F23-545.7</f>
        <v>9468.199999999999</v>
      </c>
      <c r="J23" s="139">
        <f>D23+G23</f>
        <v>376.1</v>
      </c>
      <c r="K23" s="140">
        <f>J23/I23*100</f>
        <v>3.972243932320822</v>
      </c>
    </row>
    <row r="24" spans="1:11" ht="41.25">
      <c r="A24" s="141" t="s">
        <v>123</v>
      </c>
      <c r="B24" s="135" t="s">
        <v>124</v>
      </c>
      <c r="C24" s="136">
        <v>621.1</v>
      </c>
      <c r="D24" s="136"/>
      <c r="E24" s="136">
        <f t="shared" si="3"/>
        <v>0</v>
      </c>
      <c r="F24" s="137">
        <v>362.1</v>
      </c>
      <c r="G24" s="137"/>
      <c r="H24" s="137">
        <f>G24/F24*100</f>
        <v>0</v>
      </c>
      <c r="I24" s="138">
        <f>C24+F24-248.9</f>
        <v>734.3000000000001</v>
      </c>
      <c r="J24" s="138">
        <f>D24+G24</f>
        <v>0</v>
      </c>
      <c r="K24" s="140">
        <f>J24/I24*100</f>
        <v>0</v>
      </c>
    </row>
    <row r="25" spans="1:11" ht="13.5">
      <c r="A25" s="129" t="s">
        <v>125</v>
      </c>
      <c r="B25" s="130" t="s">
        <v>126</v>
      </c>
      <c r="C25" s="131">
        <f>SUM(C26:C43)</f>
        <v>148911.80000000002</v>
      </c>
      <c r="D25" s="131">
        <f>SUM(D26:D42)</f>
        <v>11862.6</v>
      </c>
      <c r="E25" s="131">
        <f>D25/C25*100</f>
        <v>7.966192068056392</v>
      </c>
      <c r="F25" s="131">
        <f>SUM(F26:F43)</f>
        <v>83315.3</v>
      </c>
      <c r="G25" s="131">
        <f>SUM(G26:G43)</f>
        <v>5082</v>
      </c>
      <c r="H25" s="132">
        <f>G25/F25*100</f>
        <v>6.099719979403543</v>
      </c>
      <c r="I25" s="131">
        <f>SUM(I26:I43)</f>
        <v>211642.7</v>
      </c>
      <c r="J25" s="131">
        <f>SUM(J26:J43)</f>
        <v>16944.6</v>
      </c>
      <c r="K25" s="133">
        <f t="shared" si="0"/>
        <v>8.00622936675822</v>
      </c>
    </row>
    <row r="26" spans="1:11" ht="54.75">
      <c r="A26" s="141" t="s">
        <v>127</v>
      </c>
      <c r="B26" s="148" t="s">
        <v>128</v>
      </c>
      <c r="C26" s="136">
        <v>17588.5</v>
      </c>
      <c r="D26" s="136">
        <v>260</v>
      </c>
      <c r="E26" s="136">
        <f t="shared" si="3"/>
        <v>1.4782386218267618</v>
      </c>
      <c r="F26" s="136">
        <v>2287.7</v>
      </c>
      <c r="G26" s="137">
        <v>299.8</v>
      </c>
      <c r="H26" s="137">
        <f>G26/F26*100</f>
        <v>13.104865148402329</v>
      </c>
      <c r="I26" s="138">
        <f>C26+F26-2108</f>
        <v>17768.2</v>
      </c>
      <c r="J26" s="138">
        <f>D26+G26</f>
        <v>559.8</v>
      </c>
      <c r="K26" s="140">
        <f t="shared" si="0"/>
        <v>3.150572370864803</v>
      </c>
    </row>
    <row r="27" spans="1:11" ht="13.5">
      <c r="A27" s="134" t="s">
        <v>129</v>
      </c>
      <c r="B27" s="135" t="s">
        <v>130</v>
      </c>
      <c r="C27" s="136">
        <v>39735.6</v>
      </c>
      <c r="D27" s="136">
        <v>8167.4</v>
      </c>
      <c r="E27" s="136">
        <f t="shared" si="3"/>
        <v>20.554364348342542</v>
      </c>
      <c r="F27" s="137">
        <v>0</v>
      </c>
      <c r="G27" s="137"/>
      <c r="H27" s="137">
        <v>0</v>
      </c>
      <c r="I27" s="149">
        <f>C27+F27</f>
        <v>39735.6</v>
      </c>
      <c r="J27" s="139">
        <f>D27+G27</f>
        <v>8167.4</v>
      </c>
      <c r="K27" s="140">
        <f t="shared" si="0"/>
        <v>20.554364348342542</v>
      </c>
    </row>
    <row r="28" spans="1:11" ht="13.5">
      <c r="A28" s="134" t="s">
        <v>131</v>
      </c>
      <c r="B28" s="135" t="s">
        <v>132</v>
      </c>
      <c r="C28" s="136">
        <v>7000</v>
      </c>
      <c r="D28" s="136">
        <v>576.3</v>
      </c>
      <c r="E28" s="136">
        <f t="shared" si="3"/>
        <v>8.232857142857142</v>
      </c>
      <c r="F28" s="137">
        <v>0</v>
      </c>
      <c r="G28" s="137"/>
      <c r="H28" s="137">
        <v>0</v>
      </c>
      <c r="I28" s="138">
        <f>C28+F28</f>
        <v>7000</v>
      </c>
      <c r="J28" s="139">
        <f>D28+G28</f>
        <v>576.3</v>
      </c>
      <c r="K28" s="140">
        <f t="shared" si="0"/>
        <v>8.232857142857142</v>
      </c>
    </row>
    <row r="29" spans="1:11" ht="27">
      <c r="A29" s="134" t="s">
        <v>131</v>
      </c>
      <c r="B29" s="135" t="s">
        <v>133</v>
      </c>
      <c r="C29" s="136">
        <v>18607</v>
      </c>
      <c r="D29" s="136"/>
      <c r="E29" s="136">
        <f t="shared" si="3"/>
        <v>0</v>
      </c>
      <c r="F29" s="137">
        <v>13884</v>
      </c>
      <c r="G29" s="137">
        <v>875.9</v>
      </c>
      <c r="H29" s="137">
        <f>G29/F29*100</f>
        <v>6.308700662633247</v>
      </c>
      <c r="I29" s="138">
        <f>C29+F29-2107</f>
        <v>30384</v>
      </c>
      <c r="J29" s="139">
        <f>D29+G29</f>
        <v>875.9</v>
      </c>
      <c r="K29" s="140">
        <f t="shared" si="0"/>
        <v>2.8827672459189047</v>
      </c>
    </row>
    <row r="30" spans="1:11" ht="13.5">
      <c r="A30" s="134" t="s">
        <v>131</v>
      </c>
      <c r="B30" s="135" t="s">
        <v>134</v>
      </c>
      <c r="C30" s="136">
        <v>16500</v>
      </c>
      <c r="D30" s="136"/>
      <c r="E30" s="136">
        <f t="shared" si="3"/>
        <v>0</v>
      </c>
      <c r="F30" s="137">
        <v>0</v>
      </c>
      <c r="G30" s="137"/>
      <c r="H30" s="137">
        <v>0</v>
      </c>
      <c r="I30" s="138">
        <f>C30+F30</f>
        <v>16500</v>
      </c>
      <c r="J30" s="139">
        <f>D30+G30</f>
        <v>0</v>
      </c>
      <c r="K30" s="140">
        <f t="shared" si="0"/>
        <v>0</v>
      </c>
    </row>
    <row r="31" spans="1:11" ht="54.75">
      <c r="A31" s="134" t="s">
        <v>135</v>
      </c>
      <c r="B31" s="150" t="s">
        <v>136</v>
      </c>
      <c r="C31" s="144">
        <v>2064.2</v>
      </c>
      <c r="D31" s="144">
        <v>2000</v>
      </c>
      <c r="E31" s="136">
        <f t="shared" si="3"/>
        <v>96.88983625617674</v>
      </c>
      <c r="F31" s="137">
        <v>478.5</v>
      </c>
      <c r="G31" s="137"/>
      <c r="H31" s="137">
        <f aca="true" t="shared" si="4" ref="H31:H37">G31/F31*100</f>
        <v>0</v>
      </c>
      <c r="I31" s="138">
        <f>C31+F31</f>
        <v>2542.7</v>
      </c>
      <c r="J31" s="139">
        <f>D31+G31</f>
        <v>2000</v>
      </c>
      <c r="K31" s="140">
        <f t="shared" si="0"/>
        <v>78.65654619105675</v>
      </c>
    </row>
    <row r="32" spans="1:11" ht="54.75">
      <c r="A32" s="141" t="s">
        <v>135</v>
      </c>
      <c r="B32" s="150" t="s">
        <v>137</v>
      </c>
      <c r="C32" s="136">
        <v>10608.3</v>
      </c>
      <c r="D32" s="136"/>
      <c r="E32" s="136">
        <f t="shared" si="3"/>
        <v>0</v>
      </c>
      <c r="F32" s="137">
        <v>9388.4</v>
      </c>
      <c r="G32" s="137"/>
      <c r="H32" s="137">
        <f t="shared" si="4"/>
        <v>0</v>
      </c>
      <c r="I32" s="138">
        <f>C32+F32-9388.4</f>
        <v>10608.299999999997</v>
      </c>
      <c r="J32" s="139">
        <f>D32+G32</f>
        <v>0</v>
      </c>
      <c r="K32" s="140">
        <f>J32/I32*100</f>
        <v>0</v>
      </c>
    </row>
    <row r="33" spans="1:11" ht="41.25">
      <c r="A33" s="141" t="s">
        <v>135</v>
      </c>
      <c r="B33" s="135" t="s">
        <v>138</v>
      </c>
      <c r="C33" s="136">
        <v>3380.3</v>
      </c>
      <c r="D33" s="136">
        <v>89.1</v>
      </c>
      <c r="E33" s="136">
        <f t="shared" si="3"/>
        <v>2.6358607224210866</v>
      </c>
      <c r="F33" s="137">
        <v>2300</v>
      </c>
      <c r="G33" s="137"/>
      <c r="H33" s="137">
        <f t="shared" si="4"/>
        <v>0</v>
      </c>
      <c r="I33" s="138">
        <f>C33+F33-2300</f>
        <v>3380.3</v>
      </c>
      <c r="J33" s="139">
        <f>D33+G33</f>
        <v>89.1</v>
      </c>
      <c r="K33" s="140">
        <f>J33/I33*100</f>
        <v>2.6358607224210866</v>
      </c>
    </row>
    <row r="34" spans="1:11" ht="82.5">
      <c r="A34" s="141" t="s">
        <v>135</v>
      </c>
      <c r="B34" s="135" t="s">
        <v>139</v>
      </c>
      <c r="C34" s="136">
        <v>3500</v>
      </c>
      <c r="D34" s="136"/>
      <c r="E34" s="136">
        <f t="shared" si="3"/>
        <v>0</v>
      </c>
      <c r="F34" s="137">
        <v>3500</v>
      </c>
      <c r="G34" s="137"/>
      <c r="H34" s="137">
        <f t="shared" si="4"/>
        <v>0</v>
      </c>
      <c r="I34" s="138">
        <f>C34+F34-3500</f>
        <v>3500</v>
      </c>
      <c r="J34" s="138">
        <f>D34+G34</f>
        <v>0</v>
      </c>
      <c r="K34" s="140">
        <f>J34/I34*100</f>
        <v>0</v>
      </c>
    </row>
    <row r="35" spans="1:11" ht="41.25">
      <c r="A35" s="141" t="s">
        <v>135</v>
      </c>
      <c r="B35" s="135" t="s">
        <v>140</v>
      </c>
      <c r="C35" s="136"/>
      <c r="D35" s="136"/>
      <c r="E35" s="136"/>
      <c r="F35" s="137">
        <v>46434.1</v>
      </c>
      <c r="G35" s="137">
        <v>3060.5</v>
      </c>
      <c r="H35" s="137">
        <f t="shared" si="4"/>
        <v>6.591061310545483</v>
      </c>
      <c r="I35" s="138">
        <f>C35+F35</f>
        <v>46434.1</v>
      </c>
      <c r="J35" s="139">
        <f>D35+G35</f>
        <v>3060.5</v>
      </c>
      <c r="K35" s="140">
        <f t="shared" si="0"/>
        <v>6.591061310545483</v>
      </c>
    </row>
    <row r="36" spans="1:11" ht="13.5">
      <c r="A36" s="134" t="s">
        <v>141</v>
      </c>
      <c r="B36" s="135" t="s">
        <v>142</v>
      </c>
      <c r="C36" s="136">
        <v>4355.8</v>
      </c>
      <c r="D36" s="136">
        <v>482.6</v>
      </c>
      <c r="E36" s="136">
        <f t="shared" si="3"/>
        <v>11.079480233252216</v>
      </c>
      <c r="F36" s="137">
        <v>3861.6</v>
      </c>
      <c r="G36" s="137">
        <v>845.8</v>
      </c>
      <c r="H36" s="151">
        <f t="shared" si="4"/>
        <v>21.902838201781645</v>
      </c>
      <c r="I36" s="138">
        <f>C36+F36</f>
        <v>8217.4</v>
      </c>
      <c r="J36" s="139">
        <f>D36+G36</f>
        <v>1328.4</v>
      </c>
      <c r="K36" s="140">
        <f t="shared" si="0"/>
        <v>16.165697179156428</v>
      </c>
    </row>
    <row r="37" spans="1:11" ht="54.75">
      <c r="A37" s="134" t="s">
        <v>143</v>
      </c>
      <c r="B37" s="150" t="s">
        <v>144</v>
      </c>
      <c r="C37" s="136">
        <v>3495.4</v>
      </c>
      <c r="D37" s="136">
        <v>66.5</v>
      </c>
      <c r="E37" s="144">
        <f t="shared" si="3"/>
        <v>1.9025004291354353</v>
      </c>
      <c r="F37" s="137">
        <v>1181</v>
      </c>
      <c r="G37" s="137"/>
      <c r="H37" s="151">
        <f t="shared" si="4"/>
        <v>0</v>
      </c>
      <c r="I37" s="138">
        <f>C37+F37-1181</f>
        <v>3495.3999999999996</v>
      </c>
      <c r="J37" s="139">
        <f>D37+G37</f>
        <v>66.5</v>
      </c>
      <c r="K37" s="140">
        <f t="shared" si="0"/>
        <v>1.9025004291354353</v>
      </c>
    </row>
    <row r="38" spans="1:11" ht="41.25">
      <c r="A38" s="134" t="s">
        <v>143</v>
      </c>
      <c r="B38" s="150" t="s">
        <v>145</v>
      </c>
      <c r="C38" s="136">
        <f>10687.6+562.5</f>
        <v>11250.1</v>
      </c>
      <c r="D38" s="136"/>
      <c r="E38" s="144">
        <f t="shared" si="3"/>
        <v>0</v>
      </c>
      <c r="F38" s="137"/>
      <c r="G38" s="137"/>
      <c r="H38" s="151"/>
      <c r="I38" s="138">
        <f>C38+F38</f>
        <v>11250.1</v>
      </c>
      <c r="J38" s="139">
        <f>D38+G38</f>
        <v>0</v>
      </c>
      <c r="K38" s="140">
        <f t="shared" si="0"/>
        <v>0</v>
      </c>
    </row>
    <row r="39" spans="1:11" ht="69">
      <c r="A39" s="134" t="s">
        <v>143</v>
      </c>
      <c r="B39" s="150" t="s">
        <v>146</v>
      </c>
      <c r="C39" s="136">
        <v>4000</v>
      </c>
      <c r="D39" s="137"/>
      <c r="E39" s="136">
        <f t="shared" si="3"/>
        <v>0</v>
      </c>
      <c r="F39" s="137">
        <v>0</v>
      </c>
      <c r="G39" s="137"/>
      <c r="H39" s="151">
        <v>0</v>
      </c>
      <c r="I39" s="138">
        <f>C39+F39</f>
        <v>4000</v>
      </c>
      <c r="J39" s="139">
        <f>D39+G39</f>
        <v>0</v>
      </c>
      <c r="K39" s="140">
        <f t="shared" si="0"/>
        <v>0</v>
      </c>
    </row>
    <row r="40" spans="1:11" ht="82.5">
      <c r="A40" s="141" t="s">
        <v>143</v>
      </c>
      <c r="B40" s="150" t="s">
        <v>147</v>
      </c>
      <c r="C40" s="136">
        <v>4956.9</v>
      </c>
      <c r="D40" s="137"/>
      <c r="E40" s="144">
        <f t="shared" si="3"/>
        <v>0</v>
      </c>
      <c r="F40" s="137"/>
      <c r="G40" s="137"/>
      <c r="H40" s="151"/>
      <c r="I40" s="138">
        <f>C40+F40</f>
        <v>4956.9</v>
      </c>
      <c r="J40" s="139">
        <f>D40+G40</f>
        <v>0</v>
      </c>
      <c r="K40" s="140">
        <f t="shared" si="0"/>
        <v>0</v>
      </c>
    </row>
    <row r="41" spans="1:11" ht="41.25">
      <c r="A41" s="141" t="s">
        <v>143</v>
      </c>
      <c r="B41" s="150" t="s">
        <v>148</v>
      </c>
      <c r="C41" s="136">
        <v>1651.2</v>
      </c>
      <c r="D41" s="137">
        <v>220.7</v>
      </c>
      <c r="E41" s="144">
        <f t="shared" si="3"/>
        <v>13.366036821705427</v>
      </c>
      <c r="F41" s="137">
        <v>0</v>
      </c>
      <c r="G41" s="137"/>
      <c r="H41" s="151">
        <v>0</v>
      </c>
      <c r="I41" s="138">
        <f>C41+F41</f>
        <v>1651.2</v>
      </c>
      <c r="J41" s="139">
        <f>D41+G41</f>
        <v>220.7</v>
      </c>
      <c r="K41" s="140">
        <f t="shared" si="0"/>
        <v>13.366036821705427</v>
      </c>
    </row>
    <row r="42" spans="1:11" ht="41.25">
      <c r="A42" s="141" t="s">
        <v>143</v>
      </c>
      <c r="B42" s="150" t="s">
        <v>149</v>
      </c>
      <c r="C42" s="136">
        <v>218.5</v>
      </c>
      <c r="D42" s="137"/>
      <c r="E42" s="144">
        <f t="shared" si="3"/>
        <v>0</v>
      </c>
      <c r="F42" s="137"/>
      <c r="G42" s="137"/>
      <c r="H42" s="151">
        <v>0</v>
      </c>
      <c r="I42" s="138">
        <f>C42+F42</f>
        <v>218.5</v>
      </c>
      <c r="J42" s="139">
        <f>D42+G42</f>
        <v>0</v>
      </c>
      <c r="K42" s="140">
        <f t="shared" si="0"/>
        <v>0</v>
      </c>
    </row>
    <row r="43" spans="1:11" ht="27">
      <c r="A43" s="141" t="s">
        <v>143</v>
      </c>
      <c r="B43" s="150" t="s">
        <v>150</v>
      </c>
      <c r="C43" s="136"/>
      <c r="D43" s="137"/>
      <c r="E43" s="144"/>
      <c r="F43" s="137"/>
      <c r="G43" s="137"/>
      <c r="H43" s="151"/>
      <c r="I43" s="138">
        <f>C43+F43</f>
        <v>0</v>
      </c>
      <c r="J43" s="139">
        <f>D43+G43</f>
        <v>0</v>
      </c>
      <c r="K43" s="140"/>
    </row>
    <row r="44" spans="1:11" ht="13.5">
      <c r="A44" s="129" t="s">
        <v>151</v>
      </c>
      <c r="B44" s="130" t="s">
        <v>152</v>
      </c>
      <c r="C44" s="152">
        <f>SUM(C45:C63)</f>
        <v>233938.90000000002</v>
      </c>
      <c r="D44" s="152">
        <f>SUM(D45:D63)</f>
        <v>5211.4</v>
      </c>
      <c r="E44" s="131">
        <f t="shared" si="3"/>
        <v>2.2276756879680972</v>
      </c>
      <c r="F44" s="153">
        <f>SUM(F45:F63)</f>
        <v>121838.90000000001</v>
      </c>
      <c r="G44" s="153">
        <f>SUM(G45:G63)</f>
        <v>9104.8</v>
      </c>
      <c r="H44" s="153">
        <f>G44/F44*100</f>
        <v>7.472818615401156</v>
      </c>
      <c r="I44" s="152">
        <f>SUM(I45:I63)</f>
        <v>318093.19999999995</v>
      </c>
      <c r="J44" s="152">
        <f>SUM(J45:J63)</f>
        <v>14316.2</v>
      </c>
      <c r="K44" s="133">
        <f t="shared" si="0"/>
        <v>4.500630632783097</v>
      </c>
    </row>
    <row r="45" spans="1:11" ht="96">
      <c r="A45" s="134" t="s">
        <v>153</v>
      </c>
      <c r="B45" s="135" t="s">
        <v>154</v>
      </c>
      <c r="C45" s="136">
        <f>43547+2291.9</f>
        <v>45838.9</v>
      </c>
      <c r="D45" s="136"/>
      <c r="E45" s="136">
        <f t="shared" si="3"/>
        <v>0</v>
      </c>
      <c r="F45" s="137">
        <v>0</v>
      </c>
      <c r="G45" s="137">
        <v>0</v>
      </c>
      <c r="H45" s="137">
        <v>0</v>
      </c>
      <c r="I45" s="138">
        <f>C45+F45</f>
        <v>45838.9</v>
      </c>
      <c r="J45" s="139">
        <f>D45+G45</f>
        <v>0</v>
      </c>
      <c r="K45" s="140">
        <f t="shared" si="0"/>
        <v>0</v>
      </c>
    </row>
    <row r="46" spans="1:11" ht="54.75">
      <c r="A46" s="134" t="s">
        <v>153</v>
      </c>
      <c r="B46" s="135" t="s">
        <v>155</v>
      </c>
      <c r="C46" s="136">
        <v>1740</v>
      </c>
      <c r="D46" s="144">
        <v>295.4</v>
      </c>
      <c r="E46" s="136">
        <f t="shared" si="3"/>
        <v>16.97701149425287</v>
      </c>
      <c r="F46" s="137"/>
      <c r="G46" s="137"/>
      <c r="H46" s="137"/>
      <c r="I46" s="138">
        <f>C46+F46</f>
        <v>1740</v>
      </c>
      <c r="J46" s="139">
        <f>D46+G46</f>
        <v>295.4</v>
      </c>
      <c r="K46" s="140">
        <f t="shared" si="0"/>
        <v>16.97701149425287</v>
      </c>
    </row>
    <row r="47" spans="1:11" ht="41.25">
      <c r="A47" s="134" t="s">
        <v>153</v>
      </c>
      <c r="B47" s="135" t="s">
        <v>156</v>
      </c>
      <c r="C47" s="136">
        <v>20000</v>
      </c>
      <c r="D47" s="144"/>
      <c r="E47" s="136"/>
      <c r="F47" s="137"/>
      <c r="G47" s="137"/>
      <c r="H47" s="137"/>
      <c r="I47" s="138">
        <f>C47+F47</f>
        <v>20000</v>
      </c>
      <c r="J47" s="139">
        <f>D47+G47</f>
        <v>0</v>
      </c>
      <c r="K47" s="140">
        <f t="shared" si="0"/>
        <v>0</v>
      </c>
    </row>
    <row r="48" spans="1:11" ht="41.25">
      <c r="A48" s="141" t="s">
        <v>153</v>
      </c>
      <c r="B48" s="135" t="s">
        <v>157</v>
      </c>
      <c r="C48" s="136">
        <v>500</v>
      </c>
      <c r="D48" s="136"/>
      <c r="E48" s="136"/>
      <c r="F48" s="137">
        <v>23138.2</v>
      </c>
      <c r="G48" s="137">
        <v>210.7</v>
      </c>
      <c r="H48" s="137">
        <f>G48/F48*100</f>
        <v>0.9106153460511188</v>
      </c>
      <c r="I48" s="138">
        <f>C48+F48</f>
        <v>23638.2</v>
      </c>
      <c r="J48" s="139">
        <f>D48+G48</f>
        <v>210.7</v>
      </c>
      <c r="K48" s="140">
        <f t="shared" si="0"/>
        <v>0.8913538255873966</v>
      </c>
    </row>
    <row r="49" spans="1:11" ht="151.5">
      <c r="A49" s="134" t="s">
        <v>158</v>
      </c>
      <c r="B49" s="135" t="s">
        <v>159</v>
      </c>
      <c r="C49" s="136">
        <v>23511.8</v>
      </c>
      <c r="D49" s="136">
        <v>1256.4</v>
      </c>
      <c r="E49" s="136">
        <f t="shared" si="3"/>
        <v>5.343699759269814</v>
      </c>
      <c r="F49" s="137"/>
      <c r="G49" s="137"/>
      <c r="H49" s="137"/>
      <c r="I49" s="138">
        <f>C49+F49</f>
        <v>23511.8</v>
      </c>
      <c r="J49" s="139">
        <f>D49+G49</f>
        <v>1256.4</v>
      </c>
      <c r="K49" s="140">
        <f t="shared" si="0"/>
        <v>5.343699759269814</v>
      </c>
    </row>
    <row r="50" spans="1:11" ht="151.5">
      <c r="A50" s="134" t="s">
        <v>158</v>
      </c>
      <c r="B50" s="135" t="s">
        <v>160</v>
      </c>
      <c r="C50" s="136">
        <v>12217</v>
      </c>
      <c r="D50" s="136"/>
      <c r="E50" s="136">
        <f t="shared" si="3"/>
        <v>0</v>
      </c>
      <c r="F50" s="137"/>
      <c r="G50" s="137"/>
      <c r="H50" s="137"/>
      <c r="I50" s="138">
        <f>C50+F50</f>
        <v>12217</v>
      </c>
      <c r="J50" s="139">
        <f>D50+G50</f>
        <v>0</v>
      </c>
      <c r="K50" s="140">
        <f t="shared" si="0"/>
        <v>0</v>
      </c>
    </row>
    <row r="51" spans="1:11" ht="123.75">
      <c r="A51" s="141" t="s">
        <v>158</v>
      </c>
      <c r="B51" s="135" t="s">
        <v>161</v>
      </c>
      <c r="C51" s="136">
        <v>5190.3</v>
      </c>
      <c r="D51" s="136"/>
      <c r="E51" s="136">
        <f t="shared" si="3"/>
        <v>0</v>
      </c>
      <c r="F51" s="137"/>
      <c r="G51" s="137"/>
      <c r="H51" s="137"/>
      <c r="I51" s="138">
        <f>C51+F51</f>
        <v>5190.3</v>
      </c>
      <c r="J51" s="139">
        <f>D51+G51</f>
        <v>0</v>
      </c>
      <c r="K51" s="140">
        <f t="shared" si="0"/>
        <v>0</v>
      </c>
    </row>
    <row r="52" spans="1:11" ht="123.75">
      <c r="A52" s="141" t="s">
        <v>158</v>
      </c>
      <c r="B52" s="135" t="s">
        <v>162</v>
      </c>
      <c r="C52" s="136">
        <v>7785.4</v>
      </c>
      <c r="D52" s="136"/>
      <c r="E52" s="136">
        <f t="shared" si="3"/>
        <v>0</v>
      </c>
      <c r="F52" s="137"/>
      <c r="G52" s="137"/>
      <c r="H52" s="137"/>
      <c r="I52" s="138">
        <f>C52+F52</f>
        <v>7785.4</v>
      </c>
      <c r="J52" s="139">
        <f>D52+G52</f>
        <v>0</v>
      </c>
      <c r="K52" s="140">
        <f t="shared" si="0"/>
        <v>0</v>
      </c>
    </row>
    <row r="53" spans="1:11" ht="184.5">
      <c r="A53" s="134" t="s">
        <v>158</v>
      </c>
      <c r="B53" s="154" t="s">
        <v>163</v>
      </c>
      <c r="C53" s="136">
        <v>39708.3</v>
      </c>
      <c r="D53" s="136">
        <v>3659.6</v>
      </c>
      <c r="E53" s="136">
        <f>D53/C53*100</f>
        <v>9.21620920563207</v>
      </c>
      <c r="F53" s="137"/>
      <c r="G53" s="137"/>
      <c r="H53" s="137"/>
      <c r="I53" s="138">
        <f>C53+F53</f>
        <v>39708.3</v>
      </c>
      <c r="J53" s="139">
        <f>D53+G53</f>
        <v>3659.6</v>
      </c>
      <c r="K53" s="140">
        <f>J53/I53*100</f>
        <v>9.21620920563207</v>
      </c>
    </row>
    <row r="54" spans="1:11" ht="179.25">
      <c r="A54" s="141" t="s">
        <v>158</v>
      </c>
      <c r="B54" s="150" t="s">
        <v>164</v>
      </c>
      <c r="C54" s="136">
        <f>35261+3917.9+20000</f>
        <v>59178.9</v>
      </c>
      <c r="D54" s="136"/>
      <c r="E54" s="136">
        <f t="shared" si="3"/>
        <v>0</v>
      </c>
      <c r="F54" s="137">
        <f>19527.2+584.6</f>
        <v>20111.8</v>
      </c>
      <c r="G54" s="137"/>
      <c r="H54" s="137">
        <f>G54/F54*100</f>
        <v>0</v>
      </c>
      <c r="I54" s="138">
        <f>C54+F54-19527.2-3630</f>
        <v>56133.5</v>
      </c>
      <c r="J54" s="139">
        <f aca="true" t="shared" si="5" ref="J54:J63">D54+G54</f>
        <v>0</v>
      </c>
      <c r="K54" s="140">
        <f t="shared" si="0"/>
        <v>0</v>
      </c>
    </row>
    <row r="55" spans="1:11" ht="82.5">
      <c r="A55" s="141" t="s">
        <v>158</v>
      </c>
      <c r="B55" s="150" t="s">
        <v>165</v>
      </c>
      <c r="C55" s="136"/>
      <c r="D55" s="136"/>
      <c r="E55" s="136"/>
      <c r="F55" s="137">
        <v>6770</v>
      </c>
      <c r="G55" s="137">
        <v>2368.4</v>
      </c>
      <c r="H55" s="137">
        <f aca="true" t="shared" si="6" ref="H55:H62">G55/F55*100</f>
        <v>34.9837518463811</v>
      </c>
      <c r="I55" s="138">
        <f>C55+F55</f>
        <v>6770</v>
      </c>
      <c r="J55" s="139">
        <f t="shared" si="5"/>
        <v>2368.4</v>
      </c>
      <c r="K55" s="155">
        <f t="shared" si="0"/>
        <v>34.9837518463811</v>
      </c>
    </row>
    <row r="56" spans="1:11" ht="13.5">
      <c r="A56" s="141" t="s">
        <v>158</v>
      </c>
      <c r="B56" s="150" t="s">
        <v>166</v>
      </c>
      <c r="C56" s="136"/>
      <c r="D56" s="136"/>
      <c r="E56" s="136"/>
      <c r="F56" s="137">
        <v>13852.1</v>
      </c>
      <c r="G56" s="137">
        <v>0.1</v>
      </c>
      <c r="H56" s="137">
        <f t="shared" si="6"/>
        <v>0.0007219122010381098</v>
      </c>
      <c r="I56" s="138">
        <f>C56+F56</f>
        <v>13852.1</v>
      </c>
      <c r="J56" s="139">
        <f t="shared" si="5"/>
        <v>0.1</v>
      </c>
      <c r="K56" s="140">
        <f t="shared" si="0"/>
        <v>0.0007219122010381098</v>
      </c>
    </row>
    <row r="57" spans="1:11" ht="82.5">
      <c r="A57" s="141" t="s">
        <v>167</v>
      </c>
      <c r="B57" s="135" t="s">
        <v>168</v>
      </c>
      <c r="C57" s="144">
        <v>500</v>
      </c>
      <c r="D57" s="144"/>
      <c r="E57" s="136">
        <f t="shared" si="3"/>
        <v>0</v>
      </c>
      <c r="F57" s="136">
        <v>500</v>
      </c>
      <c r="G57" s="137"/>
      <c r="H57" s="137">
        <f t="shared" si="6"/>
        <v>0</v>
      </c>
      <c r="I57" s="138">
        <f>C57+F57-500</f>
        <v>500</v>
      </c>
      <c r="J57" s="139">
        <f t="shared" si="5"/>
        <v>0</v>
      </c>
      <c r="K57" s="140">
        <f t="shared" si="0"/>
        <v>0</v>
      </c>
    </row>
    <row r="58" spans="1:11" ht="54.75">
      <c r="A58" s="141" t="s">
        <v>167</v>
      </c>
      <c r="B58" s="135" t="s">
        <v>169</v>
      </c>
      <c r="C58" s="136"/>
      <c r="D58" s="136"/>
      <c r="E58" s="136" t="e">
        <f t="shared" si="3"/>
        <v>#DIV/0!</v>
      </c>
      <c r="F58" s="136"/>
      <c r="G58" s="137"/>
      <c r="H58" s="137" t="e">
        <f t="shared" si="6"/>
        <v>#DIV/0!</v>
      </c>
      <c r="I58" s="138">
        <f>C58+F58</f>
        <v>0</v>
      </c>
      <c r="J58" s="138">
        <f t="shared" si="5"/>
        <v>0</v>
      </c>
      <c r="K58" s="140" t="e">
        <f t="shared" si="0"/>
        <v>#DIV/0!</v>
      </c>
    </row>
    <row r="59" spans="1:11" ht="69">
      <c r="A59" s="141" t="s">
        <v>167</v>
      </c>
      <c r="B59" s="135" t="s">
        <v>170</v>
      </c>
      <c r="C59" s="136">
        <v>3157</v>
      </c>
      <c r="D59" s="136"/>
      <c r="E59" s="136">
        <f t="shared" si="3"/>
        <v>0</v>
      </c>
      <c r="F59" s="136"/>
      <c r="G59" s="137"/>
      <c r="H59" s="137"/>
      <c r="I59" s="138">
        <f>C59+F59</f>
        <v>3157</v>
      </c>
      <c r="J59" s="138">
        <f t="shared" si="5"/>
        <v>0</v>
      </c>
      <c r="K59" s="140">
        <f t="shared" si="0"/>
        <v>0</v>
      </c>
    </row>
    <row r="60" spans="1:11" ht="27">
      <c r="A60" s="141" t="s">
        <v>167</v>
      </c>
      <c r="B60" s="135" t="s">
        <v>171</v>
      </c>
      <c r="C60" s="136">
        <v>13952.2</v>
      </c>
      <c r="D60" s="136"/>
      <c r="E60" s="136">
        <f t="shared" si="3"/>
        <v>0</v>
      </c>
      <c r="F60" s="136">
        <v>13952.2</v>
      </c>
      <c r="G60" s="137"/>
      <c r="H60" s="137">
        <f t="shared" si="6"/>
        <v>0</v>
      </c>
      <c r="I60" s="138">
        <f>C60+F60-13952.2</f>
        <v>13952.2</v>
      </c>
      <c r="J60" s="139">
        <f t="shared" si="5"/>
        <v>0</v>
      </c>
      <c r="K60" s="140">
        <f t="shared" si="0"/>
        <v>0</v>
      </c>
    </row>
    <row r="61" spans="1:11" ht="41.25">
      <c r="A61" s="141" t="s">
        <v>167</v>
      </c>
      <c r="B61" s="156" t="s">
        <v>172</v>
      </c>
      <c r="C61" s="136">
        <v>612.5</v>
      </c>
      <c r="D61" s="136"/>
      <c r="E61" s="136">
        <f t="shared" si="3"/>
        <v>0</v>
      </c>
      <c r="F61" s="136">
        <v>53.6</v>
      </c>
      <c r="G61" s="137"/>
      <c r="H61" s="137">
        <f t="shared" si="6"/>
        <v>0</v>
      </c>
      <c r="I61" s="138">
        <f>C61+F61-53.6</f>
        <v>612.5</v>
      </c>
      <c r="J61" s="139">
        <f t="shared" si="5"/>
        <v>0</v>
      </c>
      <c r="K61" s="140">
        <f t="shared" si="0"/>
        <v>0</v>
      </c>
    </row>
    <row r="62" spans="1:11" ht="27">
      <c r="A62" s="134" t="s">
        <v>167</v>
      </c>
      <c r="B62" s="135" t="s">
        <v>173</v>
      </c>
      <c r="C62" s="136"/>
      <c r="D62" s="136"/>
      <c r="E62" s="136"/>
      <c r="F62" s="136">
        <v>43461</v>
      </c>
      <c r="G62" s="137">
        <v>6525.6</v>
      </c>
      <c r="H62" s="137">
        <f t="shared" si="6"/>
        <v>15.014840891834059</v>
      </c>
      <c r="I62" s="138">
        <f>C62+F62</f>
        <v>43461</v>
      </c>
      <c r="J62" s="139">
        <f t="shared" si="5"/>
        <v>6525.6</v>
      </c>
      <c r="K62" s="140">
        <f t="shared" si="0"/>
        <v>15.014840891834059</v>
      </c>
    </row>
    <row r="63" spans="1:11" ht="13.5">
      <c r="A63" s="141" t="s">
        <v>174</v>
      </c>
      <c r="B63" s="135" t="s">
        <v>175</v>
      </c>
      <c r="C63" s="136">
        <v>46.6</v>
      </c>
      <c r="D63" s="144"/>
      <c r="E63" s="136">
        <f>D63/C63*100</f>
        <v>0</v>
      </c>
      <c r="F63" s="136">
        <v>0</v>
      </c>
      <c r="G63" s="137"/>
      <c r="H63" s="137">
        <v>0</v>
      </c>
      <c r="I63" s="138">
        <f>C63+F63-21.6</f>
        <v>25</v>
      </c>
      <c r="J63" s="139">
        <f t="shared" si="5"/>
        <v>0</v>
      </c>
      <c r="K63" s="157">
        <f t="shared" si="0"/>
        <v>0</v>
      </c>
    </row>
    <row r="64" spans="1:11" ht="13.5">
      <c r="A64" s="158" t="s">
        <v>176</v>
      </c>
      <c r="B64" s="159" t="s">
        <v>177</v>
      </c>
      <c r="C64" s="153">
        <f aca="true" t="shared" si="7" ref="C64:H64">C65</f>
        <v>108.1</v>
      </c>
      <c r="D64" s="153">
        <f t="shared" si="7"/>
        <v>0</v>
      </c>
      <c r="E64" s="160">
        <f t="shared" si="3"/>
        <v>0</v>
      </c>
      <c r="F64" s="153">
        <f t="shared" si="7"/>
        <v>1169.4</v>
      </c>
      <c r="G64" s="153">
        <f t="shared" si="7"/>
        <v>0</v>
      </c>
      <c r="H64" s="132">
        <f t="shared" si="7"/>
        <v>0</v>
      </c>
      <c r="I64" s="153">
        <f>I65</f>
        <v>1277.5</v>
      </c>
      <c r="J64" s="153">
        <f>J65</f>
        <v>0</v>
      </c>
      <c r="K64" s="161">
        <f t="shared" si="0"/>
        <v>0</v>
      </c>
    </row>
    <row r="65" spans="1:11" ht="27">
      <c r="A65" s="141" t="s">
        <v>178</v>
      </c>
      <c r="B65" s="162" t="s">
        <v>179</v>
      </c>
      <c r="C65" s="137">
        <v>108.1</v>
      </c>
      <c r="D65" s="137"/>
      <c r="E65" s="136">
        <f t="shared" si="3"/>
        <v>0</v>
      </c>
      <c r="F65" s="137">
        <v>1169.4</v>
      </c>
      <c r="G65" s="137"/>
      <c r="H65" s="137">
        <f>G65/F65*100</f>
        <v>0</v>
      </c>
      <c r="I65" s="138">
        <f>C65+F65</f>
        <v>1277.5</v>
      </c>
      <c r="J65" s="139">
        <f>D65+G65</f>
        <v>0</v>
      </c>
      <c r="K65" s="140">
        <f t="shared" si="0"/>
        <v>0</v>
      </c>
    </row>
    <row r="66" spans="1:11" ht="13.5">
      <c r="A66" s="129" t="s">
        <v>180</v>
      </c>
      <c r="B66" s="130" t="s">
        <v>181</v>
      </c>
      <c r="C66" s="131">
        <f>SUM(C67:C74)</f>
        <v>2190026.5999999996</v>
      </c>
      <c r="D66" s="131">
        <f>SUM(D67:D74)</f>
        <v>249211.40000000002</v>
      </c>
      <c r="E66" s="131">
        <f>D66/C66*100</f>
        <v>11.379377766461834</v>
      </c>
      <c r="F66" s="153">
        <f>F67+F69+F70+F73+F74</f>
        <v>0</v>
      </c>
      <c r="G66" s="153">
        <f>SUM(G67:G74)</f>
        <v>0</v>
      </c>
      <c r="H66" s="132">
        <v>0</v>
      </c>
      <c r="I66" s="131">
        <f>SUM(I67:I74)</f>
        <v>2190026.5999999996</v>
      </c>
      <c r="J66" s="131">
        <f>SUM(J67:J74)</f>
        <v>249211.40000000002</v>
      </c>
      <c r="K66" s="133">
        <f t="shared" si="0"/>
        <v>11.379377766461834</v>
      </c>
    </row>
    <row r="67" spans="1:11" ht="13.5">
      <c r="A67" s="134" t="s">
        <v>182</v>
      </c>
      <c r="B67" s="135" t="s">
        <v>183</v>
      </c>
      <c r="C67" s="136">
        <f>578948.1-C68</f>
        <v>504791.5</v>
      </c>
      <c r="D67" s="136">
        <f>87426.6-D68</f>
        <v>87426.6</v>
      </c>
      <c r="E67" s="136">
        <f t="shared" si="3"/>
        <v>17.31934868158438</v>
      </c>
      <c r="F67" s="137">
        <v>0</v>
      </c>
      <c r="G67" s="137">
        <v>0</v>
      </c>
      <c r="H67" s="137">
        <v>0</v>
      </c>
      <c r="I67" s="138">
        <f>C67+F67</f>
        <v>504791.5</v>
      </c>
      <c r="J67" s="139">
        <f>D67+G67</f>
        <v>87426.6</v>
      </c>
      <c r="K67" s="140">
        <f t="shared" si="0"/>
        <v>17.31934868158438</v>
      </c>
    </row>
    <row r="68" spans="1:11" ht="123.75">
      <c r="A68" s="134" t="s">
        <v>182</v>
      </c>
      <c r="B68" s="135" t="s">
        <v>184</v>
      </c>
      <c r="C68" s="136">
        <f>66740.9+7415.7</f>
        <v>74156.59999999999</v>
      </c>
      <c r="D68" s="136">
        <v>0</v>
      </c>
      <c r="E68" s="136">
        <f t="shared" si="3"/>
        <v>0</v>
      </c>
      <c r="F68" s="137"/>
      <c r="G68" s="137"/>
      <c r="H68" s="137"/>
      <c r="I68" s="138">
        <f>C68+F68</f>
        <v>74156.59999999999</v>
      </c>
      <c r="J68" s="139">
        <f>D68+G68</f>
        <v>0</v>
      </c>
      <c r="K68" s="140">
        <f t="shared" si="0"/>
        <v>0</v>
      </c>
    </row>
    <row r="69" spans="1:11" ht="13.5">
      <c r="A69" s="134" t="s">
        <v>185</v>
      </c>
      <c r="B69" s="135" t="s">
        <v>186</v>
      </c>
      <c r="C69" s="136">
        <f>1385098.8-C70-C71</f>
        <v>1141503.3</v>
      </c>
      <c r="D69" s="136">
        <f>125149.5-D70-D71</f>
        <v>117315.1</v>
      </c>
      <c r="E69" s="136">
        <f t="shared" si="3"/>
        <v>10.277245803844808</v>
      </c>
      <c r="F69" s="137">
        <v>0</v>
      </c>
      <c r="G69" s="137">
        <v>0</v>
      </c>
      <c r="H69" s="137">
        <v>0</v>
      </c>
      <c r="I69" s="138">
        <f>C69+F69</f>
        <v>1141503.3</v>
      </c>
      <c r="J69" s="139">
        <f>D69+G69</f>
        <v>117315.1</v>
      </c>
      <c r="K69" s="140">
        <f t="shared" si="0"/>
        <v>10.277245803844808</v>
      </c>
    </row>
    <row r="70" spans="1:11" ht="13.5">
      <c r="A70" s="134" t="s">
        <v>185</v>
      </c>
      <c r="B70" s="135" t="s">
        <v>187</v>
      </c>
      <c r="C70" s="136">
        <v>36889.6</v>
      </c>
      <c r="D70" s="136">
        <v>1138.5</v>
      </c>
      <c r="E70" s="136">
        <f t="shared" si="3"/>
        <v>3.0862356870229006</v>
      </c>
      <c r="F70" s="137">
        <v>0</v>
      </c>
      <c r="G70" s="137">
        <v>0</v>
      </c>
      <c r="H70" s="137">
        <v>0</v>
      </c>
      <c r="I70" s="138">
        <f>C70+F70</f>
        <v>36889.6</v>
      </c>
      <c r="J70" s="139">
        <f>D70+G70</f>
        <v>1138.5</v>
      </c>
      <c r="K70" s="140">
        <f t="shared" si="0"/>
        <v>3.0862356870229006</v>
      </c>
    </row>
    <row r="71" spans="1:11" ht="110.25">
      <c r="A71" s="134" t="s">
        <v>185</v>
      </c>
      <c r="B71" s="135" t="s">
        <v>188</v>
      </c>
      <c r="C71" s="136">
        <f>179309.6+27396.3</f>
        <v>206705.9</v>
      </c>
      <c r="D71" s="136">
        <v>6695.9</v>
      </c>
      <c r="E71" s="136">
        <f t="shared" si="3"/>
        <v>3.2393366614112127</v>
      </c>
      <c r="F71" s="137">
        <v>0</v>
      </c>
      <c r="G71" s="137">
        <v>0</v>
      </c>
      <c r="H71" s="137">
        <v>0</v>
      </c>
      <c r="I71" s="138">
        <f>C71+F71</f>
        <v>206705.9</v>
      </c>
      <c r="J71" s="139">
        <f>D71+G71</f>
        <v>6695.9</v>
      </c>
      <c r="K71" s="140">
        <f t="shared" si="0"/>
        <v>3.2393366614112127</v>
      </c>
    </row>
    <row r="72" spans="1:11" ht="13.5">
      <c r="A72" s="134" t="s">
        <v>189</v>
      </c>
      <c r="B72" s="135" t="s">
        <v>190</v>
      </c>
      <c r="C72" s="136">
        <v>143177.9</v>
      </c>
      <c r="D72" s="144">
        <v>27339.7</v>
      </c>
      <c r="E72" s="136">
        <f t="shared" si="3"/>
        <v>19.094916184690515</v>
      </c>
      <c r="F72" s="137"/>
      <c r="G72" s="137"/>
      <c r="H72" s="137"/>
      <c r="I72" s="138">
        <f>C72+F72</f>
        <v>143177.9</v>
      </c>
      <c r="J72" s="139">
        <f>D72+G72</f>
        <v>27339.7</v>
      </c>
      <c r="K72" s="140">
        <f t="shared" si="0"/>
        <v>19.094916184690515</v>
      </c>
    </row>
    <row r="73" spans="1:11" ht="27">
      <c r="A73" s="134" t="s">
        <v>191</v>
      </c>
      <c r="B73" s="135" t="s">
        <v>192</v>
      </c>
      <c r="C73" s="136">
        <v>31441.3</v>
      </c>
      <c r="D73" s="136">
        <v>2151.7</v>
      </c>
      <c r="E73" s="136">
        <f t="shared" si="3"/>
        <v>6.843546545467268</v>
      </c>
      <c r="F73" s="137"/>
      <c r="G73" s="137"/>
      <c r="H73" s="137"/>
      <c r="I73" s="138">
        <f>C73+F73</f>
        <v>31441.3</v>
      </c>
      <c r="J73" s="139">
        <f>D73+G73</f>
        <v>2151.7</v>
      </c>
      <c r="K73" s="140">
        <f t="shared" si="0"/>
        <v>6.843546545467268</v>
      </c>
    </row>
    <row r="74" spans="1:11" ht="13.5">
      <c r="A74" s="134" t="s">
        <v>193</v>
      </c>
      <c r="B74" s="135" t="s">
        <v>194</v>
      </c>
      <c r="C74" s="136">
        <v>51360.5</v>
      </c>
      <c r="D74" s="136">
        <v>7143.9</v>
      </c>
      <c r="E74" s="136">
        <f t="shared" si="3"/>
        <v>13.909327206705541</v>
      </c>
      <c r="F74" s="137">
        <v>0</v>
      </c>
      <c r="G74" s="137"/>
      <c r="H74" s="137">
        <v>0</v>
      </c>
      <c r="I74" s="138">
        <f>C74+F74</f>
        <v>51360.5</v>
      </c>
      <c r="J74" s="139">
        <f>D74+G74</f>
        <v>7143.9</v>
      </c>
      <c r="K74" s="140">
        <f t="shared" si="0"/>
        <v>13.909327206705541</v>
      </c>
    </row>
    <row r="75" spans="1:11" ht="13.5">
      <c r="A75" s="129" t="s">
        <v>195</v>
      </c>
      <c r="B75" s="130" t="s">
        <v>196</v>
      </c>
      <c r="C75" s="131">
        <f>SUM(C76:C79)</f>
        <v>75105.4</v>
      </c>
      <c r="D75" s="131">
        <f>SUM(D76:D79)</f>
        <v>11204.7</v>
      </c>
      <c r="E75" s="131">
        <f>D75/C75*100</f>
        <v>14.918634345865945</v>
      </c>
      <c r="F75" s="153">
        <f>SUM(F76:F79)</f>
        <v>112504.8</v>
      </c>
      <c r="G75" s="153">
        <f>SUM(G76:G79)</f>
        <v>12924.6</v>
      </c>
      <c r="H75" s="132">
        <f>G75/F75*100</f>
        <v>11.488043176824455</v>
      </c>
      <c r="I75" s="153">
        <f>SUM(I76:I79)</f>
        <v>185922.4</v>
      </c>
      <c r="J75" s="153">
        <f>SUM(J76:J79)</f>
        <v>24129.300000000003</v>
      </c>
      <c r="K75" s="133">
        <f t="shared" si="0"/>
        <v>12.9781564781866</v>
      </c>
    </row>
    <row r="76" spans="1:11" ht="13.5">
      <c r="A76" s="134" t="s">
        <v>197</v>
      </c>
      <c r="B76" s="135" t="s">
        <v>198</v>
      </c>
      <c r="C76" s="136">
        <f>71610-C77</f>
        <v>70504.1</v>
      </c>
      <c r="D76" s="136">
        <f>10975-D77</f>
        <v>10975</v>
      </c>
      <c r="E76" s="136">
        <f t="shared" si="3"/>
        <v>15.566470602418866</v>
      </c>
      <c r="F76" s="137">
        <f>112144.8-F77</f>
        <v>111948.6</v>
      </c>
      <c r="G76" s="137">
        <f>12919.7-G77</f>
        <v>12919.7</v>
      </c>
      <c r="H76" s="137">
        <f>G76/F76*100</f>
        <v>11.540742805180235</v>
      </c>
      <c r="I76" s="138">
        <f>C76+F76-983.7-520.1</f>
        <v>180948.9</v>
      </c>
      <c r="J76" s="139">
        <f>D76+G76</f>
        <v>23894.7</v>
      </c>
      <c r="K76" s="140">
        <f t="shared" si="0"/>
        <v>13.205219816202254</v>
      </c>
    </row>
    <row r="77" spans="1:11" ht="27">
      <c r="A77" s="163" t="s">
        <v>197</v>
      </c>
      <c r="B77" s="164" t="s">
        <v>199</v>
      </c>
      <c r="C77" s="136">
        <f>940+165.9</f>
        <v>1105.9</v>
      </c>
      <c r="D77" s="136">
        <v>0</v>
      </c>
      <c r="E77" s="136">
        <f t="shared" si="3"/>
        <v>0</v>
      </c>
      <c r="F77" s="137">
        <f>184+12.2</f>
        <v>196.2</v>
      </c>
      <c r="G77" s="137"/>
      <c r="H77" s="137">
        <f>G77/F77*100</f>
        <v>0</v>
      </c>
      <c r="I77" s="138">
        <f>C77+F77-184</f>
        <v>1118.1000000000001</v>
      </c>
      <c r="J77" s="139">
        <f>D77+G77</f>
        <v>0</v>
      </c>
      <c r="K77" s="140">
        <f>J77/I77*100</f>
        <v>0</v>
      </c>
    </row>
    <row r="78" spans="1:11" ht="13.5">
      <c r="A78" s="134" t="s">
        <v>200</v>
      </c>
      <c r="B78" s="135" t="s">
        <v>201</v>
      </c>
      <c r="C78" s="136">
        <v>150</v>
      </c>
      <c r="D78" s="136"/>
      <c r="E78" s="136">
        <f t="shared" si="3"/>
        <v>0</v>
      </c>
      <c r="F78" s="137">
        <v>360</v>
      </c>
      <c r="G78" s="137">
        <v>4.9</v>
      </c>
      <c r="H78" s="137">
        <f>G78/F78*100</f>
        <v>1.3611111111111112</v>
      </c>
      <c r="I78" s="138">
        <f aca="true" t="shared" si="8" ref="I78:J91">C78+F78</f>
        <v>510</v>
      </c>
      <c r="J78" s="139">
        <f>D78+G78</f>
        <v>4.9</v>
      </c>
      <c r="K78" s="140">
        <f aca="true" t="shared" si="9" ref="K78:K103">J78/I78*100</f>
        <v>0.9607843137254903</v>
      </c>
    </row>
    <row r="79" spans="1:11" ht="27">
      <c r="A79" s="134" t="s">
        <v>202</v>
      </c>
      <c r="B79" s="135" t="s">
        <v>203</v>
      </c>
      <c r="C79" s="136">
        <v>3345.4</v>
      </c>
      <c r="D79" s="136">
        <v>229.7</v>
      </c>
      <c r="E79" s="136">
        <f t="shared" si="3"/>
        <v>6.866144556704729</v>
      </c>
      <c r="F79" s="137"/>
      <c r="G79" s="137"/>
      <c r="H79" s="137"/>
      <c r="I79" s="138">
        <f>C79+F79</f>
        <v>3345.4</v>
      </c>
      <c r="J79" s="139">
        <f>D79+G79</f>
        <v>229.7</v>
      </c>
      <c r="K79" s="140">
        <f t="shared" si="9"/>
        <v>6.866144556704729</v>
      </c>
    </row>
    <row r="80" spans="1:11" ht="13.5">
      <c r="A80" s="129" t="s">
        <v>204</v>
      </c>
      <c r="B80" s="130" t="s">
        <v>205</v>
      </c>
      <c r="C80" s="131">
        <f>SUM(C81:C82)</f>
        <v>3915.2</v>
      </c>
      <c r="D80" s="131">
        <f>SUM(D81:D82)</f>
        <v>1607.5</v>
      </c>
      <c r="E80" s="131">
        <f>SUM(E82:E82)</f>
        <v>0</v>
      </c>
      <c r="F80" s="153">
        <v>0</v>
      </c>
      <c r="G80" s="153">
        <v>0</v>
      </c>
      <c r="H80" s="132"/>
      <c r="I80" s="153">
        <f>C80+F80</f>
        <v>3915.2</v>
      </c>
      <c r="J80" s="153">
        <f t="shared" si="8"/>
        <v>1607.5</v>
      </c>
      <c r="K80" s="133">
        <f t="shared" si="9"/>
        <v>41.05792807519412</v>
      </c>
    </row>
    <row r="81" spans="1:11" ht="54.75">
      <c r="A81" s="141" t="s">
        <v>206</v>
      </c>
      <c r="B81" s="164" t="s">
        <v>207</v>
      </c>
      <c r="C81" s="144">
        <v>1607.5</v>
      </c>
      <c r="D81" s="165">
        <v>1607.5</v>
      </c>
      <c r="E81" s="136">
        <f t="shared" si="3"/>
        <v>100</v>
      </c>
      <c r="F81" s="149"/>
      <c r="G81" s="149"/>
      <c r="H81" s="151"/>
      <c r="I81" s="138">
        <f t="shared" si="8"/>
        <v>1607.5</v>
      </c>
      <c r="J81" s="139">
        <f t="shared" si="8"/>
        <v>1607.5</v>
      </c>
      <c r="K81" s="140">
        <f t="shared" si="9"/>
        <v>100</v>
      </c>
    </row>
    <row r="82" spans="1:11" ht="41.25">
      <c r="A82" s="141" t="s">
        <v>206</v>
      </c>
      <c r="B82" s="164" t="s">
        <v>208</v>
      </c>
      <c r="C82" s="136">
        <v>2307.7</v>
      </c>
      <c r="D82" s="137"/>
      <c r="E82" s="136">
        <f t="shared" si="3"/>
        <v>0</v>
      </c>
      <c r="F82" s="137"/>
      <c r="G82" s="137"/>
      <c r="H82" s="137"/>
      <c r="I82" s="138">
        <f t="shared" si="8"/>
        <v>2307.7</v>
      </c>
      <c r="J82" s="139">
        <f t="shared" si="8"/>
        <v>0</v>
      </c>
      <c r="K82" s="140">
        <f t="shared" si="9"/>
        <v>0</v>
      </c>
    </row>
    <row r="83" spans="1:11" ht="13.5">
      <c r="A83" s="129">
        <v>10</v>
      </c>
      <c r="B83" s="130" t="s">
        <v>209</v>
      </c>
      <c r="C83" s="131">
        <f>SUM(C84:C91)</f>
        <v>137518.7</v>
      </c>
      <c r="D83" s="131">
        <f>SUM(D84:D91)</f>
        <v>8921.1</v>
      </c>
      <c r="E83" s="131">
        <f>D83/C83*100</f>
        <v>6.487190469368893</v>
      </c>
      <c r="F83" s="131">
        <f>SUM(F84:F88)</f>
        <v>940.2</v>
      </c>
      <c r="G83" s="131">
        <f>SUM(G84:G88)</f>
        <v>101.9</v>
      </c>
      <c r="H83" s="132">
        <f>G83/F83*100</f>
        <v>10.838119549032122</v>
      </c>
      <c r="I83" s="131">
        <f>SUM(I84:I91)</f>
        <v>138458.9</v>
      </c>
      <c r="J83" s="131">
        <f>SUM(J84:J91)</f>
        <v>9023</v>
      </c>
      <c r="K83" s="133">
        <f t="shared" si="9"/>
        <v>6.516735291122493</v>
      </c>
    </row>
    <row r="84" spans="1:11" ht="13.5">
      <c r="A84" s="141">
        <v>1001</v>
      </c>
      <c r="B84" s="135" t="s">
        <v>210</v>
      </c>
      <c r="C84" s="136">
        <v>4604.1</v>
      </c>
      <c r="D84" s="136">
        <v>808.8</v>
      </c>
      <c r="E84" s="136">
        <f t="shared" si="3"/>
        <v>17.56695119567342</v>
      </c>
      <c r="F84" s="137">
        <v>940.2</v>
      </c>
      <c r="G84" s="137">
        <v>101.9</v>
      </c>
      <c r="H84" s="137">
        <f>G84/F84*100</f>
        <v>10.838119549032122</v>
      </c>
      <c r="I84" s="138">
        <f t="shared" si="8"/>
        <v>5544.3</v>
      </c>
      <c r="J84" s="139">
        <f t="shared" si="8"/>
        <v>910.6999999999999</v>
      </c>
      <c r="K84" s="140">
        <f t="shared" si="9"/>
        <v>16.425878830510612</v>
      </c>
    </row>
    <row r="85" spans="1:11" ht="69">
      <c r="A85" s="141">
        <v>1003</v>
      </c>
      <c r="B85" s="135" t="s">
        <v>211</v>
      </c>
      <c r="C85" s="136">
        <v>2664.6</v>
      </c>
      <c r="D85" s="136"/>
      <c r="E85" s="136">
        <f t="shared" si="3"/>
        <v>0</v>
      </c>
      <c r="F85" s="137">
        <v>0</v>
      </c>
      <c r="G85" s="137">
        <v>0</v>
      </c>
      <c r="H85" s="137">
        <v>0</v>
      </c>
      <c r="I85" s="138">
        <f t="shared" si="8"/>
        <v>2664.6</v>
      </c>
      <c r="J85" s="139">
        <f t="shared" si="8"/>
        <v>0</v>
      </c>
      <c r="K85" s="140">
        <f t="shared" si="9"/>
        <v>0</v>
      </c>
    </row>
    <row r="86" spans="1:11" ht="54.75">
      <c r="A86" s="141" t="s">
        <v>212</v>
      </c>
      <c r="B86" s="135" t="s">
        <v>213</v>
      </c>
      <c r="C86" s="136">
        <v>888.2</v>
      </c>
      <c r="D86" s="136"/>
      <c r="E86" s="136">
        <f t="shared" si="3"/>
        <v>0</v>
      </c>
      <c r="F86" s="137"/>
      <c r="G86" s="137"/>
      <c r="H86" s="137"/>
      <c r="I86" s="138">
        <f t="shared" si="8"/>
        <v>888.2</v>
      </c>
      <c r="J86" s="139">
        <f t="shared" si="8"/>
        <v>0</v>
      </c>
      <c r="K86" s="140">
        <f t="shared" si="9"/>
        <v>0</v>
      </c>
    </row>
    <row r="87" spans="1:11" ht="96">
      <c r="A87" s="141">
        <v>1004</v>
      </c>
      <c r="B87" s="135" t="s">
        <v>214</v>
      </c>
      <c r="C87" s="136">
        <v>15640</v>
      </c>
      <c r="D87" s="136">
        <v>2025.7</v>
      </c>
      <c r="E87" s="136">
        <f t="shared" si="3"/>
        <v>12.952046035805626</v>
      </c>
      <c r="F87" s="137">
        <v>0</v>
      </c>
      <c r="G87" s="137">
        <v>0</v>
      </c>
      <c r="H87" s="137">
        <v>0</v>
      </c>
      <c r="I87" s="138">
        <f t="shared" si="8"/>
        <v>15640</v>
      </c>
      <c r="J87" s="139">
        <f t="shared" si="8"/>
        <v>2025.7</v>
      </c>
      <c r="K87" s="140">
        <f t="shared" si="9"/>
        <v>12.952046035805626</v>
      </c>
    </row>
    <row r="88" spans="1:11" ht="179.25">
      <c r="A88" s="141">
        <v>1004</v>
      </c>
      <c r="B88" s="135" t="s">
        <v>215</v>
      </c>
      <c r="C88" s="136">
        <v>73281.3</v>
      </c>
      <c r="D88" s="136">
        <v>5014.3</v>
      </c>
      <c r="E88" s="136">
        <f aca="true" t="shared" si="10" ref="E88:E102">D88/C88*100</f>
        <v>6.842536909143259</v>
      </c>
      <c r="F88" s="137">
        <v>0</v>
      </c>
      <c r="G88" s="137">
        <v>0</v>
      </c>
      <c r="H88" s="137">
        <v>0</v>
      </c>
      <c r="I88" s="138">
        <f t="shared" si="8"/>
        <v>73281.3</v>
      </c>
      <c r="J88" s="139">
        <f t="shared" si="8"/>
        <v>5014.3</v>
      </c>
      <c r="K88" s="140">
        <f t="shared" si="9"/>
        <v>6.842536909143259</v>
      </c>
    </row>
    <row r="89" spans="1:11" ht="151.5">
      <c r="A89" s="141" t="s">
        <v>216</v>
      </c>
      <c r="B89" s="135" t="s">
        <v>217</v>
      </c>
      <c r="C89" s="136">
        <v>18940.4</v>
      </c>
      <c r="D89" s="136"/>
      <c r="E89" s="136">
        <f>D89/C89*100</f>
        <v>0</v>
      </c>
      <c r="F89" s="137">
        <v>0</v>
      </c>
      <c r="G89" s="137">
        <v>0</v>
      </c>
      <c r="H89" s="137">
        <v>0</v>
      </c>
      <c r="I89" s="138">
        <f t="shared" si="8"/>
        <v>18940.4</v>
      </c>
      <c r="J89" s="139">
        <f t="shared" si="8"/>
        <v>0</v>
      </c>
      <c r="K89" s="140">
        <f>J89/I89*100</f>
        <v>0</v>
      </c>
    </row>
    <row r="90" spans="1:11" ht="27">
      <c r="A90" s="141" t="s">
        <v>216</v>
      </c>
      <c r="B90" s="135" t="s">
        <v>218</v>
      </c>
      <c r="C90" s="136">
        <v>2037.6</v>
      </c>
      <c r="D90" s="136"/>
      <c r="E90" s="136"/>
      <c r="F90" s="137"/>
      <c r="G90" s="137"/>
      <c r="H90" s="137"/>
      <c r="I90" s="138">
        <f t="shared" si="8"/>
        <v>2037.6</v>
      </c>
      <c r="J90" s="139">
        <f t="shared" si="8"/>
        <v>0</v>
      </c>
      <c r="K90" s="140">
        <f>J90/I90*100</f>
        <v>0</v>
      </c>
    </row>
    <row r="91" spans="1:11" ht="27">
      <c r="A91" s="141">
        <v>1006</v>
      </c>
      <c r="B91" s="135" t="s">
        <v>219</v>
      </c>
      <c r="C91" s="136">
        <v>19462.5</v>
      </c>
      <c r="D91" s="136">
        <v>1072.3</v>
      </c>
      <c r="E91" s="136">
        <f t="shared" si="10"/>
        <v>5.509569685292228</v>
      </c>
      <c r="F91" s="137"/>
      <c r="G91" s="137">
        <v>0</v>
      </c>
      <c r="H91" s="137">
        <v>0</v>
      </c>
      <c r="I91" s="138">
        <f t="shared" si="8"/>
        <v>19462.5</v>
      </c>
      <c r="J91" s="139">
        <f t="shared" si="8"/>
        <v>1072.3</v>
      </c>
      <c r="K91" s="140">
        <f t="shared" si="9"/>
        <v>5.509569685292228</v>
      </c>
    </row>
    <row r="92" spans="1:11" ht="13.5">
      <c r="A92" s="158">
        <v>1100</v>
      </c>
      <c r="B92" s="130" t="s">
        <v>220</v>
      </c>
      <c r="C92" s="131">
        <f>SUM(C93:C94)</f>
        <v>98786.1</v>
      </c>
      <c r="D92" s="131">
        <f>SUM(D93:D94)</f>
        <v>20573.9</v>
      </c>
      <c r="E92" s="131">
        <f>D92/C92*100</f>
        <v>20.826715499447797</v>
      </c>
      <c r="F92" s="153">
        <f>F93+F94</f>
        <v>42854.6</v>
      </c>
      <c r="G92" s="153">
        <f>G93+G94</f>
        <v>3812.5</v>
      </c>
      <c r="H92" s="132">
        <f>G92/F92*100</f>
        <v>8.896361184096923</v>
      </c>
      <c r="I92" s="153">
        <f>SUM(I93:I94)</f>
        <v>141577.7</v>
      </c>
      <c r="J92" s="153">
        <f>SUM(J93:J94)</f>
        <v>24386.4</v>
      </c>
      <c r="K92" s="133">
        <f t="shared" si="9"/>
        <v>17.224746552599736</v>
      </c>
    </row>
    <row r="93" spans="1:11" ht="13.5">
      <c r="A93" s="141">
        <v>1101</v>
      </c>
      <c r="B93" s="135" t="s">
        <v>221</v>
      </c>
      <c r="C93" s="136">
        <v>98631.1</v>
      </c>
      <c r="D93" s="136">
        <v>20573.9</v>
      </c>
      <c r="E93" s="136">
        <f t="shared" si="10"/>
        <v>20.859444941808416</v>
      </c>
      <c r="F93" s="137">
        <v>42854.6</v>
      </c>
      <c r="G93" s="137">
        <v>3812.5</v>
      </c>
      <c r="H93" s="137">
        <f>G93/F93*100</f>
        <v>8.896361184096923</v>
      </c>
      <c r="I93" s="138">
        <f>C93+F93-63</f>
        <v>141422.7</v>
      </c>
      <c r="J93" s="138">
        <f>D93+G93</f>
        <v>24386.4</v>
      </c>
      <c r="K93" s="140">
        <f t="shared" si="9"/>
        <v>17.243624962612085</v>
      </c>
    </row>
    <row r="94" spans="1:11" ht="13.5">
      <c r="A94" s="141">
        <v>1102</v>
      </c>
      <c r="B94" s="135" t="s">
        <v>222</v>
      </c>
      <c r="C94" s="136">
        <v>155</v>
      </c>
      <c r="D94" s="136"/>
      <c r="E94" s="136">
        <f t="shared" si="10"/>
        <v>0</v>
      </c>
      <c r="F94" s="137"/>
      <c r="G94" s="137">
        <v>0</v>
      </c>
      <c r="H94" s="137"/>
      <c r="I94" s="138">
        <f>C94+F94</f>
        <v>155</v>
      </c>
      <c r="J94" s="138">
        <f>D94+G94</f>
        <v>0</v>
      </c>
      <c r="K94" s="140">
        <f t="shared" si="9"/>
        <v>0</v>
      </c>
    </row>
    <row r="95" spans="1:11" ht="13.5">
      <c r="A95" s="158">
        <v>1200</v>
      </c>
      <c r="B95" s="130" t="s">
        <v>223</v>
      </c>
      <c r="C95" s="131">
        <f>SUM(C96:C96)</f>
        <v>6625</v>
      </c>
      <c r="D95" s="131">
        <f>SUM(D96:D96)</f>
        <v>1050</v>
      </c>
      <c r="E95" s="160">
        <f>D95/C95*100</f>
        <v>15.849056603773585</v>
      </c>
      <c r="F95" s="131"/>
      <c r="G95" s="131"/>
      <c r="H95" s="166"/>
      <c r="I95" s="131">
        <f aca="true" t="shared" si="11" ref="I95:J98">C95+F95</f>
        <v>6625</v>
      </c>
      <c r="J95" s="131">
        <f t="shared" si="11"/>
        <v>1050</v>
      </c>
      <c r="K95" s="143">
        <f t="shared" si="9"/>
        <v>15.849056603773585</v>
      </c>
    </row>
    <row r="96" spans="1:11" ht="13.5">
      <c r="A96" s="141" t="s">
        <v>224</v>
      </c>
      <c r="B96" s="135" t="s">
        <v>225</v>
      </c>
      <c r="C96" s="136">
        <v>6625</v>
      </c>
      <c r="D96" s="136">
        <v>1050</v>
      </c>
      <c r="E96" s="136">
        <f>D96/C96*100</f>
        <v>15.849056603773585</v>
      </c>
      <c r="F96" s="137"/>
      <c r="G96" s="137"/>
      <c r="H96" s="137"/>
      <c r="I96" s="138">
        <f t="shared" si="11"/>
        <v>6625</v>
      </c>
      <c r="J96" s="138">
        <f t="shared" si="11"/>
        <v>1050</v>
      </c>
      <c r="K96" s="140">
        <f>J96/I96*100</f>
        <v>15.849056603773585</v>
      </c>
    </row>
    <row r="97" spans="1:11" ht="27">
      <c r="A97" s="158">
        <v>1300</v>
      </c>
      <c r="B97" s="130" t="s">
        <v>226</v>
      </c>
      <c r="C97" s="131">
        <f aca="true" t="shared" si="12" ref="C97:H97">C98</f>
        <v>24</v>
      </c>
      <c r="D97" s="131">
        <f t="shared" si="12"/>
        <v>2.5</v>
      </c>
      <c r="E97" s="131">
        <f t="shared" si="12"/>
        <v>10.416666666666668</v>
      </c>
      <c r="F97" s="131">
        <f t="shared" si="12"/>
        <v>0</v>
      </c>
      <c r="G97" s="131">
        <f t="shared" si="12"/>
        <v>0</v>
      </c>
      <c r="H97" s="142">
        <f t="shared" si="12"/>
        <v>0</v>
      </c>
      <c r="I97" s="131">
        <f t="shared" si="11"/>
        <v>24</v>
      </c>
      <c r="J97" s="131">
        <f t="shared" si="11"/>
        <v>2.5</v>
      </c>
      <c r="K97" s="143">
        <f t="shared" si="9"/>
        <v>10.416666666666668</v>
      </c>
    </row>
    <row r="98" spans="1:11" ht="27">
      <c r="A98" s="141">
        <v>1301</v>
      </c>
      <c r="B98" s="135" t="s">
        <v>227</v>
      </c>
      <c r="C98" s="136">
        <v>24</v>
      </c>
      <c r="D98" s="136">
        <v>2.5</v>
      </c>
      <c r="E98" s="136">
        <f t="shared" si="10"/>
        <v>10.416666666666668</v>
      </c>
      <c r="F98" s="137"/>
      <c r="G98" s="137">
        <v>0</v>
      </c>
      <c r="H98" s="137">
        <v>0</v>
      </c>
      <c r="I98" s="138">
        <f t="shared" si="11"/>
        <v>24</v>
      </c>
      <c r="J98" s="138">
        <f t="shared" si="11"/>
        <v>2.5</v>
      </c>
      <c r="K98" s="140">
        <f t="shared" si="9"/>
        <v>10.416666666666668</v>
      </c>
    </row>
    <row r="99" spans="1:11" ht="13.5">
      <c r="A99" s="158">
        <v>1400</v>
      </c>
      <c r="B99" s="130" t="s">
        <v>228</v>
      </c>
      <c r="C99" s="131">
        <f>SUM(C100:C102)</f>
        <v>279464.9</v>
      </c>
      <c r="D99" s="131">
        <f>SUM(D100:D102)</f>
        <v>37222</v>
      </c>
      <c r="E99" s="131">
        <f>D99/C99*100</f>
        <v>13.319025036775637</v>
      </c>
      <c r="F99" s="153">
        <f>F100+F101+F102</f>
        <v>0</v>
      </c>
      <c r="G99" s="153">
        <f>SUM(G100:G102)</f>
        <v>0</v>
      </c>
      <c r="H99" s="153"/>
      <c r="I99" s="153">
        <v>0</v>
      </c>
      <c r="J99" s="153">
        <v>0</v>
      </c>
      <c r="K99" s="133">
        <v>0</v>
      </c>
    </row>
    <row r="100" spans="1:11" ht="41.25">
      <c r="A100" s="141">
        <v>1401</v>
      </c>
      <c r="B100" s="135" t="s">
        <v>229</v>
      </c>
      <c r="C100" s="136">
        <v>128204.8</v>
      </c>
      <c r="D100" s="136">
        <v>17094</v>
      </c>
      <c r="E100" s="136">
        <f t="shared" si="10"/>
        <v>13.333354133386582</v>
      </c>
      <c r="F100" s="137">
        <v>0</v>
      </c>
      <c r="G100" s="137">
        <v>0</v>
      </c>
      <c r="H100" s="137">
        <v>0</v>
      </c>
      <c r="I100" s="138">
        <v>0</v>
      </c>
      <c r="J100" s="139">
        <v>0</v>
      </c>
      <c r="K100" s="140">
        <v>0</v>
      </c>
    </row>
    <row r="101" spans="1:11" ht="13.5">
      <c r="A101" s="141">
        <v>1402</v>
      </c>
      <c r="B101" s="135" t="s">
        <v>230</v>
      </c>
      <c r="C101" s="136">
        <v>150960.1</v>
      </c>
      <c r="D101" s="136">
        <v>20128</v>
      </c>
      <c r="E101" s="136">
        <f t="shared" si="10"/>
        <v>13.333324500977408</v>
      </c>
      <c r="F101" s="137">
        <v>0</v>
      </c>
      <c r="G101" s="137">
        <v>0</v>
      </c>
      <c r="H101" s="137">
        <v>0</v>
      </c>
      <c r="I101" s="138">
        <v>0</v>
      </c>
      <c r="J101" s="139">
        <v>0</v>
      </c>
      <c r="K101" s="140">
        <v>0</v>
      </c>
    </row>
    <row r="102" spans="1:11" ht="13.5">
      <c r="A102" s="141">
        <v>1403</v>
      </c>
      <c r="B102" s="135" t="s">
        <v>231</v>
      </c>
      <c r="C102" s="136">
        <v>300</v>
      </c>
      <c r="D102" s="136"/>
      <c r="E102" s="136">
        <f t="shared" si="10"/>
        <v>0</v>
      </c>
      <c r="F102" s="137">
        <v>0</v>
      </c>
      <c r="G102" s="137">
        <v>0</v>
      </c>
      <c r="H102" s="137">
        <v>0</v>
      </c>
      <c r="I102" s="138">
        <v>0</v>
      </c>
      <c r="J102" s="139">
        <v>0</v>
      </c>
      <c r="K102" s="140">
        <v>0</v>
      </c>
    </row>
    <row r="103" spans="1:11" ht="14.25" thickBot="1">
      <c r="A103" s="167" t="s">
        <v>232</v>
      </c>
      <c r="B103" s="168"/>
      <c r="C103" s="169">
        <f>C9+C18+C20+C25+C44+C64+C66+C75+C80+C83+C92+C95+C97+C99</f>
        <v>3592100</v>
      </c>
      <c r="D103" s="169">
        <f>D99+D97+D95+D92+D83+D80+D75+D66+D64+D44+D25+D20+D18+D9</f>
        <v>400431.7</v>
      </c>
      <c r="E103" s="169">
        <f>D103/C103*100</f>
        <v>11.14756549093845</v>
      </c>
      <c r="F103" s="169">
        <f>F9+F18+F20+F25+F44+F64+F66+F75+F80+F83+F92+F95+F97+F99</f>
        <v>560354.1000000001</v>
      </c>
      <c r="G103" s="169">
        <f>G99+G97+G95+G83+G80+G75+G66+G44+G25+G21+G18+G9+G20+G92+G64</f>
        <v>65632.4</v>
      </c>
      <c r="H103" s="170">
        <f>G103/F103*100</f>
        <v>11.712665259342259</v>
      </c>
      <c r="I103" s="169">
        <f>I99+I97+I95+I92+I83+I80+I75+I66+I64+I44+I25+I20+I18+I9</f>
        <v>3797849.2</v>
      </c>
      <c r="J103" s="169">
        <f>J99+J97+J95+J92+J83+J80+J75+J66+J64+J44+J25+J20+J18+J9</f>
        <v>428438.80000000005</v>
      </c>
      <c r="K103" s="171">
        <f t="shared" si="9"/>
        <v>11.281090360301826</v>
      </c>
    </row>
    <row r="104" spans="1:11" ht="12.75">
      <c r="A104" s="172"/>
      <c r="B104" s="173"/>
      <c r="C104" s="174"/>
      <c r="D104" s="104"/>
      <c r="E104" s="175"/>
      <c r="F104" s="106"/>
      <c r="G104" s="107"/>
      <c r="H104" s="107"/>
      <c r="I104" s="176"/>
      <c r="J104" s="176"/>
      <c r="K104" s="109"/>
    </row>
    <row r="105" spans="1:11" ht="12.75">
      <c r="A105" s="177"/>
      <c r="B105" s="178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2.75">
      <c r="A106" s="177"/>
      <c r="B106" s="178"/>
      <c r="C106" s="179"/>
      <c r="D106" s="180"/>
      <c r="E106" s="175"/>
      <c r="F106" s="106"/>
      <c r="G106" s="107"/>
      <c r="H106" s="107"/>
      <c r="I106" s="108"/>
      <c r="J106" s="108"/>
      <c r="K106" s="109"/>
    </row>
    <row r="107" spans="1:11" ht="12.75">
      <c r="A107" s="181" t="s">
        <v>233</v>
      </c>
      <c r="B107" s="181"/>
      <c r="C107" s="181"/>
      <c r="D107" s="182"/>
      <c r="E107" s="183"/>
      <c r="F107" s="183"/>
      <c r="G107" s="107"/>
      <c r="H107" s="107"/>
      <c r="I107" s="109"/>
      <c r="J107" s="109"/>
      <c r="K107" s="109"/>
    </row>
    <row r="108" spans="1:11" ht="12.75">
      <c r="A108" s="181" t="s">
        <v>234</v>
      </c>
      <c r="B108" s="181"/>
      <c r="C108" s="181"/>
      <c r="D108" s="184"/>
      <c r="E108" s="185" t="s">
        <v>235</v>
      </c>
      <c r="F108" s="185"/>
      <c r="G108" s="107"/>
      <c r="H108" s="107"/>
      <c r="I108" s="108"/>
      <c r="J108" s="109"/>
      <c r="K108" s="109"/>
    </row>
    <row r="109" spans="1:11" ht="12.75">
      <c r="A109" s="186"/>
      <c r="B109" s="187"/>
      <c r="C109" s="188"/>
      <c r="D109" s="189"/>
      <c r="E109" s="190"/>
      <c r="F109" s="191"/>
      <c r="G109" s="107"/>
      <c r="H109" s="107"/>
      <c r="I109" s="108"/>
      <c r="J109" s="109"/>
      <c r="K109" s="109"/>
    </row>
    <row r="110" spans="1:11" ht="12.75">
      <c r="A110" s="181" t="s">
        <v>236</v>
      </c>
      <c r="B110" s="181"/>
      <c r="C110" s="181"/>
      <c r="D110" s="192"/>
      <c r="E110" s="185" t="s">
        <v>237</v>
      </c>
      <c r="F110" s="185"/>
      <c r="G110" s="107"/>
      <c r="H110" s="107"/>
      <c r="I110" s="108"/>
      <c r="J110" s="109"/>
      <c r="K110" s="109"/>
    </row>
    <row r="111" spans="1:11" ht="12.75">
      <c r="A111" s="186"/>
      <c r="B111" s="193"/>
      <c r="C111" s="194"/>
      <c r="D111" s="195"/>
      <c r="E111" s="190"/>
      <c r="F111" s="191"/>
      <c r="G111" s="107"/>
      <c r="H111" s="107"/>
      <c r="I111" s="108"/>
      <c r="J111" s="109"/>
      <c r="K111" s="109"/>
    </row>
    <row r="112" spans="1:11" ht="12.75">
      <c r="A112" s="181" t="s">
        <v>238</v>
      </c>
      <c r="B112" s="181"/>
      <c r="C112" s="181"/>
      <c r="D112" s="192"/>
      <c r="E112" s="196" t="s">
        <v>239</v>
      </c>
      <c r="F112" s="196"/>
      <c r="G112" s="107"/>
      <c r="H112" s="107"/>
      <c r="I112" s="108"/>
      <c r="J112" s="109"/>
      <c r="K112" s="109"/>
    </row>
    <row r="113" spans="1:11" ht="12.75">
      <c r="A113" s="197"/>
      <c r="B113" s="198"/>
      <c r="C113" s="199"/>
      <c r="D113" s="182"/>
      <c r="E113" s="182"/>
      <c r="F113" s="183"/>
      <c r="G113" s="107"/>
      <c r="H113" s="107"/>
      <c r="I113" s="109"/>
      <c r="J113" s="109"/>
      <c r="K113" s="109"/>
    </row>
    <row r="114" spans="1:6" ht="12.75">
      <c r="A114" s="200"/>
      <c r="B114" s="200"/>
      <c r="C114" s="201" t="s">
        <v>240</v>
      </c>
      <c r="D114" s="202"/>
      <c r="E114" s="203" t="s">
        <v>241</v>
      </c>
      <c r="F114" s="200"/>
    </row>
  </sheetData>
  <sheetProtection/>
  <mergeCells count="35">
    <mergeCell ref="A107:C107"/>
    <mergeCell ref="A108:C108"/>
    <mergeCell ref="E108:F108"/>
    <mergeCell ref="A110:C110"/>
    <mergeCell ref="E110:F110"/>
    <mergeCell ref="A112:C112"/>
    <mergeCell ref="E112:F112"/>
    <mergeCell ref="G20:G21"/>
    <mergeCell ref="H20:H21"/>
    <mergeCell ref="I20:I21"/>
    <mergeCell ref="J20:J21"/>
    <mergeCell ref="K20:K21"/>
    <mergeCell ref="A103:B103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Заворотынская</cp:lastModifiedBy>
  <cp:lastPrinted>2019-03-04T12:33:31Z</cp:lastPrinted>
  <dcterms:created xsi:type="dcterms:W3CDTF">2006-05-12T06:58:42Z</dcterms:created>
  <dcterms:modified xsi:type="dcterms:W3CDTF">2019-05-20T06:40:06Z</dcterms:modified>
  <cp:category/>
  <cp:version/>
  <cp:contentType/>
  <cp:contentStatus/>
</cp:coreProperties>
</file>