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tabRatio="601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<sst xmlns="http://schemas.openxmlformats.org/spreadsheetml/2006/main" count="632" uniqueCount="247">
  <si>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</si>
  <si>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</si>
  <si>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</si>
  <si>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</si>
  <si>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</si>
  <si>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</si>
  <si>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</si>
  <si>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</si>
  <si>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</si>
  <si>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</si>
  <si>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</si>
  <si>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</si>
  <si>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</si>
  <si>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</si>
  <si>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</si>
  <si>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</si>
  <si>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</si>
  <si>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</si>
  <si>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</si>
  <si>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</si>
  <si>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</si>
  <si>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</si>
  <si>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</si>
  <si>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</si>
  <si>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</si>
  <si>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</si>
  <si>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</si>
  <si>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</si>
  <si>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</si>
  <si>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</si>
  <si>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</si>
  <si>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</si>
  <si>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</si>
  <si>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</si>
  <si>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</si>
  <si>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</si>
  <si>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</si>
  <si>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</si>
  <si>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</si>
  <si>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</si>
  <si>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</si>
  <si>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</si>
  <si>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</si>
  <si>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</si>
  <si>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</si>
  <si>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</si>
  <si>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</si>
  <si>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</si>
  <si>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</si>
  <si>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</si>
  <si>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</si>
  <si>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</si>
  <si>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</si>
  <si>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</si>
  <si>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</si>
  <si>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</si>
  <si>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</si>
  <si>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</si>
  <si>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</si>
  <si>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</si>
  <si>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</si>
  <si>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</si>
  <si>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</si>
  <si>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</si>
  <si>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</si>
  <si>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</si>
  <si>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</si>
  <si>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</si>
  <si>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</si>
  <si>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</si>
  <si>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</si>
  <si>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</si>
  <si>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>1 квартал</t>
  </si>
  <si>
    <t>2 квартал</t>
  </si>
  <si>
    <t>3 квартал</t>
  </si>
  <si>
    <t>4 квартал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</si>
  <si>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</si>
  <si>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</si>
  <si>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</si>
  <si>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</si>
  <si>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</si>
  <si>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>План                 на 1 полугодие 2017 года</t>
  </si>
  <si>
    <t xml:space="preserve">% исп-ия к плану на 1 полугодие2017 года </t>
  </si>
  <si>
    <t>План на 2017 год первоначальный</t>
  </si>
  <si>
    <t>План на 2017 год уточненный</t>
  </si>
  <si>
    <t xml:space="preserve">% исп-ия к уточненному плану на 2017год </t>
  </si>
  <si>
    <t xml:space="preserve">% исп-ия к первонач. плану на 2017год </t>
  </si>
  <si>
    <t>Отчет об исполнении консолидированного бюджета Октябрьского района по состоянию на 01.08.2017</t>
  </si>
  <si>
    <t>Исполнение на 01.08.2017</t>
  </si>
  <si>
    <t>Отчет  об  исполнении  консолидированного  бюджета  района  по  расходам на 1 августа 2017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</si>
  <si>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</si>
  <si>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</si>
  <si>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</si>
  <si>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</si>
  <si>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</si>
  <si>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</si>
  <si>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01.08.2017</t>
  </si>
  <si>
    <t>% исполнения</t>
  </si>
  <si>
    <t>исполнения на 01.08.2017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</si>
  <si>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</si>
  <si>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</si>
  <si>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</si>
  <si>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</si>
  <si>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</si>
  <si>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</si>
  <si>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</si>
  <si>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</si>
  <si>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</si>
  <si>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</si>
  <si>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</si>
  <si>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</si>
  <si>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</si>
  <si>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</si>
  <si>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</si>
  <si>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</si>
  <si>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</si>
  <si>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</si>
  <si>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</si>
  <si>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</si>
  <si>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</si>
  <si>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</si>
  <si>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</si>
  <si>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</si>
  <si>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</si>
  <si>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</si>
  <si>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</si>
  <si>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</si>
  <si>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</si>
  <si>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</si>
  <si>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</si>
  <si>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</si>
  <si>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</si>
  <si>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</si>
  <si>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</si>
  <si>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</si>
  <si>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</si>
  <si>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</si>
  <si>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</si>
  <si>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</si>
  <si>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 на 2014-2016  годы" (11101S2390)</t>
  </si>
  <si>
    <t>Муниципальная  программа" Развитие транспортной  системы муниципального  образования Октябрьский  район на 2014-2016  годы"  (1110182390) окружные, местные средства</t>
  </si>
  <si>
    <t>Строительство и реконструкция, капитальный ремонт, ремонт  объектов муниципальной собственности  муниципальной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(1500299990)</t>
  </si>
  <si>
    <t>Содержание автомобильных дорог общего пользования (1110199990) т.с.01.03.01 (дорожный фонд)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</si>
  <si>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</si>
  <si>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</si>
  <si>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</si>
  <si>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</si>
  <si>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 на 2014 – 2020 годы" земля (1800299990)</t>
  </si>
  <si>
    <t>Реализация мероприятий муниципальной программы "Поддержка малого и среднего предпринимательства в Октябрьском районе на 2014-2020 годы" (0800299990, 0800199990) местный бюджет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</si>
  <si>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"Развитие  информационного  общества  Октябрьского  района" муниципальной  программы "Развитие  информационного  и гражданского  общества  Октябрьского  района на 2014-2016 годы " (1700182370, 17001S2370)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</si>
  <si>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(0800282380, 0800182380) окружной бюджет</t>
  </si>
  <si>
    <t>Субсидии на реализацию подпрограммы "Градостроительная деятельность" программы "Обеспечение доступным и комфортным жильем жителей муниципального образования Октябрьский район на 2014-2016 годы"(0910299990) местный бюджет</t>
  </si>
  <si>
    <t>Осуществление полномочий по государственному управлению охраной труда (1910184120) тс. 01.30.39</t>
  </si>
  <si>
    <t>Осуществление полномочий по государственному управлению охраной труда (1910199990) местный бюджет</t>
  </si>
  <si>
    <t>Реализация  мероприятий  муниципальной  программы "Осуществление поселком городского  типа функций  административного  центра  муниципального  образования Октябрьский  район на 2014-2016 годы "  (1500199990)</t>
  </si>
  <si>
    <t>05</t>
  </si>
  <si>
    <t>Жилищно-коммунальное хозяйство</t>
  </si>
  <si>
    <t>0501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</si>
  <si>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(0910182172, 09101S2172) 01.40.36 и 01.02.00</t>
  </si>
  <si>
    <t xml:space="preserve"> "Управление и распоряжение  муниципальным  имуществом муниципального  образования Октябрьский  район" (1800199990)</t>
  </si>
  <si>
    <t>Снос приспособленных для проживания строений (0910342110)</t>
  </si>
  <si>
    <t>Капитальный ремонт жилого фонда (40600S2420,  40600S2430, 4060099990) средства поселений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</si>
  <si>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</si>
  <si>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</si>
  <si>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</si>
  <si>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</si>
  <si>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</si>
  <si>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годы"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</si>
  <si>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""Развитие  жилищно-коммунального   комплекса и повышение  энергетической  эффективности в  муниципальном  образовании Октябрьский  район на 2014-2020 годы" (1010182190) ОЗП доля поселения 10101S2190</t>
  </si>
  <si>
    <t>Иные межбюджетные трансферты для компенсации дополнительных расходов, возникших в результате решений, принятых органами власти другого уровня (1020185150)</t>
  </si>
  <si>
    <t>Реконструкция  объектов коммунальной инфраструктуры (1010142110) местный бюджет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</si>
  <si>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(4060061100, 40600221400, 4060021410)</t>
  </si>
  <si>
    <t>Подготовка к зиме (4060099990)</t>
  </si>
  <si>
    <t>Проектирование и строительство систем инженерной инфракструктуры в целях обеспечения инженерной подготовки земельных участков для жилищного строительства (0910442110)</t>
  </si>
  <si>
    <t>0503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</si>
  <si>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(150019990)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</si>
  <si>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</si>
  <si>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(10601R555F)</t>
  </si>
  <si>
    <t>Внешнее благоустройство (4060099990)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</si>
  <si>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</si>
  <si>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</si>
  <si>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</si>
  <si>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</si>
  <si>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</si>
  <si>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</si>
  <si>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</si>
  <si>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</si>
  <si>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</si>
  <si>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</si>
  <si>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(0140482030, 01404S2030) 01.40.18 и местн.</t>
  </si>
  <si>
    <t>0702</t>
  </si>
  <si>
    <t>Общее образование</t>
  </si>
  <si>
    <t>Бесплатное питание (0140284030, 0140282460)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</si>
  <si>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(0140482030) 01.40.18 и местн.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</si>
  <si>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</si>
  <si>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</si>
  <si>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</si>
  <si>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</si>
  <si>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</si>
  <si>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</si>
  <si>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</si>
  <si>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</si>
  <si>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</si>
  <si>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</si>
  <si>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Субсидии на реализацию подпрограммы "Обеспечение прав граждан на доступ к культурным ценностям и информации" муниципальной  программы "Культура Октябрьского  района на 2014-2020 годы" (0360182100) строительство объектов</t>
  </si>
  <si>
    <t>Подпрограмма "Библиотечное дело" (0310182520, 03101S2520)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</si>
  <si>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</si>
  <si>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</si>
  <si>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</si>
  <si>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</si>
  <si>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</si>
  <si>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</si>
  <si>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</si>
  <si>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(1800582010)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</si>
  <si>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</si>
  <si>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</si>
  <si>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</t>
  </si>
  <si>
    <t>1003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</si>
  <si>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(0910382173, 09103S2173)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</si>
  <si>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(09201R0200 о/б, 0920150200 ф/б, 09201S0200 доля)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</si>
  <si>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</si>
  <si>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</si>
  <si>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</si>
  <si>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(13101R0820)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</si>
  <si>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</si>
  <si>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</si>
  <si>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</si>
  <si>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</si>
  <si>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</si>
  <si>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1201</t>
  </si>
  <si>
    <t>Телевидение и радиовещание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</si>
  <si>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</si>
  <si>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</si>
  <si>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</si>
  <si>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</si>
  <si>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</si>
  <si>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</si>
  <si>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</si>
  <si>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</si>
  <si>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</si>
  <si>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</si>
  <si>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</si>
  <si>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Заворотынская Н.А.</t>
  </si>
  <si>
    <t>Заведующий бюджетным отделом</t>
  </si>
  <si>
    <t>Агеева Н.В.</t>
  </si>
  <si>
    <t>Заведующий отделом  доходов</t>
  </si>
  <si>
    <t>Мартюшова О.Г.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</si>
</sst>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_-* #,##0.0_р_._-;\-* #,##0.0_р_._-;_-* &quot;-&quot;?_р_._-;_-@_-"/>
  </numFmts>
  <fonts count="62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8"/>
      <name val="Arial Cyr"/>
      <family val="0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indexed="1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1"/>
      <color theme="3" tint="-0.24997000396251678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7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176" fontId="7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76" fontId="5" fillId="0" borderId="16" xfId="0" applyNumberFormat="1" applyFont="1" applyFill="1" applyBorder="1" applyAlignment="1">
      <alignment horizontal="right" vertical="top"/>
    </xf>
    <xf numFmtId="176" fontId="5" fillId="0" borderId="16" xfId="0" applyNumberFormat="1" applyFont="1" applyFill="1" applyBorder="1" applyAlignment="1">
      <alignment vertical="top"/>
    </xf>
    <xf numFmtId="0" fontId="2" fillId="0" borderId="15" xfId="0" applyFont="1" applyFill="1" applyBorder="1" applyAlignment="1">
      <alignment vertical="top" wrapText="1" shrinkToFit="1"/>
    </xf>
    <xf numFmtId="176" fontId="5" fillId="0" borderId="14" xfId="0" applyNumberFormat="1" applyFont="1" applyFill="1" applyBorder="1" applyAlignment="1">
      <alignment horizontal="right" vertical="top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176" fontId="4" fillId="0" borderId="16" xfId="0" applyNumberFormat="1" applyFont="1" applyFill="1" applyBorder="1" applyAlignment="1">
      <alignment vertical="top"/>
    </xf>
    <xf numFmtId="49" fontId="1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/>
    </xf>
    <xf numFmtId="176" fontId="4" fillId="0" borderId="14" xfId="0" applyNumberFormat="1" applyFont="1" applyFill="1" applyBorder="1" applyAlignment="1">
      <alignment horizontal="right" vertical="top"/>
    </xf>
    <xf numFmtId="0" fontId="2" fillId="0" borderId="16" xfId="0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/>
    </xf>
    <xf numFmtId="176" fontId="1" fillId="0" borderId="16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vertical="top"/>
    </xf>
    <xf numFmtId="176" fontId="4" fillId="0" borderId="16" xfId="0" applyNumberFormat="1" applyFont="1" applyFill="1" applyBorder="1" applyAlignment="1">
      <alignment horizontal="right" vertical="top"/>
    </xf>
    <xf numFmtId="176" fontId="2" fillId="0" borderId="16" xfId="0" applyNumberFormat="1" applyFont="1" applyFill="1" applyBorder="1" applyAlignment="1">
      <alignment horizontal="right" vertical="top" wrapText="1"/>
    </xf>
    <xf numFmtId="176" fontId="4" fillId="0" borderId="12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49" fontId="2" fillId="0" borderId="14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177" fontId="5" fillId="0" borderId="16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176" fontId="2" fillId="0" borderId="16" xfId="0" applyNumberFormat="1" applyFont="1" applyFill="1" applyBorder="1" applyAlignment="1">
      <alignment horizontal="righ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176" fontId="5" fillId="0" borderId="11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176" fontId="5" fillId="0" borderId="0" xfId="0" applyNumberFormat="1" applyFont="1" applyFill="1" applyAlignment="1">
      <alignment vertical="top"/>
    </xf>
    <xf numFmtId="0" fontId="0" fillId="33" borderId="0" xfId="0" applyFill="1" applyAlignment="1">
      <alignment horizontal="right"/>
    </xf>
    <xf numFmtId="176" fontId="2" fillId="0" borderId="16" xfId="0" applyNumberFormat="1" applyFont="1" applyFill="1" applyBorder="1" applyAlignment="1">
      <alignment vertical="top" wrapText="1"/>
    </xf>
    <xf numFmtId="176" fontId="2" fillId="0" borderId="14" xfId="0" applyNumberFormat="1" applyFont="1" applyFill="1" applyBorder="1" applyAlignment="1">
      <alignment vertical="top" wrapText="1"/>
    </xf>
    <xf numFmtId="176" fontId="1" fillId="0" borderId="16" xfId="0" applyNumberFormat="1" applyFont="1" applyFill="1" applyBorder="1" applyAlignment="1">
      <alignment vertical="top" wrapText="1"/>
    </xf>
    <xf numFmtId="176" fontId="0" fillId="0" borderId="0" xfId="0" applyNumberFormat="1" applyFill="1" applyAlignment="1">
      <alignment vertical="top" wrapText="1"/>
    </xf>
    <xf numFmtId="0" fontId="4" fillId="0" borderId="16" xfId="0" applyFont="1" applyFill="1" applyBorder="1" applyAlignment="1">
      <alignment horizontal="center" vertical="top"/>
    </xf>
    <xf numFmtId="176" fontId="5" fillId="0" borderId="13" xfId="0" applyNumberFormat="1" applyFont="1" applyFill="1" applyBorder="1" applyAlignment="1">
      <alignment horizontal="right" vertical="top"/>
    </xf>
    <xf numFmtId="176" fontId="2" fillId="0" borderId="15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 vertical="top" wrapText="1"/>
    </xf>
    <xf numFmtId="0" fontId="6" fillId="0" borderId="0" xfId="0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176" fontId="5" fillId="0" borderId="14" xfId="0" applyNumberFormat="1" applyFont="1" applyFill="1" applyBorder="1" applyAlignment="1">
      <alignment vertical="top"/>
    </xf>
    <xf numFmtId="49" fontId="2" fillId="0" borderId="15" xfId="0" applyNumberFormat="1" applyFont="1" applyFill="1" applyBorder="1" applyAlignment="1">
      <alignment horizontal="center" vertical="top" wrapText="1"/>
    </xf>
    <xf numFmtId="176" fontId="1" fillId="0" borderId="16" xfId="0" applyNumberFormat="1" applyFont="1" applyFill="1" applyBorder="1" applyAlignment="1">
      <alignment vertical="top"/>
    </xf>
    <xf numFmtId="176" fontId="2" fillId="0" borderId="16" xfId="0" applyNumberFormat="1" applyFont="1" applyFill="1" applyBorder="1" applyAlignment="1">
      <alignment vertical="top"/>
    </xf>
    <xf numFmtId="4" fontId="2" fillId="0" borderId="15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vertical="top" wrapText="1"/>
    </xf>
    <xf numFmtId="4" fontId="2" fillId="0" borderId="15" xfId="0" applyNumberFormat="1" applyFont="1" applyFill="1" applyBorder="1" applyAlignment="1">
      <alignment vertical="top" wrapText="1" shrinkToFit="1"/>
    </xf>
    <xf numFmtId="176" fontId="2" fillId="0" borderId="16" xfId="0" applyNumberFormat="1" applyFont="1" applyFill="1" applyBorder="1" applyAlignment="1">
      <alignment vertical="top" wrapText="1" shrinkToFit="1"/>
    </xf>
    <xf numFmtId="49" fontId="2" fillId="0" borderId="16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right" vertical="top" wrapText="1"/>
    </xf>
    <xf numFmtId="176" fontId="2" fillId="0" borderId="16" xfId="0" applyNumberFormat="1" applyFont="1" applyFill="1" applyBorder="1" applyAlignment="1">
      <alignment horizontal="right" vertical="top" wrapText="1" shrinkToFi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vertical="top"/>
    </xf>
    <xf numFmtId="176" fontId="2" fillId="0" borderId="14" xfId="0" applyNumberFormat="1" applyFont="1" applyFill="1" applyBorder="1" applyAlignment="1">
      <alignment horizontal="right" vertical="top" wrapText="1"/>
    </xf>
    <xf numFmtId="176" fontId="1" fillId="0" borderId="17" xfId="0" applyNumberFormat="1" applyFont="1" applyFill="1" applyBorder="1" applyAlignment="1">
      <alignment horizontal="right" vertical="top" wrapText="1"/>
    </xf>
    <xf numFmtId="176" fontId="2" fillId="0" borderId="16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4" fontId="2" fillId="0" borderId="16" xfId="0" applyNumberFormat="1" applyFont="1" applyFill="1" applyBorder="1" applyAlignment="1">
      <alignment horizontal="right" vertical="top"/>
    </xf>
    <xf numFmtId="49" fontId="5" fillId="0" borderId="15" xfId="0" applyNumberFormat="1" applyFont="1" applyFill="1" applyBorder="1" applyAlignment="1">
      <alignment horizontal="center" vertical="top"/>
    </xf>
    <xf numFmtId="176" fontId="2" fillId="0" borderId="15" xfId="0" applyNumberFormat="1" applyFont="1" applyFill="1" applyBorder="1" applyAlignment="1">
      <alignment horizontal="right" vertical="top" wrapText="1"/>
    </xf>
    <xf numFmtId="49" fontId="2" fillId="0" borderId="16" xfId="0" applyNumberFormat="1" applyFont="1" applyFill="1" applyBorder="1" applyAlignment="1">
      <alignment vertical="top" wrapText="1"/>
    </xf>
    <xf numFmtId="4" fontId="2" fillId="0" borderId="16" xfId="0" applyNumberFormat="1" applyFont="1" applyFill="1" applyBorder="1" applyAlignment="1">
      <alignment vertical="top" wrapText="1"/>
    </xf>
    <xf numFmtId="49" fontId="10" fillId="0" borderId="0" xfId="53" applyNumberFormat="1" applyFont="1" applyAlignment="1">
      <alignment horizontal="center" vertical="center" wrapText="1"/>
      <protection/>
    </xf>
    <xf numFmtId="0" fontId="10" fillId="0" borderId="0" xfId="53" applyNumberFormat="1" applyFont="1" applyAlignment="1">
      <alignment horizontal="left" vertical="center" wrapText="1"/>
      <protection/>
    </xf>
    <xf numFmtId="184" fontId="59" fillId="0" borderId="0" xfId="53" applyNumberFormat="1" applyFont="1" applyFill="1" applyAlignment="1">
      <alignment horizontal="center" vertical="center" wrapText="1"/>
      <protection/>
    </xf>
    <xf numFmtId="184" fontId="11" fillId="0" borderId="0" xfId="53" applyNumberFormat="1" applyFont="1" applyFill="1" applyBorder="1" applyAlignment="1">
      <alignment horizontal="center" vertical="center" wrapText="1"/>
      <protection/>
    </xf>
    <xf numFmtId="184" fontId="11" fillId="0" borderId="0" xfId="53" applyNumberFormat="1" applyFont="1" applyFill="1" applyAlignment="1">
      <alignment horizontal="center" vertical="center" wrapText="1"/>
      <protection/>
    </xf>
    <xf numFmtId="184" fontId="11" fillId="0" borderId="0" xfId="0" applyNumberFormat="1" applyFont="1" applyFill="1" applyAlignment="1">
      <alignment horizontal="center" vertical="center" wrapText="1"/>
    </xf>
    <xf numFmtId="184" fontId="11" fillId="0" borderId="0" xfId="0" applyNumberFormat="1" applyFont="1" applyAlignment="1">
      <alignment horizontal="center" vertical="center" wrapText="1"/>
    </xf>
    <xf numFmtId="184" fontId="12" fillId="0" borderId="0" xfId="0" applyNumberFormat="1" applyFont="1" applyFill="1" applyAlignment="1">
      <alignment horizontal="center" vertical="center" wrapText="1"/>
    </xf>
    <xf numFmtId="184" fontId="12" fillId="0" borderId="0" xfId="0" applyNumberFormat="1" applyFont="1" applyAlignment="1">
      <alignment horizontal="center" vertical="center" wrapText="1"/>
    </xf>
    <xf numFmtId="184" fontId="14" fillId="0" borderId="16" xfId="53" applyNumberFormat="1" applyFont="1" applyFill="1" applyBorder="1" applyAlignment="1">
      <alignment horizontal="center" vertical="center" wrapText="1"/>
      <protection/>
    </xf>
    <xf numFmtId="184" fontId="15" fillId="0" borderId="16" xfId="0" applyNumberFormat="1" applyFont="1" applyBorder="1" applyAlignment="1">
      <alignment horizontal="center" vertical="center" wrapText="1"/>
    </xf>
    <xf numFmtId="49" fontId="17" fillId="34" borderId="18" xfId="53" applyNumberFormat="1" applyFont="1" applyFill="1" applyBorder="1" applyAlignment="1" quotePrefix="1">
      <alignment horizontal="center" vertical="center" wrapText="1"/>
      <protection/>
    </xf>
    <xf numFmtId="0" fontId="17" fillId="34" borderId="16" xfId="53" applyNumberFormat="1" applyFont="1" applyFill="1" applyBorder="1" applyAlignment="1">
      <alignment horizontal="left" vertical="center" wrapText="1"/>
      <protection/>
    </xf>
    <xf numFmtId="184" fontId="15" fillId="34" borderId="16" xfId="53" applyNumberFormat="1" applyFont="1" applyFill="1" applyBorder="1" applyAlignment="1">
      <alignment horizontal="center" vertical="center" wrapText="1"/>
      <protection/>
    </xf>
    <xf numFmtId="184" fontId="14" fillId="34" borderId="16" xfId="0" applyNumberFormat="1" applyFont="1" applyFill="1" applyBorder="1" applyAlignment="1">
      <alignment horizontal="center" vertical="center" wrapText="1"/>
    </xf>
    <xf numFmtId="184" fontId="15" fillId="34" borderId="19" xfId="0" applyNumberFormat="1" applyFont="1" applyFill="1" applyBorder="1" applyAlignment="1">
      <alignment horizontal="center" vertical="center" wrapText="1"/>
    </xf>
    <xf numFmtId="49" fontId="13" fillId="0" borderId="18" xfId="53" applyNumberFormat="1" applyFont="1" applyFill="1" applyBorder="1" applyAlignment="1" quotePrefix="1">
      <alignment horizontal="center" vertical="center" wrapText="1"/>
      <protection/>
    </xf>
    <xf numFmtId="0" fontId="13" fillId="0" borderId="16" xfId="53" applyNumberFormat="1" applyFont="1" applyFill="1" applyBorder="1" applyAlignment="1">
      <alignment horizontal="left" vertical="center" wrapText="1"/>
      <protection/>
    </xf>
    <xf numFmtId="184" fontId="14" fillId="0" borderId="16" xfId="0" applyNumberFormat="1" applyFont="1" applyFill="1" applyBorder="1" applyAlignment="1">
      <alignment horizontal="center" vertical="center" wrapText="1"/>
    </xf>
    <xf numFmtId="184" fontId="15" fillId="0" borderId="16" xfId="0" applyNumberFormat="1" applyFont="1" applyFill="1" applyBorder="1" applyAlignment="1">
      <alignment horizontal="center" vertical="center" wrapText="1"/>
    </xf>
    <xf numFmtId="184" fontId="15" fillId="0" borderId="19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49" fontId="13" fillId="0" borderId="18" xfId="53" applyNumberFormat="1" applyFont="1" applyFill="1" applyBorder="1" applyAlignment="1">
      <alignment horizontal="center" vertical="center" wrapText="1"/>
      <protection/>
    </xf>
    <xf numFmtId="184" fontId="14" fillId="34" borderId="16" xfId="53" applyNumberFormat="1" applyFont="1" applyFill="1" applyBorder="1" applyAlignment="1">
      <alignment horizontal="center" vertical="center" wrapText="1"/>
      <protection/>
    </xf>
    <xf numFmtId="184" fontId="15" fillId="34" borderId="19" xfId="53" applyNumberFormat="1" applyFont="1" applyFill="1" applyBorder="1" applyAlignment="1">
      <alignment horizontal="center" vertical="center" wrapText="1"/>
      <protection/>
    </xf>
    <xf numFmtId="0" fontId="13" fillId="33" borderId="16" xfId="53" applyNumberFormat="1" applyFont="1" applyFill="1" applyBorder="1" applyAlignment="1">
      <alignment horizontal="left" vertical="center" wrapText="1"/>
      <protection/>
    </xf>
    <xf numFmtId="0" fontId="14" fillId="0" borderId="16" xfId="52" applyNumberFormat="1" applyFont="1" applyFill="1" applyBorder="1" applyAlignment="1" applyProtection="1">
      <alignment horizontal="left" vertical="center" wrapText="1"/>
      <protection hidden="1"/>
    </xf>
    <xf numFmtId="184" fontId="14" fillId="35" borderId="16" xfId="0" applyNumberFormat="1" applyFont="1" applyFill="1" applyBorder="1" applyAlignment="1">
      <alignment horizontal="center" vertical="center" wrapText="1"/>
    </xf>
    <xf numFmtId="184" fontId="14" fillId="35" borderId="16" xfId="53" applyNumberFormat="1" applyFont="1" applyFill="1" applyBorder="1" applyAlignment="1">
      <alignment horizontal="center" vertical="center" wrapText="1"/>
      <protection/>
    </xf>
    <xf numFmtId="184" fontId="15" fillId="36" borderId="16" xfId="53" applyNumberFormat="1" applyFont="1" applyFill="1" applyBorder="1" applyAlignment="1">
      <alignment horizontal="center" vertical="center" wrapText="1"/>
      <protection/>
    </xf>
    <xf numFmtId="184" fontId="15" fillId="34" borderId="16" xfId="0" applyNumberFormat="1" applyFont="1" applyFill="1" applyBorder="1" applyAlignment="1">
      <alignment horizontal="center" vertical="center" wrapText="1"/>
    </xf>
    <xf numFmtId="184" fontId="60" fillId="0" borderId="16" xfId="53" applyNumberFormat="1" applyFont="1" applyFill="1" applyBorder="1" applyAlignment="1">
      <alignment horizontal="center" vertical="center" wrapText="1"/>
      <protection/>
    </xf>
    <xf numFmtId="0" fontId="19" fillId="0" borderId="16" xfId="53" applyNumberFormat="1" applyFont="1" applyFill="1" applyBorder="1" applyAlignment="1">
      <alignment horizontal="left" vertical="center" wrapText="1"/>
      <protection/>
    </xf>
    <xf numFmtId="49" fontId="17" fillId="34" borderId="18" xfId="53" applyNumberFormat="1" applyFont="1" applyFill="1" applyBorder="1" applyAlignment="1">
      <alignment horizontal="center" vertical="center" wrapText="1"/>
      <protection/>
    </xf>
    <xf numFmtId="0" fontId="17" fillId="34" borderId="16" xfId="0" applyNumberFormat="1" applyFont="1" applyFill="1" applyBorder="1" applyAlignment="1">
      <alignment horizontal="left" vertical="center" wrapText="1"/>
    </xf>
    <xf numFmtId="0" fontId="13" fillId="0" borderId="16" xfId="0" applyNumberFormat="1" applyFont="1" applyFill="1" applyBorder="1" applyAlignment="1">
      <alignment horizontal="left" vertical="center" wrapText="1"/>
    </xf>
    <xf numFmtId="0" fontId="14" fillId="0" borderId="16" xfId="53" applyNumberFormat="1" applyFont="1" applyFill="1" applyBorder="1" applyAlignment="1">
      <alignment horizontal="left" vertical="center" wrapText="1"/>
      <protection/>
    </xf>
    <xf numFmtId="49" fontId="14" fillId="0" borderId="18" xfId="53" applyNumberFormat="1" applyFont="1" applyFill="1" applyBorder="1" applyAlignment="1">
      <alignment horizontal="center" vertical="center" wrapText="1"/>
      <protection/>
    </xf>
    <xf numFmtId="184" fontId="14" fillId="36" borderId="16" xfId="53" applyNumberFormat="1" applyFont="1" applyFill="1" applyBorder="1" applyAlignment="1">
      <alignment horizontal="center" vertical="center" wrapText="1"/>
      <protection/>
    </xf>
    <xf numFmtId="184" fontId="14" fillId="36" borderId="16" xfId="0" applyNumberFormat="1" applyFont="1" applyFill="1" applyBorder="1" applyAlignment="1">
      <alignment horizontal="center" vertical="center" wrapText="1"/>
    </xf>
    <xf numFmtId="184" fontId="15" fillId="6" borderId="20" xfId="53" applyNumberFormat="1" applyFont="1" applyFill="1" applyBorder="1" applyAlignment="1">
      <alignment horizontal="center" vertical="center" wrapText="1"/>
      <protection/>
    </xf>
    <xf numFmtId="184" fontId="15" fillId="6" borderId="20" xfId="0" applyNumberFormat="1" applyFont="1" applyFill="1" applyBorder="1" applyAlignment="1">
      <alignment horizontal="center" vertical="center" wrapText="1"/>
    </xf>
    <xf numFmtId="184" fontId="15" fillId="6" borderId="21" xfId="0" applyNumberFormat="1" applyFont="1" applyFill="1" applyBorder="1" applyAlignment="1">
      <alignment horizontal="center" vertical="center" wrapText="1"/>
    </xf>
    <xf numFmtId="49" fontId="10" fillId="0" borderId="0" xfId="53" applyNumberFormat="1" applyFont="1" applyFill="1" applyBorder="1" applyAlignment="1">
      <alignment horizontal="center" vertical="center" wrapText="1"/>
      <protection/>
    </xf>
    <xf numFmtId="0" fontId="10" fillId="0" borderId="0" xfId="53" applyNumberFormat="1" applyFont="1" applyFill="1" applyBorder="1" applyAlignment="1">
      <alignment horizontal="left" vertical="center" wrapText="1"/>
      <protection/>
    </xf>
    <xf numFmtId="184" fontId="59" fillId="0" borderId="0" xfId="53" applyNumberFormat="1" applyFont="1" applyFill="1" applyBorder="1" applyAlignment="1">
      <alignment horizontal="center" vertical="center" wrapText="1"/>
      <protection/>
    </xf>
    <xf numFmtId="184" fontId="12" fillId="0" borderId="0" xfId="53" applyNumberFormat="1" applyFont="1" applyFill="1" applyBorder="1" applyAlignment="1">
      <alignment horizontal="center" vertical="center" wrapText="1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184" fontId="59" fillId="0" borderId="0" xfId="0" applyNumberFormat="1" applyFont="1" applyFill="1" applyBorder="1" applyAlignment="1">
      <alignment horizontal="center" vertical="center" wrapText="1"/>
    </xf>
    <xf numFmtId="184" fontId="11" fillId="0" borderId="0" xfId="0" applyNumberFormat="1" applyFont="1" applyFill="1" applyBorder="1" applyAlignment="1">
      <alignment horizontal="center" vertical="center" wrapText="1"/>
    </xf>
    <xf numFmtId="184" fontId="21" fillId="0" borderId="0" xfId="0" applyNumberFormat="1" applyFont="1" applyFill="1" applyAlignment="1">
      <alignment horizontal="center" vertical="center" wrapText="1"/>
    </xf>
    <xf numFmtId="184" fontId="21" fillId="0" borderId="0" xfId="0" applyNumberFormat="1" applyFont="1" applyAlignment="1">
      <alignment horizontal="center" vertical="center" wrapText="1"/>
    </xf>
    <xf numFmtId="184" fontId="21" fillId="0" borderId="15" xfId="53" applyNumberFormat="1" applyFont="1" applyFill="1" applyBorder="1" applyAlignment="1">
      <alignment horizontal="center" vertical="center" wrapText="1"/>
      <protection/>
    </xf>
    <xf numFmtId="49" fontId="19" fillId="0" borderId="0" xfId="0" applyNumberFormat="1" applyFont="1" applyFill="1" applyBorder="1" applyAlignment="1">
      <alignment horizontal="right" vertical="center" wrapText="1"/>
    </xf>
    <xf numFmtId="0" fontId="19" fillId="0" borderId="0" xfId="53" applyNumberFormat="1" applyFont="1" applyFill="1" applyBorder="1" applyAlignment="1">
      <alignment horizontal="left" vertical="center" wrapText="1"/>
      <protection/>
    </xf>
    <xf numFmtId="184" fontId="61" fillId="0" borderId="0" xfId="53" applyNumberFormat="1" applyFont="1" applyFill="1" applyBorder="1" applyAlignment="1">
      <alignment horizontal="center" vertical="center" wrapText="1"/>
      <protection/>
    </xf>
    <xf numFmtId="184" fontId="21" fillId="0" borderId="0" xfId="53" applyNumberFormat="1" applyFont="1" applyFill="1" applyBorder="1" applyAlignment="1">
      <alignment horizontal="center" vertical="center" wrapText="1"/>
      <protection/>
    </xf>
    <xf numFmtId="184" fontId="21" fillId="0" borderId="0" xfId="0" applyNumberFormat="1" applyFont="1" applyFill="1" applyBorder="1" applyAlignment="1">
      <alignment horizontal="left" vertical="center" wrapText="1"/>
    </xf>
    <xf numFmtId="184" fontId="21" fillId="0" borderId="0" xfId="0" applyNumberFormat="1" applyFont="1" applyFill="1" applyAlignment="1">
      <alignment horizontal="left" vertical="center" wrapText="1"/>
    </xf>
    <xf numFmtId="184" fontId="21" fillId="0" borderId="15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184" fontId="61" fillId="0" borderId="0" xfId="0" applyNumberFormat="1" applyFont="1" applyFill="1" applyBorder="1" applyAlignment="1">
      <alignment horizontal="center" vertical="center" wrapText="1"/>
    </xf>
    <xf numFmtId="184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184" fontId="61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21" fillId="0" borderId="0" xfId="0" applyFont="1" applyAlignment="1">
      <alignment/>
    </xf>
    <xf numFmtId="176" fontId="4" fillId="0" borderId="22" xfId="0" applyNumberFormat="1" applyFont="1" applyFill="1" applyBorder="1" applyAlignment="1">
      <alignment horizontal="center" vertical="top"/>
    </xf>
    <xf numFmtId="176" fontId="4" fillId="0" borderId="23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170" fontId="2" fillId="0" borderId="10" xfId="42" applyFont="1" applyFill="1" applyBorder="1" applyAlignment="1">
      <alignment horizontal="center" vertical="top" wrapText="1"/>
    </xf>
    <xf numFmtId="170" fontId="2" fillId="0" borderId="22" xfId="42" applyFont="1" applyFill="1" applyBorder="1" applyAlignment="1">
      <alignment horizontal="center" vertical="top" wrapText="1"/>
    </xf>
    <xf numFmtId="170" fontId="2" fillId="0" borderId="23" xfId="42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19" fillId="0" borderId="0" xfId="53" applyNumberFormat="1" applyFont="1" applyFill="1" applyBorder="1" applyAlignment="1">
      <alignment horizontal="right" vertical="center" wrapText="1"/>
      <protection/>
    </xf>
    <xf numFmtId="184" fontId="21" fillId="0" borderId="0" xfId="53" applyNumberFormat="1" applyFont="1" applyFill="1" applyBorder="1" applyAlignment="1">
      <alignment horizontal="left" vertical="center" wrapText="1"/>
      <protection/>
    </xf>
    <xf numFmtId="184" fontId="21" fillId="0" borderId="0" xfId="0" applyNumberFormat="1" applyFont="1" applyFill="1" applyBorder="1" applyAlignment="1">
      <alignment horizontal="left" vertical="center" wrapText="1"/>
    </xf>
    <xf numFmtId="184" fontId="15" fillId="36" borderId="16" xfId="53" applyNumberFormat="1" applyFont="1" applyFill="1" applyBorder="1" applyAlignment="1">
      <alignment horizontal="center" vertical="center" wrapText="1"/>
      <protection/>
    </xf>
    <xf numFmtId="0" fontId="20" fillId="6" borderId="26" xfId="53" applyNumberFormat="1" applyFont="1" applyFill="1" applyBorder="1" applyAlignment="1">
      <alignment horizontal="center" vertical="center" wrapText="1"/>
      <protection/>
    </xf>
    <xf numFmtId="0" fontId="20" fillId="6" borderId="20" xfId="53" applyNumberFormat="1" applyFont="1" applyFill="1" applyBorder="1" applyAlignment="1">
      <alignment horizontal="center" vertical="center" wrapText="1"/>
      <protection/>
    </xf>
    <xf numFmtId="0" fontId="17" fillId="0" borderId="16" xfId="53" applyNumberFormat="1" applyFont="1" applyFill="1" applyBorder="1" applyAlignment="1">
      <alignment horizontal="center" vertical="center" wrapText="1"/>
      <protection/>
    </xf>
    <xf numFmtId="0" fontId="17" fillId="0" borderId="19" xfId="53" applyNumberFormat="1" applyFont="1" applyFill="1" applyBorder="1" applyAlignment="1">
      <alignment horizontal="center" vertical="center" wrapText="1"/>
      <protection/>
    </xf>
    <xf numFmtId="49" fontId="17" fillId="34" borderId="18" xfId="53" applyNumberFormat="1" applyFont="1" applyFill="1" applyBorder="1" applyAlignment="1" quotePrefix="1">
      <alignment horizontal="center" vertical="center" wrapText="1"/>
      <protection/>
    </xf>
    <xf numFmtId="0" fontId="17" fillId="34" borderId="16" xfId="53" applyNumberFormat="1" applyFont="1" applyFill="1" applyBorder="1" applyAlignment="1">
      <alignment horizontal="left" vertical="center" wrapText="1"/>
      <protection/>
    </xf>
    <xf numFmtId="184" fontId="14" fillId="0" borderId="16" xfId="53" applyNumberFormat="1" applyFont="1" applyFill="1" applyBorder="1" applyAlignment="1">
      <alignment horizontal="center" vertical="center" wrapText="1"/>
      <protection/>
    </xf>
    <xf numFmtId="184" fontId="14" fillId="0" borderId="16" xfId="0" applyNumberFormat="1" applyFont="1" applyBorder="1" applyAlignment="1">
      <alignment horizontal="center" vertical="center" wrapText="1"/>
    </xf>
    <xf numFmtId="184" fontId="14" fillId="0" borderId="16" xfId="53" applyNumberFormat="1" applyFont="1" applyBorder="1" applyAlignment="1">
      <alignment horizontal="center" vertical="center" wrapText="1"/>
      <protection/>
    </xf>
    <xf numFmtId="184" fontId="15" fillId="0" borderId="16" xfId="53" applyNumberFormat="1" applyFont="1" applyFill="1" applyBorder="1" applyAlignment="1">
      <alignment horizontal="center" vertical="center" wrapText="1"/>
      <protection/>
    </xf>
    <xf numFmtId="184" fontId="15" fillId="0" borderId="16" xfId="0" applyNumberFormat="1" applyFont="1" applyBorder="1" applyAlignment="1">
      <alignment horizontal="center" vertical="center" wrapText="1"/>
    </xf>
    <xf numFmtId="184" fontId="15" fillId="0" borderId="16" xfId="53" applyNumberFormat="1" applyFont="1" applyBorder="1" applyAlignment="1">
      <alignment horizontal="center" vertical="center" wrapText="1"/>
      <protection/>
    </xf>
    <xf numFmtId="184" fontId="15" fillId="0" borderId="19" xfId="53" applyNumberFormat="1" applyFont="1" applyBorder="1" applyAlignment="1">
      <alignment horizontal="center" vertical="center" wrapText="1"/>
      <protection/>
    </xf>
    <xf numFmtId="184" fontId="15" fillId="0" borderId="19" xfId="0" applyNumberFormat="1" applyFont="1" applyBorder="1" applyAlignment="1">
      <alignment horizontal="center" vertical="center" wrapText="1"/>
    </xf>
    <xf numFmtId="0" fontId="9" fillId="0" borderId="0" xfId="53" applyNumberFormat="1" applyFont="1" applyAlignment="1">
      <alignment horizontal="center" vertical="center" wrapText="1"/>
      <protection/>
    </xf>
    <xf numFmtId="49" fontId="13" fillId="0" borderId="27" xfId="53" applyNumberFormat="1" applyFont="1" applyBorder="1" applyAlignment="1">
      <alignment horizontal="center" vertical="center" wrapText="1"/>
      <protection/>
    </xf>
    <xf numFmtId="49" fontId="13" fillId="0" borderId="18" xfId="53" applyNumberFormat="1" applyFont="1" applyBorder="1" applyAlignment="1">
      <alignment horizontal="center" vertical="center" wrapText="1"/>
      <protection/>
    </xf>
    <xf numFmtId="0" fontId="13" fillId="0" borderId="28" xfId="53" applyNumberFormat="1" applyFont="1" applyBorder="1" applyAlignment="1">
      <alignment horizontal="center" vertical="center" wrapText="1"/>
      <protection/>
    </xf>
    <xf numFmtId="0" fontId="13" fillId="0" borderId="16" xfId="53" applyNumberFormat="1" applyFont="1" applyBorder="1" applyAlignment="1">
      <alignment horizontal="center" vertical="center" wrapText="1"/>
      <protection/>
    </xf>
    <xf numFmtId="184" fontId="14" fillId="0" borderId="28" xfId="53" applyNumberFormat="1" applyFont="1" applyFill="1" applyBorder="1" applyAlignment="1">
      <alignment horizontal="center" vertical="center" wrapText="1"/>
      <protection/>
    </xf>
    <xf numFmtId="184" fontId="14" fillId="0" borderId="28" xfId="0" applyNumberFormat="1" applyFont="1" applyBorder="1" applyAlignment="1">
      <alignment horizontal="center" vertical="center" wrapText="1"/>
    </xf>
    <xf numFmtId="184" fontId="15" fillId="0" borderId="28" xfId="0" applyNumberFormat="1" applyFont="1" applyFill="1" applyBorder="1" applyAlignment="1">
      <alignment horizontal="center" vertical="center" wrapText="1"/>
    </xf>
    <xf numFmtId="184" fontId="15" fillId="0" borderId="29" xfId="0" applyNumberFormat="1" applyFont="1" applyFill="1" applyBorder="1" applyAlignment="1">
      <alignment horizontal="center" vertical="center" wrapText="1"/>
    </xf>
    <xf numFmtId="184" fontId="16" fillId="0" borderId="16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4"/>
  <sheetViews>
    <sheetView zoomScalePageLayoutView="0" workbookViewId="0" topLeftCell="A1">
      <pane xSplit="3" ySplit="7" topLeftCell="D2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42" sqref="I42"/>
    </sheetView>
  </sheetViews>
  <sheetFormatPr defaultColWidth="9.00390625" defaultRowHeight="12.75" outlineLevelCol="1"/>
  <cols>
    <col min="1" max="1" width="21.25390625" style="1" customWidth="1"/>
    <col min="2" max="2" width="6.75390625" style="1" hidden="1" customWidth="1"/>
    <col min="3" max="3" width="56.375" style="1" customWidth="1"/>
    <col min="4" max="4" width="12.625" style="1" customWidth="1"/>
    <col min="5" max="5" width="11.875" style="1" customWidth="1"/>
    <col min="6" max="6" width="12.00390625" style="1" hidden="1" customWidth="1"/>
    <col min="7" max="7" width="2.75390625" style="1" hidden="1" customWidth="1"/>
    <col min="8" max="8" width="3.125" style="1" hidden="1" customWidth="1"/>
    <col min="9" max="9" width="14.125" style="1" hidden="1" customWidth="1"/>
    <col min="10" max="10" width="9.625" style="1" hidden="1" customWidth="1" outlineLevel="1"/>
    <col min="11" max="11" width="11.00390625" style="1" customWidth="1" collapsed="1"/>
    <col min="12" max="12" width="10.25390625" style="1" hidden="1" customWidth="1"/>
    <col min="13" max="13" width="7.00390625" style="1" hidden="1" customWidth="1"/>
    <col min="14" max="14" width="9.125" style="1" hidden="1" customWidth="1"/>
    <col min="15" max="15" width="14.25390625" style="1" hidden="1" customWidth="1"/>
    <col min="16" max="16" width="7.25390625" style="1" hidden="1" customWidth="1"/>
    <col min="17" max="17" width="9.75390625" style="1" hidden="1" customWidth="1"/>
    <col min="18" max="18" width="10.125" style="1" customWidth="1"/>
    <col min="19" max="19" width="9.375" style="1" customWidth="1"/>
    <col min="20" max="16384" width="9.125" style="1" customWidth="1"/>
  </cols>
  <sheetData>
    <row r="1" spans="1:19" ht="12.75">
      <c r="A1" s="184" t="s">
        <v>87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1:13" ht="9.75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ht="14.25" customHeight="1">
      <c r="A3" s="11"/>
      <c r="B3" s="11"/>
      <c r="C3" s="12"/>
      <c r="D3" s="12"/>
      <c r="E3" s="12"/>
      <c r="F3" s="12"/>
      <c r="G3" s="12"/>
      <c r="H3" s="12"/>
      <c r="I3" s="13"/>
      <c r="J3" s="13"/>
      <c r="K3" s="59" t="s">
        <v>69</v>
      </c>
      <c r="L3" s="13"/>
      <c r="M3" s="13"/>
    </row>
    <row r="4" spans="1:19" ht="12.75" customHeight="1">
      <c r="A4" s="14" t="s">
        <v>41</v>
      </c>
      <c r="B4" s="14"/>
      <c r="C4" s="15"/>
      <c r="D4" s="177" t="s">
        <v>83</v>
      </c>
      <c r="E4" s="177" t="s">
        <v>84</v>
      </c>
      <c r="F4" s="177" t="s">
        <v>81</v>
      </c>
      <c r="G4" s="181" t="s">
        <v>72</v>
      </c>
      <c r="H4" s="181" t="s">
        <v>73</v>
      </c>
      <c r="I4" s="181" t="s">
        <v>74</v>
      </c>
      <c r="J4" s="181" t="s">
        <v>75</v>
      </c>
      <c r="K4" s="177" t="s">
        <v>88</v>
      </c>
      <c r="L4" s="177" t="s">
        <v>76</v>
      </c>
      <c r="M4" s="177" t="s">
        <v>77</v>
      </c>
      <c r="N4" s="177" t="s">
        <v>78</v>
      </c>
      <c r="O4" s="177" t="s">
        <v>79</v>
      </c>
      <c r="P4" s="177" t="s">
        <v>80</v>
      </c>
      <c r="Q4" s="177" t="s">
        <v>82</v>
      </c>
      <c r="R4" s="177" t="s">
        <v>86</v>
      </c>
      <c r="S4" s="177" t="s">
        <v>85</v>
      </c>
    </row>
    <row r="5" spans="1:19" ht="27.75" customHeight="1">
      <c r="A5" s="16" t="s">
        <v>46</v>
      </c>
      <c r="B5" s="16"/>
      <c r="C5" s="17" t="s">
        <v>16</v>
      </c>
      <c r="D5" s="178"/>
      <c r="E5" s="178"/>
      <c r="F5" s="178"/>
      <c r="G5" s="182"/>
      <c r="H5" s="182"/>
      <c r="I5" s="182"/>
      <c r="J5" s="182"/>
      <c r="K5" s="178"/>
      <c r="L5" s="178"/>
      <c r="M5" s="178"/>
      <c r="N5" s="178"/>
      <c r="O5" s="178"/>
      <c r="P5" s="178"/>
      <c r="Q5" s="178"/>
      <c r="R5" s="178"/>
      <c r="S5" s="178"/>
    </row>
    <row r="6" spans="1:19" ht="39.75" customHeight="1">
      <c r="A6" s="16"/>
      <c r="B6" s="16"/>
      <c r="C6" s="17"/>
      <c r="D6" s="179"/>
      <c r="E6" s="179"/>
      <c r="F6" s="179"/>
      <c r="G6" s="183"/>
      <c r="H6" s="183"/>
      <c r="I6" s="183"/>
      <c r="J6" s="183"/>
      <c r="K6" s="179"/>
      <c r="L6" s="179"/>
      <c r="M6" s="179"/>
      <c r="N6" s="179"/>
      <c r="O6" s="179"/>
      <c r="P6" s="179"/>
      <c r="Q6" s="179"/>
      <c r="R6" s="179"/>
      <c r="S6" s="179"/>
    </row>
    <row r="7" spans="1:17" ht="12.75">
      <c r="A7" s="180" t="s">
        <v>24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68"/>
    </row>
    <row r="8" spans="1:19" ht="12.75">
      <c r="A8" s="69" t="s">
        <v>3</v>
      </c>
      <c r="B8" s="69"/>
      <c r="C8" s="70" t="s">
        <v>68</v>
      </c>
      <c r="D8" s="43">
        <f aca="true" t="shared" si="0" ref="D8:J8">D9+D11+D12+D13+D15+D16+D18+D20+D14+D21+D17+D19+D10</f>
        <v>723280.9</v>
      </c>
      <c r="E8" s="43">
        <f t="shared" si="0"/>
        <v>752430.8999999999</v>
      </c>
      <c r="F8" s="43">
        <f t="shared" si="0"/>
        <v>406897.6999999999</v>
      </c>
      <c r="G8" s="43">
        <f t="shared" si="0"/>
        <v>208612.00000000003</v>
      </c>
      <c r="H8" s="43">
        <f t="shared" si="0"/>
        <v>198285.7</v>
      </c>
      <c r="I8" s="43">
        <f t="shared" si="0"/>
        <v>163211.1</v>
      </c>
      <c r="J8" s="43">
        <f t="shared" si="0"/>
        <v>182322.09999999998</v>
      </c>
      <c r="K8" s="43">
        <f>K9+K11+K12+K13+K15+K16+K18+K20+K14+K21+K17+K19+K10</f>
        <v>476442.1999999999</v>
      </c>
      <c r="L8" s="43" t="e">
        <f>L9+L11+L12+L13+L15+L16+L18+L20+L14+L21+L17+L19</f>
        <v>#REF!</v>
      </c>
      <c r="M8" s="43">
        <f aca="true" t="shared" si="1" ref="M8:M20">K8/I8*100</f>
        <v>291.9177678478975</v>
      </c>
      <c r="N8" s="71"/>
      <c r="O8" s="71"/>
      <c r="P8" s="43">
        <f>K8*100/J8</f>
        <v>261.3189514600808</v>
      </c>
      <c r="Q8" s="43">
        <f>K8*100/F8</f>
        <v>117.09139668275344</v>
      </c>
      <c r="R8" s="43">
        <f>K8*100/D8</f>
        <v>65.8723602406755</v>
      </c>
      <c r="S8" s="31">
        <f>K8*100/E8</f>
        <v>63.32039261013868</v>
      </c>
    </row>
    <row r="9" spans="1:19" ht="12.75">
      <c r="A9" s="19" t="s">
        <v>23</v>
      </c>
      <c r="B9" s="19"/>
      <c r="C9" s="72" t="s">
        <v>22</v>
      </c>
      <c r="D9" s="61">
        <v>545313.8</v>
      </c>
      <c r="E9" s="61">
        <f aca="true" t="shared" si="2" ref="E9:E21">G9+H9+I9+J9</f>
        <v>545313.7999999999</v>
      </c>
      <c r="F9" s="61">
        <f>G9+H9</f>
        <v>281056.1</v>
      </c>
      <c r="G9" s="61">
        <v>132197.3</v>
      </c>
      <c r="H9" s="61">
        <v>148858.8</v>
      </c>
      <c r="I9" s="27">
        <v>122555.3</v>
      </c>
      <c r="J9" s="73">
        <v>141702.4</v>
      </c>
      <c r="K9" s="73">
        <v>339553.6</v>
      </c>
      <c r="L9" s="27" t="e">
        <f>K9/#REF!*100</f>
        <v>#REF!</v>
      </c>
      <c r="M9" s="27">
        <f t="shared" si="1"/>
        <v>277.0615387502621</v>
      </c>
      <c r="N9" s="57"/>
      <c r="O9" s="57"/>
      <c r="P9" s="27">
        <f aca="true" t="shared" si="3" ref="P9:P79">K9*100/J9</f>
        <v>239.62445237342487</v>
      </c>
      <c r="Q9" s="24">
        <f aca="true" t="shared" si="4" ref="Q9:Q27">K9*100/F9</f>
        <v>120.81346037321376</v>
      </c>
      <c r="R9" s="24">
        <f aca="true" t="shared" si="5" ref="R9:R27">K9*100/D9</f>
        <v>62.26756043951207</v>
      </c>
      <c r="S9" s="25">
        <f aca="true" t="shared" si="6" ref="S9:S27">K9*100/E9</f>
        <v>62.26756043951208</v>
      </c>
    </row>
    <row r="10" spans="1:19" ht="12.75">
      <c r="A10" s="19" t="s">
        <v>70</v>
      </c>
      <c r="B10" s="19"/>
      <c r="C10" s="35" t="s">
        <v>71</v>
      </c>
      <c r="D10" s="60">
        <v>2315</v>
      </c>
      <c r="E10" s="60">
        <f t="shared" si="2"/>
        <v>2315</v>
      </c>
      <c r="F10" s="61">
        <f aca="true" t="shared" si="7" ref="F10:F26">G10+H10</f>
        <v>1157.1</v>
      </c>
      <c r="G10" s="60">
        <v>578.6</v>
      </c>
      <c r="H10" s="60">
        <v>578.5</v>
      </c>
      <c r="I10" s="24">
        <v>578.6</v>
      </c>
      <c r="J10" s="25">
        <v>579.3</v>
      </c>
      <c r="K10" s="25">
        <v>1037.6</v>
      </c>
      <c r="L10" s="27"/>
      <c r="M10" s="27"/>
      <c r="N10" s="57"/>
      <c r="O10" s="57"/>
      <c r="P10" s="24"/>
      <c r="Q10" s="24">
        <f t="shared" si="4"/>
        <v>89.67245700458041</v>
      </c>
      <c r="R10" s="24">
        <f t="shared" si="5"/>
        <v>44.820734341252695</v>
      </c>
      <c r="S10" s="25">
        <f t="shared" si="6"/>
        <v>44.820734341252695</v>
      </c>
    </row>
    <row r="11" spans="1:19" ht="12.75">
      <c r="A11" s="19" t="s">
        <v>8</v>
      </c>
      <c r="B11" s="19"/>
      <c r="C11" s="35" t="s">
        <v>5</v>
      </c>
      <c r="D11" s="60">
        <v>36159.5</v>
      </c>
      <c r="E11" s="60">
        <f t="shared" si="2"/>
        <v>36261</v>
      </c>
      <c r="F11" s="61">
        <f t="shared" si="7"/>
        <v>20331.3</v>
      </c>
      <c r="G11" s="60">
        <v>10163</v>
      </c>
      <c r="H11" s="60">
        <v>10168.3</v>
      </c>
      <c r="I11" s="24">
        <v>8120</v>
      </c>
      <c r="J11" s="25">
        <v>7809.7</v>
      </c>
      <c r="K11" s="25">
        <v>32709.6</v>
      </c>
      <c r="L11" s="27" t="e">
        <f>K11/#REF!*100</f>
        <v>#REF!</v>
      </c>
      <c r="M11" s="27">
        <f t="shared" si="1"/>
        <v>402.8275862068965</v>
      </c>
      <c r="N11" s="57"/>
      <c r="O11" s="57"/>
      <c r="P11" s="24">
        <f t="shared" si="3"/>
        <v>418.8329897435241</v>
      </c>
      <c r="Q11" s="24">
        <f t="shared" si="4"/>
        <v>160.88297354325596</v>
      </c>
      <c r="R11" s="24">
        <f t="shared" si="5"/>
        <v>90.4592154205672</v>
      </c>
      <c r="S11" s="25">
        <f t="shared" si="6"/>
        <v>90.2060064532142</v>
      </c>
    </row>
    <row r="12" spans="1:19" ht="12.75">
      <c r="A12" s="19" t="s">
        <v>9</v>
      </c>
      <c r="B12" s="19"/>
      <c r="C12" s="35" t="s">
        <v>6</v>
      </c>
      <c r="D12" s="60">
        <v>3935</v>
      </c>
      <c r="E12" s="60">
        <f t="shared" si="2"/>
        <v>3985</v>
      </c>
      <c r="F12" s="61">
        <f t="shared" si="7"/>
        <v>1848.3000000000002</v>
      </c>
      <c r="G12" s="60">
        <v>947.6</v>
      </c>
      <c r="H12" s="60">
        <v>900.7</v>
      </c>
      <c r="I12" s="24">
        <v>900</v>
      </c>
      <c r="J12" s="25">
        <v>1236.7</v>
      </c>
      <c r="K12" s="25">
        <v>3672</v>
      </c>
      <c r="L12" s="27" t="e">
        <f>K12/#REF!*100</f>
        <v>#REF!</v>
      </c>
      <c r="M12" s="27">
        <f t="shared" si="1"/>
        <v>408</v>
      </c>
      <c r="N12" s="57"/>
      <c r="O12" s="57"/>
      <c r="P12" s="24">
        <f t="shared" si="3"/>
        <v>296.9192205061858</v>
      </c>
      <c r="Q12" s="24">
        <f t="shared" si="4"/>
        <v>198.66904723259208</v>
      </c>
      <c r="R12" s="24">
        <f t="shared" si="5"/>
        <v>93.3163913595934</v>
      </c>
      <c r="S12" s="25">
        <f t="shared" si="6"/>
        <v>92.14554579673776</v>
      </c>
    </row>
    <row r="13" spans="1:19" ht="12.75">
      <c r="A13" s="19" t="s">
        <v>10</v>
      </c>
      <c r="B13" s="19"/>
      <c r="C13" s="35" t="s">
        <v>21</v>
      </c>
      <c r="D13" s="60">
        <v>3305</v>
      </c>
      <c r="E13" s="60">
        <f t="shared" si="2"/>
        <v>3305</v>
      </c>
      <c r="F13" s="61">
        <f t="shared" si="7"/>
        <v>1652</v>
      </c>
      <c r="G13" s="60">
        <v>826</v>
      </c>
      <c r="H13" s="60">
        <v>826</v>
      </c>
      <c r="I13" s="24">
        <v>827</v>
      </c>
      <c r="J13" s="25">
        <v>826</v>
      </c>
      <c r="K13" s="25">
        <v>2103.8</v>
      </c>
      <c r="L13" s="27" t="e">
        <f>K13/#REF!*100</f>
        <v>#REF!</v>
      </c>
      <c r="M13" s="27">
        <f t="shared" si="1"/>
        <v>254.3893591293833</v>
      </c>
      <c r="N13" s="57"/>
      <c r="O13" s="57"/>
      <c r="P13" s="24">
        <f t="shared" si="3"/>
        <v>254.69733656174338</v>
      </c>
      <c r="Q13" s="24">
        <f t="shared" si="4"/>
        <v>127.34866828087169</v>
      </c>
      <c r="R13" s="24">
        <f t="shared" si="5"/>
        <v>63.65506807866869</v>
      </c>
      <c r="S13" s="25">
        <f t="shared" si="6"/>
        <v>63.65506807866869</v>
      </c>
    </row>
    <row r="14" spans="1:19" ht="21.75" customHeight="1" hidden="1">
      <c r="A14" s="19" t="s">
        <v>37</v>
      </c>
      <c r="B14" s="19"/>
      <c r="C14" s="35" t="s">
        <v>38</v>
      </c>
      <c r="D14" s="60"/>
      <c r="E14" s="60">
        <f t="shared" si="2"/>
        <v>0</v>
      </c>
      <c r="F14" s="61">
        <f t="shared" si="7"/>
        <v>0</v>
      </c>
      <c r="G14" s="60"/>
      <c r="H14" s="60"/>
      <c r="I14" s="24"/>
      <c r="J14" s="25"/>
      <c r="K14" s="25"/>
      <c r="L14" s="27" t="e">
        <f>K14/#REF!*100</f>
        <v>#REF!</v>
      </c>
      <c r="M14" s="27"/>
      <c r="N14" s="57"/>
      <c r="O14" s="57"/>
      <c r="P14" s="24" t="e">
        <f t="shared" si="3"/>
        <v>#DIV/0!</v>
      </c>
      <c r="Q14" s="24" t="e">
        <f t="shared" si="4"/>
        <v>#DIV/0!</v>
      </c>
      <c r="R14" s="24" t="e">
        <f t="shared" si="5"/>
        <v>#DIV/0!</v>
      </c>
      <c r="S14" s="25" t="e">
        <f t="shared" si="6"/>
        <v>#DIV/0!</v>
      </c>
    </row>
    <row r="15" spans="1:19" ht="24">
      <c r="A15" s="20" t="s">
        <v>11</v>
      </c>
      <c r="B15" s="20"/>
      <c r="C15" s="35" t="s">
        <v>17</v>
      </c>
      <c r="D15" s="60">
        <v>84057.5</v>
      </c>
      <c r="E15" s="60">
        <f t="shared" si="2"/>
        <v>84072.5</v>
      </c>
      <c r="F15" s="61">
        <f t="shared" si="7"/>
        <v>41812.3</v>
      </c>
      <c r="G15" s="60">
        <v>20907.1</v>
      </c>
      <c r="H15" s="60">
        <v>20905.2</v>
      </c>
      <c r="I15" s="24">
        <v>21270.9</v>
      </c>
      <c r="J15" s="25">
        <v>20989.3</v>
      </c>
      <c r="K15" s="25">
        <v>53973.3</v>
      </c>
      <c r="L15" s="27" t="e">
        <f>K15/#REF!*100</f>
        <v>#REF!</v>
      </c>
      <c r="M15" s="27">
        <f t="shared" si="1"/>
        <v>253.74243685034483</v>
      </c>
      <c r="N15" s="57"/>
      <c r="O15" s="57"/>
      <c r="P15" s="24">
        <f t="shared" si="3"/>
        <v>257.1467366705893</v>
      </c>
      <c r="Q15" s="24">
        <f t="shared" si="4"/>
        <v>129.08474300624457</v>
      </c>
      <c r="R15" s="24">
        <f t="shared" si="5"/>
        <v>64.20997531451685</v>
      </c>
      <c r="S15" s="25">
        <f t="shared" si="6"/>
        <v>64.19851913527016</v>
      </c>
    </row>
    <row r="16" spans="1:19" ht="12.75">
      <c r="A16" s="36" t="s">
        <v>14</v>
      </c>
      <c r="B16" s="36"/>
      <c r="C16" s="35" t="s">
        <v>13</v>
      </c>
      <c r="D16" s="60">
        <v>12245.1</v>
      </c>
      <c r="E16" s="60">
        <f t="shared" si="2"/>
        <v>7888.4</v>
      </c>
      <c r="F16" s="61">
        <f t="shared" si="7"/>
        <v>4256.5</v>
      </c>
      <c r="G16" s="60">
        <v>1658.6</v>
      </c>
      <c r="H16" s="60">
        <v>2597.9</v>
      </c>
      <c r="I16" s="24">
        <v>1816</v>
      </c>
      <c r="J16" s="25">
        <v>1815.9</v>
      </c>
      <c r="K16" s="25">
        <v>4389.9</v>
      </c>
      <c r="L16" s="27" t="e">
        <f>K16/#REF!*100</f>
        <v>#REF!</v>
      </c>
      <c r="M16" s="27">
        <f t="shared" si="1"/>
        <v>241.7345814977973</v>
      </c>
      <c r="N16" s="57"/>
      <c r="O16" s="57"/>
      <c r="P16" s="24">
        <f t="shared" si="3"/>
        <v>241.74789360647608</v>
      </c>
      <c r="Q16" s="24">
        <f t="shared" si="4"/>
        <v>103.1340303065899</v>
      </c>
      <c r="R16" s="24">
        <f t="shared" si="5"/>
        <v>35.85025847073523</v>
      </c>
      <c r="S16" s="25">
        <f t="shared" si="6"/>
        <v>55.6500684549465</v>
      </c>
    </row>
    <row r="17" spans="1:19" ht="24">
      <c r="A17" s="37" t="s">
        <v>42</v>
      </c>
      <c r="B17" s="37"/>
      <c r="C17" s="35" t="s">
        <v>43</v>
      </c>
      <c r="D17" s="60">
        <v>9788</v>
      </c>
      <c r="E17" s="60">
        <f t="shared" si="2"/>
        <v>10960</v>
      </c>
      <c r="F17" s="61">
        <f t="shared" si="7"/>
        <v>5910.799999999999</v>
      </c>
      <c r="G17" s="60">
        <v>3400.2</v>
      </c>
      <c r="H17" s="60">
        <v>2510.6</v>
      </c>
      <c r="I17" s="24">
        <v>2420.7</v>
      </c>
      <c r="J17" s="25">
        <v>2628.5</v>
      </c>
      <c r="K17" s="25">
        <v>9311.1</v>
      </c>
      <c r="L17" s="27" t="e">
        <f>K17/#REF!*100</f>
        <v>#REF!</v>
      </c>
      <c r="M17" s="27">
        <f t="shared" si="1"/>
        <v>384.6449374147974</v>
      </c>
      <c r="N17" s="57"/>
      <c r="O17" s="57"/>
      <c r="P17" s="24">
        <f t="shared" si="3"/>
        <v>354.2362564200114</v>
      </c>
      <c r="Q17" s="24">
        <f t="shared" si="4"/>
        <v>157.52689991202547</v>
      </c>
      <c r="R17" s="24">
        <f t="shared" si="5"/>
        <v>95.12770739681243</v>
      </c>
      <c r="S17" s="25">
        <f t="shared" si="6"/>
        <v>84.95529197080292</v>
      </c>
    </row>
    <row r="18" spans="1:19" ht="12.75">
      <c r="A18" s="37" t="s">
        <v>18</v>
      </c>
      <c r="B18" s="37"/>
      <c r="C18" s="35" t="s">
        <v>15</v>
      </c>
      <c r="D18" s="60">
        <v>22114.5</v>
      </c>
      <c r="E18" s="60">
        <f t="shared" si="2"/>
        <v>46274.5</v>
      </c>
      <c r="F18" s="61">
        <f t="shared" si="7"/>
        <v>38466</v>
      </c>
      <c r="G18" s="60">
        <v>30063</v>
      </c>
      <c r="H18" s="60">
        <v>8403</v>
      </c>
      <c r="I18" s="24">
        <v>3903</v>
      </c>
      <c r="J18" s="25">
        <v>3905.5</v>
      </c>
      <c r="K18" s="25">
        <v>16808.8</v>
      </c>
      <c r="L18" s="27" t="e">
        <f>K18/#REF!*100</f>
        <v>#REF!</v>
      </c>
      <c r="M18" s="27">
        <f t="shared" si="1"/>
        <v>430.6635921086344</v>
      </c>
      <c r="N18" s="57"/>
      <c r="O18" s="57"/>
      <c r="P18" s="24">
        <f t="shared" si="3"/>
        <v>430.3879144795801</v>
      </c>
      <c r="Q18" s="24">
        <f t="shared" si="4"/>
        <v>43.69781105391775</v>
      </c>
      <c r="R18" s="24">
        <f t="shared" si="5"/>
        <v>76.00804901761288</v>
      </c>
      <c r="S18" s="25">
        <f t="shared" si="6"/>
        <v>36.32410939070114</v>
      </c>
    </row>
    <row r="19" spans="1:19" ht="12.75">
      <c r="A19" s="37" t="s">
        <v>60</v>
      </c>
      <c r="B19" s="37"/>
      <c r="C19" s="35" t="s">
        <v>61</v>
      </c>
      <c r="D19" s="60">
        <v>5</v>
      </c>
      <c r="E19" s="60">
        <f t="shared" si="2"/>
        <v>5.2</v>
      </c>
      <c r="F19" s="61">
        <f t="shared" si="7"/>
        <v>5.2</v>
      </c>
      <c r="G19" s="60">
        <v>4.2</v>
      </c>
      <c r="H19" s="60">
        <v>1</v>
      </c>
      <c r="I19" s="24"/>
      <c r="J19" s="25"/>
      <c r="K19" s="25">
        <v>6.2</v>
      </c>
      <c r="L19" s="27" t="e">
        <f>K19/#REF!*100</f>
        <v>#REF!</v>
      </c>
      <c r="M19" s="27" t="e">
        <f t="shared" si="1"/>
        <v>#DIV/0!</v>
      </c>
      <c r="N19" s="57"/>
      <c r="O19" s="57"/>
      <c r="P19" s="24" t="e">
        <f t="shared" si="3"/>
        <v>#DIV/0!</v>
      </c>
      <c r="Q19" s="24">
        <f t="shared" si="4"/>
        <v>119.23076923076923</v>
      </c>
      <c r="R19" s="24">
        <f t="shared" si="5"/>
        <v>124</v>
      </c>
      <c r="S19" s="25">
        <f t="shared" si="6"/>
        <v>119.23076923076923</v>
      </c>
    </row>
    <row r="20" spans="1:19" ht="12.75">
      <c r="A20" s="28" t="s">
        <v>12</v>
      </c>
      <c r="B20" s="28"/>
      <c r="C20" s="35" t="s">
        <v>7</v>
      </c>
      <c r="D20" s="60">
        <v>4042.5</v>
      </c>
      <c r="E20" s="60">
        <f t="shared" si="2"/>
        <v>12050.499999999998</v>
      </c>
      <c r="F20" s="61">
        <f t="shared" si="7"/>
        <v>10402.099999999999</v>
      </c>
      <c r="G20" s="60">
        <v>7866.4</v>
      </c>
      <c r="H20" s="60">
        <v>2535.7</v>
      </c>
      <c r="I20" s="24">
        <v>819.6</v>
      </c>
      <c r="J20" s="25">
        <v>828.8</v>
      </c>
      <c r="K20" s="25">
        <v>12729.7</v>
      </c>
      <c r="L20" s="27" t="e">
        <f>K20/#REF!*100</f>
        <v>#REF!</v>
      </c>
      <c r="M20" s="27">
        <f t="shared" si="1"/>
        <v>1553.1600780868716</v>
      </c>
      <c r="N20" s="57"/>
      <c r="O20" s="57"/>
      <c r="P20" s="24">
        <f t="shared" si="3"/>
        <v>1535.9194015444016</v>
      </c>
      <c r="Q20" s="24">
        <f t="shared" si="4"/>
        <v>122.37625094932756</v>
      </c>
      <c r="R20" s="24">
        <f t="shared" si="5"/>
        <v>314.89672232529375</v>
      </c>
      <c r="S20" s="25">
        <f t="shared" si="6"/>
        <v>105.63628065225511</v>
      </c>
    </row>
    <row r="21" spans="1:19" ht="12.75">
      <c r="A21" s="38" t="s">
        <v>39</v>
      </c>
      <c r="B21" s="74"/>
      <c r="C21" s="23" t="s">
        <v>40</v>
      </c>
      <c r="D21" s="66">
        <v>0</v>
      </c>
      <c r="E21" s="60">
        <f t="shared" si="2"/>
        <v>0</v>
      </c>
      <c r="F21" s="61">
        <f t="shared" si="7"/>
        <v>0</v>
      </c>
      <c r="G21" s="60"/>
      <c r="H21" s="60"/>
      <c r="I21" s="24"/>
      <c r="J21" s="25"/>
      <c r="K21" s="25">
        <v>146.6</v>
      </c>
      <c r="L21" s="27"/>
      <c r="M21" s="27"/>
      <c r="N21" s="57"/>
      <c r="O21" s="57"/>
      <c r="P21" s="24"/>
      <c r="Q21" s="24"/>
      <c r="R21" s="24"/>
      <c r="S21" s="25"/>
    </row>
    <row r="22" spans="1:19" ht="12.75">
      <c r="A22" s="32" t="s">
        <v>1</v>
      </c>
      <c r="B22" s="32"/>
      <c r="C22" s="39" t="s">
        <v>0</v>
      </c>
      <c r="D22" s="75">
        <f>D23+D24+D26</f>
        <v>2614355.8</v>
      </c>
      <c r="E22" s="40">
        <f>E23+E24+E26+E25</f>
        <v>2743226</v>
      </c>
      <c r="F22" s="40">
        <f aca="true" t="shared" si="8" ref="F22:K22">F23+F24+F26+F25</f>
        <v>1510617.9000000001</v>
      </c>
      <c r="G22" s="40">
        <f t="shared" si="8"/>
        <v>637157.2000000001</v>
      </c>
      <c r="H22" s="40">
        <f t="shared" si="8"/>
        <v>873460.7</v>
      </c>
      <c r="I22" s="40">
        <f t="shared" si="8"/>
        <v>628382.9</v>
      </c>
      <c r="J22" s="40">
        <f t="shared" si="8"/>
        <v>604225.2</v>
      </c>
      <c r="K22" s="40">
        <f t="shared" si="8"/>
        <v>1407624.4999999998</v>
      </c>
      <c r="L22" s="34" t="e">
        <f>K22/#REF!*100</f>
        <v>#REF!</v>
      </c>
      <c r="M22" s="34">
        <f aca="true" t="shared" si="9" ref="M22:M27">K22/I22*100</f>
        <v>224.0074483248987</v>
      </c>
      <c r="N22" s="57"/>
      <c r="O22" s="57"/>
      <c r="P22" s="43">
        <f t="shared" si="3"/>
        <v>232.96355398616274</v>
      </c>
      <c r="Q22" s="43">
        <f t="shared" si="4"/>
        <v>93.1820349805202</v>
      </c>
      <c r="R22" s="43">
        <f t="shared" si="5"/>
        <v>53.842116669812114</v>
      </c>
      <c r="S22" s="31">
        <f t="shared" si="6"/>
        <v>51.31274273428437</v>
      </c>
    </row>
    <row r="23" spans="1:19" ht="24">
      <c r="A23" s="21" t="s">
        <v>67</v>
      </c>
      <c r="B23" s="19"/>
      <c r="C23" s="41" t="s">
        <v>20</v>
      </c>
      <c r="D23" s="44">
        <v>2594355.8</v>
      </c>
      <c r="E23" s="60">
        <f>G23+H23+I23+J23</f>
        <v>2663555.7</v>
      </c>
      <c r="F23" s="61">
        <f t="shared" si="7"/>
        <v>1493947.6</v>
      </c>
      <c r="G23" s="60">
        <f>555225.5+108567.9</f>
        <v>663793.4</v>
      </c>
      <c r="H23" s="60">
        <v>830154.2</v>
      </c>
      <c r="I23" s="25">
        <f>659358.5+480.8-71456.4</f>
        <v>588382.9</v>
      </c>
      <c r="J23" s="25">
        <f>581206.5+18.7</f>
        <v>581225.2</v>
      </c>
      <c r="K23" s="25">
        <v>1393977.9</v>
      </c>
      <c r="L23" s="27" t="e">
        <f>K23/#REF!*100</f>
        <v>#REF!</v>
      </c>
      <c r="M23" s="27">
        <f t="shared" si="9"/>
        <v>236.9167934690148</v>
      </c>
      <c r="N23" s="57"/>
      <c r="O23" s="57"/>
      <c r="P23" s="24">
        <f t="shared" si="3"/>
        <v>239.834387772588</v>
      </c>
      <c r="Q23" s="24">
        <f t="shared" si="4"/>
        <v>93.30835298373249</v>
      </c>
      <c r="R23" s="24">
        <f t="shared" si="5"/>
        <v>53.731176733738685</v>
      </c>
      <c r="S23" s="25">
        <f t="shared" si="6"/>
        <v>52.33522617905081</v>
      </c>
    </row>
    <row r="24" spans="1:19" ht="13.5" customHeight="1">
      <c r="A24" s="21" t="s">
        <v>2</v>
      </c>
      <c r="B24" s="21"/>
      <c r="C24" s="42" t="s">
        <v>19</v>
      </c>
      <c r="D24" s="76">
        <v>20000</v>
      </c>
      <c r="E24" s="60">
        <f>G24+H24+I24+J24</f>
        <v>83000</v>
      </c>
      <c r="F24" s="61">
        <f t="shared" si="7"/>
        <v>40000</v>
      </c>
      <c r="G24" s="76">
        <v>20000</v>
      </c>
      <c r="H24" s="76">
        <v>20000</v>
      </c>
      <c r="I24" s="25">
        <v>20000</v>
      </c>
      <c r="J24" s="25">
        <v>23000</v>
      </c>
      <c r="K24" s="25">
        <v>46336.4</v>
      </c>
      <c r="L24" s="27" t="e">
        <f>K24/#REF!*100</f>
        <v>#REF!</v>
      </c>
      <c r="M24" s="27">
        <f t="shared" si="9"/>
        <v>231.682</v>
      </c>
      <c r="N24" s="57"/>
      <c r="O24" s="57"/>
      <c r="P24" s="24">
        <f t="shared" si="3"/>
        <v>201.46260869565216</v>
      </c>
      <c r="Q24" s="24">
        <f t="shared" si="4"/>
        <v>115.841</v>
      </c>
      <c r="R24" s="24">
        <f t="shared" si="5"/>
        <v>231.682</v>
      </c>
      <c r="S24" s="25">
        <f t="shared" si="6"/>
        <v>55.826987951807226</v>
      </c>
    </row>
    <row r="25" spans="1:19" ht="48.75" customHeight="1">
      <c r="A25" s="21" t="s">
        <v>65</v>
      </c>
      <c r="B25" s="22" t="s">
        <v>64</v>
      </c>
      <c r="C25" s="23" t="s">
        <v>64</v>
      </c>
      <c r="D25" s="77"/>
      <c r="E25" s="60">
        <f>G25+H25+I25+J25</f>
        <v>0</v>
      </c>
      <c r="F25" s="61">
        <f t="shared" si="7"/>
        <v>0</v>
      </c>
      <c r="G25" s="60"/>
      <c r="H25" s="60"/>
      <c r="I25" s="25"/>
      <c r="J25" s="25"/>
      <c r="K25" s="25">
        <v>6.3</v>
      </c>
      <c r="L25" s="27" t="e">
        <f>K25/#REF!*100</f>
        <v>#REF!</v>
      </c>
      <c r="M25" s="27"/>
      <c r="N25" s="57"/>
      <c r="O25" s="57"/>
      <c r="P25" s="24" t="e">
        <f t="shared" si="3"/>
        <v>#DIV/0!</v>
      </c>
      <c r="Q25" s="24" t="e">
        <f t="shared" si="4"/>
        <v>#DIV/0!</v>
      </c>
      <c r="R25" s="24"/>
      <c r="S25" s="25"/>
    </row>
    <row r="26" spans="1:19" ht="27.75" customHeight="1">
      <c r="A26" s="21" t="s">
        <v>66</v>
      </c>
      <c r="B26" s="78"/>
      <c r="C26" s="26" t="s">
        <v>63</v>
      </c>
      <c r="D26" s="79"/>
      <c r="E26" s="60">
        <f>G26+H26+I26+J26</f>
        <v>-3329.699999999997</v>
      </c>
      <c r="F26" s="61">
        <f t="shared" si="7"/>
        <v>-23329.699999999997</v>
      </c>
      <c r="G26" s="80">
        <v>-46636.2</v>
      </c>
      <c r="H26" s="80">
        <v>23306.5</v>
      </c>
      <c r="I26" s="25">
        <v>20000</v>
      </c>
      <c r="J26" s="25"/>
      <c r="K26" s="25">
        <v>-32696.1</v>
      </c>
      <c r="L26" s="27" t="e">
        <f>K26/#REF!*100</f>
        <v>#REF!</v>
      </c>
      <c r="M26" s="27"/>
      <c r="N26" s="57"/>
      <c r="O26" s="57"/>
      <c r="P26" s="24" t="e">
        <f t="shared" si="3"/>
        <v>#DIV/0!</v>
      </c>
      <c r="Q26" s="24">
        <f t="shared" si="4"/>
        <v>140.14796589754692</v>
      </c>
      <c r="R26" s="24"/>
      <c r="S26" s="25">
        <f t="shared" si="6"/>
        <v>981.9533291287512</v>
      </c>
    </row>
    <row r="27" spans="1:19" ht="12.75">
      <c r="A27" s="28"/>
      <c r="B27" s="29"/>
      <c r="C27" s="30" t="s">
        <v>4</v>
      </c>
      <c r="D27" s="31">
        <f aca="true" t="shared" si="10" ref="D27:K27">D22+D8</f>
        <v>3337636.6999999997</v>
      </c>
      <c r="E27" s="31">
        <f t="shared" si="10"/>
        <v>3495656.9</v>
      </c>
      <c r="F27" s="31">
        <f t="shared" si="10"/>
        <v>1917515.6</v>
      </c>
      <c r="G27" s="31">
        <f t="shared" si="10"/>
        <v>845769.2000000001</v>
      </c>
      <c r="H27" s="31">
        <f t="shared" si="10"/>
        <v>1071746.4</v>
      </c>
      <c r="I27" s="31">
        <f t="shared" si="10"/>
        <v>791594</v>
      </c>
      <c r="J27" s="31">
        <f t="shared" si="10"/>
        <v>786547.2999999999</v>
      </c>
      <c r="K27" s="31">
        <f t="shared" si="10"/>
        <v>1884066.6999999997</v>
      </c>
      <c r="L27" s="34" t="e">
        <f>K27/#REF!*100</f>
        <v>#REF!</v>
      </c>
      <c r="M27" s="34">
        <f t="shared" si="9"/>
        <v>238.0092193725571</v>
      </c>
      <c r="N27" s="57"/>
      <c r="O27" s="58" t="e">
        <f>J27+#REF!+#REF!</f>
        <v>#REF!</v>
      </c>
      <c r="P27" s="43">
        <f t="shared" si="3"/>
        <v>239.5363508335735</v>
      </c>
      <c r="Q27" s="43">
        <f t="shared" si="4"/>
        <v>98.25561262708891</v>
      </c>
      <c r="R27" s="43">
        <f t="shared" si="5"/>
        <v>56.44912461562997</v>
      </c>
      <c r="S27" s="31">
        <f t="shared" si="6"/>
        <v>53.89735760394562</v>
      </c>
    </row>
    <row r="28" spans="1:19" ht="12.75">
      <c r="A28" s="174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6"/>
      <c r="N28" s="57"/>
      <c r="O28" s="57"/>
      <c r="P28" s="56"/>
      <c r="Q28" s="24"/>
      <c r="R28" s="34"/>
      <c r="S28" s="31"/>
    </row>
    <row r="29" spans="1:19" ht="12.75">
      <c r="A29" s="169" t="s">
        <v>25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64"/>
      <c r="R29" s="34"/>
      <c r="S29" s="31"/>
    </row>
    <row r="30" spans="1:19" ht="12.75">
      <c r="A30" s="32" t="s">
        <v>3</v>
      </c>
      <c r="B30" s="32"/>
      <c r="C30" s="33" t="s">
        <v>68</v>
      </c>
      <c r="D30" s="34">
        <f aca="true" t="shared" si="11" ref="D30:K30">D31+D33+D35+D37+D34+D36+D38+D32</f>
        <v>17033</v>
      </c>
      <c r="E30" s="34">
        <f t="shared" si="11"/>
        <v>17039.299999999996</v>
      </c>
      <c r="F30" s="34">
        <f t="shared" si="11"/>
        <v>8522.8</v>
      </c>
      <c r="G30" s="34">
        <f t="shared" si="11"/>
        <v>4258.400000000001</v>
      </c>
      <c r="H30" s="34">
        <f t="shared" si="11"/>
        <v>4264.400000000001</v>
      </c>
      <c r="I30" s="34">
        <f t="shared" si="11"/>
        <v>4258.400000000001</v>
      </c>
      <c r="J30" s="34">
        <f t="shared" si="11"/>
        <v>4258.099999999999</v>
      </c>
      <c r="K30" s="34">
        <f t="shared" si="11"/>
        <v>10943.099999999999</v>
      </c>
      <c r="L30" s="34" t="e">
        <f>K30/#REF!*100</f>
        <v>#REF!</v>
      </c>
      <c r="M30" s="34">
        <f aca="true" t="shared" si="12" ref="M30:M37">K30/I30*100</f>
        <v>256.9767987976704</v>
      </c>
      <c r="N30" s="57"/>
      <c r="O30" s="57"/>
      <c r="P30" s="34">
        <f t="shared" si="3"/>
        <v>256.99490383034686</v>
      </c>
      <c r="Q30" s="43">
        <f>K30*100/F30</f>
        <v>128.39794433754165</v>
      </c>
      <c r="R30" s="43">
        <f>K30*100/D30</f>
        <v>64.24646274878177</v>
      </c>
      <c r="S30" s="31">
        <f>K30*100/E30</f>
        <v>64.22270867934716</v>
      </c>
    </row>
    <row r="31" spans="1:19" ht="12.75">
      <c r="A31" s="19" t="s">
        <v>23</v>
      </c>
      <c r="B31" s="19"/>
      <c r="C31" s="72" t="s">
        <v>22</v>
      </c>
      <c r="D31" s="61">
        <v>11900</v>
      </c>
      <c r="E31" s="60">
        <f aca="true" t="shared" si="13" ref="E31:E37">G31+H31+I31+J31</f>
        <v>11900.8</v>
      </c>
      <c r="F31" s="61">
        <f aca="true" t="shared" si="14" ref="F31:F40">G31+H31</f>
        <v>5950.8</v>
      </c>
      <c r="G31" s="61">
        <v>2975</v>
      </c>
      <c r="H31" s="61">
        <v>2975.8</v>
      </c>
      <c r="I31" s="24">
        <v>2975</v>
      </c>
      <c r="J31" s="25">
        <v>2975</v>
      </c>
      <c r="K31" s="73">
        <v>8258.9</v>
      </c>
      <c r="L31" s="27" t="e">
        <f>K31/#REF!*100</f>
        <v>#REF!</v>
      </c>
      <c r="M31" s="27">
        <f t="shared" si="12"/>
        <v>277.6100840336135</v>
      </c>
      <c r="N31" s="57"/>
      <c r="O31" s="57"/>
      <c r="P31" s="24">
        <f t="shared" si="3"/>
        <v>277.6100840336134</v>
      </c>
      <c r="Q31" s="24">
        <f aca="true" t="shared" si="15" ref="Q31:Q42">K31*100/F31</f>
        <v>138.7863816629697</v>
      </c>
      <c r="R31" s="24">
        <f aca="true" t="shared" si="16" ref="R31:R42">K31*100/D31</f>
        <v>69.40252100840335</v>
      </c>
      <c r="S31" s="25">
        <f aca="true" t="shared" si="17" ref="S31:S42">K31*100/E31</f>
        <v>69.3978556063458</v>
      </c>
    </row>
    <row r="32" spans="1:19" ht="12.75">
      <c r="A32" s="19" t="s">
        <v>70</v>
      </c>
      <c r="B32" s="19"/>
      <c r="C32" s="35" t="s">
        <v>71</v>
      </c>
      <c r="D32" s="60">
        <v>2083</v>
      </c>
      <c r="E32" s="60">
        <f t="shared" si="13"/>
        <v>2083</v>
      </c>
      <c r="F32" s="61">
        <f t="shared" si="14"/>
        <v>1041.5</v>
      </c>
      <c r="G32" s="61">
        <v>520.8</v>
      </c>
      <c r="H32" s="61">
        <v>520.7</v>
      </c>
      <c r="I32" s="24">
        <v>520.8</v>
      </c>
      <c r="J32" s="25">
        <v>520.7</v>
      </c>
      <c r="K32" s="73">
        <v>933.8</v>
      </c>
      <c r="L32" s="27"/>
      <c r="M32" s="27"/>
      <c r="N32" s="57"/>
      <c r="O32" s="57"/>
      <c r="P32" s="24"/>
      <c r="Q32" s="24">
        <f t="shared" si="15"/>
        <v>89.65914546327413</v>
      </c>
      <c r="R32" s="24">
        <f t="shared" si="16"/>
        <v>44.829572731637064</v>
      </c>
      <c r="S32" s="25">
        <f t="shared" si="17"/>
        <v>44.829572731637064</v>
      </c>
    </row>
    <row r="33" spans="1:19" ht="12.75">
      <c r="A33" s="19" t="s">
        <v>9</v>
      </c>
      <c r="B33" s="19"/>
      <c r="C33" s="35" t="s">
        <v>6</v>
      </c>
      <c r="D33" s="60">
        <v>590</v>
      </c>
      <c r="E33" s="60">
        <f t="shared" si="13"/>
        <v>562.3</v>
      </c>
      <c r="F33" s="61">
        <f t="shared" si="14"/>
        <v>267.3</v>
      </c>
      <c r="G33" s="60">
        <v>147.5</v>
      </c>
      <c r="H33" s="60">
        <v>119.8</v>
      </c>
      <c r="I33" s="24">
        <v>147.5</v>
      </c>
      <c r="J33" s="25">
        <v>147.5</v>
      </c>
      <c r="K33" s="25">
        <v>192.3</v>
      </c>
      <c r="L33" s="27" t="e">
        <f>K33/#REF!*100</f>
        <v>#REF!</v>
      </c>
      <c r="M33" s="27">
        <f t="shared" si="12"/>
        <v>130.3728813559322</v>
      </c>
      <c r="N33" s="57"/>
      <c r="O33" s="57"/>
      <c r="P33" s="24">
        <f t="shared" si="3"/>
        <v>130.3728813559322</v>
      </c>
      <c r="Q33" s="24">
        <f t="shared" si="15"/>
        <v>71.94163860830527</v>
      </c>
      <c r="R33" s="24">
        <f t="shared" si="16"/>
        <v>32.59322033898305</v>
      </c>
      <c r="S33" s="25">
        <f t="shared" si="17"/>
        <v>34.1988262493331</v>
      </c>
    </row>
    <row r="34" spans="1:19" ht="12.75">
      <c r="A34" s="19" t="s">
        <v>10</v>
      </c>
      <c r="B34" s="19"/>
      <c r="C34" s="35" t="s">
        <v>21</v>
      </c>
      <c r="D34" s="60">
        <v>24</v>
      </c>
      <c r="E34" s="60">
        <f t="shared" si="13"/>
        <v>24</v>
      </c>
      <c r="F34" s="61">
        <f t="shared" si="14"/>
        <v>12</v>
      </c>
      <c r="G34" s="60">
        <v>6</v>
      </c>
      <c r="H34" s="60">
        <v>6</v>
      </c>
      <c r="I34" s="24">
        <v>6</v>
      </c>
      <c r="J34" s="25">
        <v>6</v>
      </c>
      <c r="K34" s="25">
        <v>14.1</v>
      </c>
      <c r="L34" s="27" t="e">
        <f>K34/#REF!*100</f>
        <v>#REF!</v>
      </c>
      <c r="M34" s="27">
        <f t="shared" si="12"/>
        <v>235</v>
      </c>
      <c r="N34" s="57"/>
      <c r="O34" s="57"/>
      <c r="P34" s="24">
        <f t="shared" si="3"/>
        <v>235</v>
      </c>
      <c r="Q34" s="24">
        <f t="shared" si="15"/>
        <v>117.5</v>
      </c>
      <c r="R34" s="24">
        <f t="shared" si="16"/>
        <v>58.75</v>
      </c>
      <c r="S34" s="25">
        <f t="shared" si="17"/>
        <v>58.75</v>
      </c>
    </row>
    <row r="35" spans="1:19" ht="24">
      <c r="A35" s="20" t="s">
        <v>11</v>
      </c>
      <c r="B35" s="20"/>
      <c r="C35" s="35" t="s">
        <v>17</v>
      </c>
      <c r="D35" s="60">
        <v>1755</v>
      </c>
      <c r="E35" s="60">
        <f t="shared" si="13"/>
        <v>1776.9</v>
      </c>
      <c r="F35" s="61">
        <f t="shared" si="14"/>
        <v>899.4000000000001</v>
      </c>
      <c r="G35" s="60">
        <v>438.8</v>
      </c>
      <c r="H35" s="60">
        <v>460.6</v>
      </c>
      <c r="I35" s="24">
        <v>438.8</v>
      </c>
      <c r="J35" s="25">
        <v>438.7</v>
      </c>
      <c r="K35" s="25">
        <v>1048.5</v>
      </c>
      <c r="L35" s="27" t="e">
        <f>K35/#REF!*100</f>
        <v>#REF!</v>
      </c>
      <c r="M35" s="27">
        <f t="shared" si="12"/>
        <v>238.947128532361</v>
      </c>
      <c r="N35" s="57"/>
      <c r="O35" s="57"/>
      <c r="P35" s="24">
        <f t="shared" si="3"/>
        <v>239.00159562343288</v>
      </c>
      <c r="Q35" s="24">
        <f t="shared" si="15"/>
        <v>116.57771847898599</v>
      </c>
      <c r="R35" s="24">
        <f t="shared" si="16"/>
        <v>59.743589743589745</v>
      </c>
      <c r="S35" s="25">
        <f t="shared" si="17"/>
        <v>59.007259834543305</v>
      </c>
    </row>
    <row r="36" spans="1:19" ht="15" customHeight="1">
      <c r="A36" s="37" t="s">
        <v>42</v>
      </c>
      <c r="B36" s="37"/>
      <c r="C36" s="35" t="s">
        <v>43</v>
      </c>
      <c r="D36" s="60">
        <v>616</v>
      </c>
      <c r="E36" s="60">
        <f t="shared" si="13"/>
        <v>622.3</v>
      </c>
      <c r="F36" s="61">
        <f t="shared" si="14"/>
        <v>314.3</v>
      </c>
      <c r="G36" s="60">
        <v>154</v>
      </c>
      <c r="H36" s="60">
        <v>160.3</v>
      </c>
      <c r="I36" s="24">
        <v>154</v>
      </c>
      <c r="J36" s="25">
        <v>154</v>
      </c>
      <c r="K36" s="25">
        <v>306.3</v>
      </c>
      <c r="L36" s="27"/>
      <c r="M36" s="27">
        <f t="shared" si="12"/>
        <v>198.8961038961039</v>
      </c>
      <c r="N36" s="57"/>
      <c r="O36" s="57"/>
      <c r="P36" s="24">
        <f t="shared" si="3"/>
        <v>198.8961038961039</v>
      </c>
      <c r="Q36" s="24">
        <f t="shared" si="15"/>
        <v>97.45466115176582</v>
      </c>
      <c r="R36" s="24">
        <f t="shared" si="16"/>
        <v>49.72402597402598</v>
      </c>
      <c r="S36" s="25">
        <f t="shared" si="17"/>
        <v>49.22063313514383</v>
      </c>
    </row>
    <row r="37" spans="1:19" ht="12.75">
      <c r="A37" s="36" t="s">
        <v>18</v>
      </c>
      <c r="B37" s="36"/>
      <c r="C37" s="35" t="s">
        <v>15</v>
      </c>
      <c r="D37" s="60">
        <v>65</v>
      </c>
      <c r="E37" s="60">
        <f t="shared" si="13"/>
        <v>70</v>
      </c>
      <c r="F37" s="61">
        <f t="shared" si="14"/>
        <v>37.5</v>
      </c>
      <c r="G37" s="60">
        <v>16.3</v>
      </c>
      <c r="H37" s="60">
        <v>21.2</v>
      </c>
      <c r="I37" s="24">
        <v>16.3</v>
      </c>
      <c r="J37" s="25">
        <v>16.2</v>
      </c>
      <c r="K37" s="25">
        <v>59.2</v>
      </c>
      <c r="L37" s="27" t="e">
        <f>K37/#REF!*100</f>
        <v>#REF!</v>
      </c>
      <c r="M37" s="27">
        <f t="shared" si="12"/>
        <v>363.19018404907973</v>
      </c>
      <c r="N37" s="57"/>
      <c r="O37" s="57"/>
      <c r="P37" s="24">
        <f t="shared" si="3"/>
        <v>365.4320987654321</v>
      </c>
      <c r="Q37" s="24">
        <f t="shared" si="15"/>
        <v>157.86666666666667</v>
      </c>
      <c r="R37" s="24">
        <f t="shared" si="16"/>
        <v>91.07692307692308</v>
      </c>
      <c r="S37" s="25">
        <f t="shared" si="17"/>
        <v>84.57142857142857</v>
      </c>
    </row>
    <row r="38" spans="1:19" ht="15.75" customHeight="1">
      <c r="A38" s="38" t="s">
        <v>39</v>
      </c>
      <c r="B38" s="74"/>
      <c r="C38" s="23" t="s">
        <v>40</v>
      </c>
      <c r="D38" s="66"/>
      <c r="E38" s="35"/>
      <c r="F38" s="61">
        <f t="shared" si="14"/>
        <v>0</v>
      </c>
      <c r="G38" s="60"/>
      <c r="H38" s="60"/>
      <c r="I38" s="24"/>
      <c r="J38" s="25"/>
      <c r="K38" s="25">
        <v>130</v>
      </c>
      <c r="L38" s="27"/>
      <c r="M38" s="27"/>
      <c r="N38" s="57"/>
      <c r="O38" s="57"/>
      <c r="P38" s="24" t="e">
        <f t="shared" si="3"/>
        <v>#DIV/0!</v>
      </c>
      <c r="Q38" s="24" t="e">
        <f t="shared" si="15"/>
        <v>#DIV/0!</v>
      </c>
      <c r="R38" s="24"/>
      <c r="S38" s="25"/>
    </row>
    <row r="39" spans="1:19" ht="12.75">
      <c r="A39" s="32" t="s">
        <v>1</v>
      </c>
      <c r="B39" s="32"/>
      <c r="C39" s="39" t="s">
        <v>0</v>
      </c>
      <c r="D39" s="40">
        <f>D40+D41</f>
        <v>16878</v>
      </c>
      <c r="E39" s="40">
        <f>E40+E41</f>
        <v>19828.600000000002</v>
      </c>
      <c r="F39" s="40">
        <f aca="true" t="shared" si="18" ref="F39:K39">F40+F41</f>
        <v>11395.900000000001</v>
      </c>
      <c r="G39" s="40">
        <f t="shared" si="18"/>
        <v>4108.3</v>
      </c>
      <c r="H39" s="40">
        <f t="shared" si="18"/>
        <v>7287.6</v>
      </c>
      <c r="I39" s="40">
        <f t="shared" si="18"/>
        <v>4213.2</v>
      </c>
      <c r="J39" s="40">
        <f t="shared" si="18"/>
        <v>4219.5</v>
      </c>
      <c r="K39" s="40">
        <f t="shared" si="18"/>
        <v>9244.1</v>
      </c>
      <c r="L39" s="40" t="e">
        <f>L40</f>
        <v>#REF!</v>
      </c>
      <c r="M39" s="34">
        <f>K39/I39*100</f>
        <v>219.40805088768633</v>
      </c>
      <c r="N39" s="57"/>
      <c r="O39" s="57"/>
      <c r="P39" s="43">
        <f t="shared" si="3"/>
        <v>219.08045977011494</v>
      </c>
      <c r="Q39" s="43">
        <f t="shared" si="15"/>
        <v>81.11777042620591</v>
      </c>
      <c r="R39" s="43">
        <f t="shared" si="16"/>
        <v>54.770114942528735</v>
      </c>
      <c r="S39" s="31">
        <f t="shared" si="17"/>
        <v>46.62003368871226</v>
      </c>
    </row>
    <row r="40" spans="1:19" ht="24">
      <c r="A40" s="21" t="s">
        <v>67</v>
      </c>
      <c r="B40" s="19"/>
      <c r="C40" s="41" t="s">
        <v>20</v>
      </c>
      <c r="D40" s="44">
        <v>16878</v>
      </c>
      <c r="E40" s="60">
        <f>G40+H40+I40+J40</f>
        <v>19834.9</v>
      </c>
      <c r="F40" s="61">
        <f t="shared" si="14"/>
        <v>11395.900000000001</v>
      </c>
      <c r="G40" s="44">
        <f>4062.5+45.8</f>
        <v>4108.3</v>
      </c>
      <c r="H40" s="44">
        <v>7287.6</v>
      </c>
      <c r="I40" s="24">
        <v>4219.5</v>
      </c>
      <c r="J40" s="44">
        <v>4219.5</v>
      </c>
      <c r="K40" s="25">
        <v>9244.1</v>
      </c>
      <c r="L40" s="27" t="e">
        <f>K40/#REF!*100</f>
        <v>#REF!</v>
      </c>
      <c r="M40" s="27">
        <f>K40/I40*100</f>
        <v>219.08045977011494</v>
      </c>
      <c r="N40" s="57"/>
      <c r="O40" s="57"/>
      <c r="P40" s="24">
        <f t="shared" si="3"/>
        <v>219.08045977011494</v>
      </c>
      <c r="Q40" s="24">
        <f t="shared" si="15"/>
        <v>81.11777042620591</v>
      </c>
      <c r="R40" s="24">
        <f t="shared" si="16"/>
        <v>54.770114942528735</v>
      </c>
      <c r="S40" s="25">
        <f t="shared" si="17"/>
        <v>46.60522614180056</v>
      </c>
    </row>
    <row r="41" spans="1:19" ht="17.25" customHeight="1">
      <c r="A41" s="21" t="s">
        <v>66</v>
      </c>
      <c r="B41" s="78"/>
      <c r="C41" s="26" t="s">
        <v>63</v>
      </c>
      <c r="D41" s="44"/>
      <c r="E41" s="60">
        <f>G41+H41+I41+J41</f>
        <v>-6.3</v>
      </c>
      <c r="F41" s="60">
        <f>G41</f>
        <v>0</v>
      </c>
      <c r="G41" s="44"/>
      <c r="H41" s="44"/>
      <c r="I41" s="24">
        <v>-6.3</v>
      </c>
      <c r="J41" s="44"/>
      <c r="K41" s="25"/>
      <c r="L41" s="27"/>
      <c r="M41" s="27">
        <f>K41/I41*100</f>
        <v>0</v>
      </c>
      <c r="N41" s="57"/>
      <c r="O41" s="57"/>
      <c r="P41" s="24"/>
      <c r="Q41" s="24" t="e">
        <f t="shared" si="15"/>
        <v>#DIV/0!</v>
      </c>
      <c r="R41" s="24"/>
      <c r="S41" s="25"/>
    </row>
    <row r="42" spans="1:19" ht="12.75">
      <c r="A42" s="28"/>
      <c r="B42" s="29"/>
      <c r="C42" s="30" t="s">
        <v>4</v>
      </c>
      <c r="D42" s="31">
        <f aca="true" t="shared" si="19" ref="D42:J42">D39+D30</f>
        <v>33911</v>
      </c>
      <c r="E42" s="31">
        <f t="shared" si="19"/>
        <v>36867.899999999994</v>
      </c>
      <c r="F42" s="31">
        <f t="shared" si="19"/>
        <v>19918.7</v>
      </c>
      <c r="G42" s="31">
        <f t="shared" si="19"/>
        <v>8366.7</v>
      </c>
      <c r="H42" s="31">
        <f t="shared" si="19"/>
        <v>11552</v>
      </c>
      <c r="I42" s="31">
        <f t="shared" si="19"/>
        <v>8471.6</v>
      </c>
      <c r="J42" s="31">
        <f t="shared" si="19"/>
        <v>8477.599999999999</v>
      </c>
      <c r="K42" s="31">
        <f>K39+K30</f>
        <v>20187.199999999997</v>
      </c>
      <c r="L42" s="34" t="e">
        <f>K42/#REF!*100</f>
        <v>#REF!</v>
      </c>
      <c r="M42" s="34">
        <f>K42/I42*100</f>
        <v>238.29264837811036</v>
      </c>
      <c r="N42" s="57"/>
      <c r="O42" s="58" t="e">
        <f>J42+#REF!+#REF!</f>
        <v>#REF!</v>
      </c>
      <c r="P42" s="43">
        <f t="shared" si="3"/>
        <v>238.12399735774278</v>
      </c>
      <c r="Q42" s="43">
        <f t="shared" si="15"/>
        <v>101.34797953681715</v>
      </c>
      <c r="R42" s="43">
        <f t="shared" si="16"/>
        <v>59.529946035209804</v>
      </c>
      <c r="S42" s="31">
        <f t="shared" si="17"/>
        <v>54.75549190488203</v>
      </c>
    </row>
    <row r="43" spans="1:19" ht="12.75">
      <c r="A43" s="45"/>
      <c r="B43" s="46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8"/>
      <c r="N43" s="57"/>
      <c r="O43" s="57"/>
      <c r="P43" s="56"/>
      <c r="Q43" s="24"/>
      <c r="R43" s="34"/>
      <c r="S43" s="31"/>
    </row>
    <row r="44" spans="1:19" ht="12.75">
      <c r="A44" s="169" t="s">
        <v>26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64"/>
      <c r="R44" s="34"/>
      <c r="S44" s="31"/>
    </row>
    <row r="45" spans="1:19" ht="12.75">
      <c r="A45" s="32" t="s">
        <v>3</v>
      </c>
      <c r="B45" s="32"/>
      <c r="C45" s="33" t="s">
        <v>68</v>
      </c>
      <c r="D45" s="34">
        <f aca="true" t="shared" si="20" ref="D45:K45">D46+D49+D51+D52+D53+D54+D50+D48+D47</f>
        <v>19510.6</v>
      </c>
      <c r="E45" s="34">
        <f t="shared" si="20"/>
        <v>19710.6</v>
      </c>
      <c r="F45" s="34">
        <f t="shared" si="20"/>
        <v>9934.699999999999</v>
      </c>
      <c r="G45" s="34">
        <f t="shared" si="20"/>
        <v>5067.4</v>
      </c>
      <c r="H45" s="34">
        <f t="shared" si="20"/>
        <v>4867.299999999999</v>
      </c>
      <c r="I45" s="34">
        <f t="shared" si="20"/>
        <v>4867.4</v>
      </c>
      <c r="J45" s="34">
        <f t="shared" si="20"/>
        <v>4908.5</v>
      </c>
      <c r="K45" s="34">
        <f t="shared" si="20"/>
        <v>10226.6</v>
      </c>
      <c r="L45" s="34" t="e">
        <f>K45/#REF!*100</f>
        <v>#REF!</v>
      </c>
      <c r="M45" s="34">
        <f>K45/I45*100</f>
        <v>210.10395693799566</v>
      </c>
      <c r="N45" s="57"/>
      <c r="O45" s="57"/>
      <c r="P45" s="34">
        <f t="shared" si="3"/>
        <v>208.34470815931547</v>
      </c>
      <c r="Q45" s="43">
        <f>K45*100/F45</f>
        <v>102.93818635691063</v>
      </c>
      <c r="R45" s="43">
        <f>K45*100/D45</f>
        <v>52.415609976115555</v>
      </c>
      <c r="S45" s="31">
        <f>K45*100/E45</f>
        <v>51.88375797794081</v>
      </c>
    </row>
    <row r="46" spans="1:19" ht="12.75">
      <c r="A46" s="28" t="s">
        <v>23</v>
      </c>
      <c r="B46" s="19"/>
      <c r="C46" s="72" t="s">
        <v>22</v>
      </c>
      <c r="D46" s="61">
        <v>12300</v>
      </c>
      <c r="E46" s="60">
        <f aca="true" t="shared" si="21" ref="E46:E58">G46+H46+I46+J46</f>
        <v>12300</v>
      </c>
      <c r="F46" s="61">
        <f aca="true" t="shared" si="22" ref="F46:F56">G46+H46</f>
        <v>6150</v>
      </c>
      <c r="G46" s="60">
        <v>3075</v>
      </c>
      <c r="H46" s="60">
        <v>3075</v>
      </c>
      <c r="I46" s="24">
        <v>3075</v>
      </c>
      <c r="J46" s="25">
        <v>3075</v>
      </c>
      <c r="K46" s="73">
        <v>6944.8</v>
      </c>
      <c r="L46" s="27" t="e">
        <f>K46/#REF!*100</f>
        <v>#REF!</v>
      </c>
      <c r="M46" s="27">
        <f>K46/I46*100</f>
        <v>225.8471544715447</v>
      </c>
      <c r="N46" s="57"/>
      <c r="O46" s="57"/>
      <c r="P46" s="24">
        <f t="shared" si="3"/>
        <v>225.8471544715447</v>
      </c>
      <c r="Q46" s="24">
        <f aca="true" t="shared" si="23" ref="Q46:Q59">K46*100/F46</f>
        <v>112.92357723577236</v>
      </c>
      <c r="R46" s="24">
        <f aca="true" t="shared" si="24" ref="R46:R59">K46*100/D46</f>
        <v>56.46178861788618</v>
      </c>
      <c r="S46" s="25">
        <f aca="true" t="shared" si="25" ref="S46:S59">K46*100/E46</f>
        <v>56.46178861788618</v>
      </c>
    </row>
    <row r="47" spans="1:19" ht="12.75">
      <c r="A47" s="19" t="s">
        <v>70</v>
      </c>
      <c r="B47" s="19"/>
      <c r="C47" s="35" t="s">
        <v>71</v>
      </c>
      <c r="D47" s="60">
        <v>4056.1</v>
      </c>
      <c r="E47" s="60">
        <f t="shared" si="21"/>
        <v>4056.0999999999995</v>
      </c>
      <c r="F47" s="61">
        <f t="shared" si="22"/>
        <v>2007.6</v>
      </c>
      <c r="G47" s="60">
        <v>1003.8</v>
      </c>
      <c r="H47" s="60">
        <v>1003.8</v>
      </c>
      <c r="I47" s="24">
        <v>1003.8</v>
      </c>
      <c r="J47" s="25">
        <v>1044.7</v>
      </c>
      <c r="K47" s="73">
        <v>1818.5</v>
      </c>
      <c r="L47" s="27"/>
      <c r="M47" s="27"/>
      <c r="N47" s="57"/>
      <c r="O47" s="57"/>
      <c r="P47" s="24"/>
      <c r="Q47" s="24">
        <f t="shared" si="23"/>
        <v>90.58079298665074</v>
      </c>
      <c r="R47" s="24">
        <f t="shared" si="24"/>
        <v>44.83370725573827</v>
      </c>
      <c r="S47" s="25">
        <f t="shared" si="25"/>
        <v>44.833707255738275</v>
      </c>
    </row>
    <row r="48" spans="1:19" ht="12.75">
      <c r="A48" s="19" t="s">
        <v>8</v>
      </c>
      <c r="B48" s="19"/>
      <c r="C48" s="35" t="s">
        <v>5</v>
      </c>
      <c r="D48" s="60">
        <v>17</v>
      </c>
      <c r="E48" s="60">
        <f t="shared" si="21"/>
        <v>17</v>
      </c>
      <c r="F48" s="61">
        <f t="shared" si="22"/>
        <v>8.4</v>
      </c>
      <c r="G48" s="60">
        <v>4.2</v>
      </c>
      <c r="H48" s="60">
        <v>4.2</v>
      </c>
      <c r="I48" s="24">
        <v>4.2</v>
      </c>
      <c r="J48" s="25">
        <v>4.4</v>
      </c>
      <c r="K48" s="73">
        <v>13.5</v>
      </c>
      <c r="L48" s="27" t="e">
        <f>K48/#REF!*100</f>
        <v>#REF!</v>
      </c>
      <c r="M48" s="27">
        <f>K48/I48*100</f>
        <v>321.4285714285714</v>
      </c>
      <c r="N48" s="57"/>
      <c r="O48" s="57"/>
      <c r="P48" s="24">
        <f t="shared" si="3"/>
        <v>306.8181818181818</v>
      </c>
      <c r="Q48" s="24">
        <f t="shared" si="23"/>
        <v>160.7142857142857</v>
      </c>
      <c r="R48" s="24">
        <f t="shared" si="24"/>
        <v>79.41176470588235</v>
      </c>
      <c r="S48" s="25">
        <f t="shared" si="25"/>
        <v>79.41176470588235</v>
      </c>
    </row>
    <row r="49" spans="1:19" ht="14.25" customHeight="1">
      <c r="A49" s="19" t="s">
        <v>9</v>
      </c>
      <c r="B49" s="19"/>
      <c r="C49" s="35" t="s">
        <v>6</v>
      </c>
      <c r="D49" s="60">
        <v>2280</v>
      </c>
      <c r="E49" s="60">
        <f t="shared" si="21"/>
        <v>2280</v>
      </c>
      <c r="F49" s="61">
        <f t="shared" si="22"/>
        <v>1140</v>
      </c>
      <c r="G49" s="60">
        <v>570</v>
      </c>
      <c r="H49" s="60">
        <v>570</v>
      </c>
      <c r="I49" s="24">
        <v>570</v>
      </c>
      <c r="J49" s="25">
        <v>570</v>
      </c>
      <c r="K49" s="25">
        <v>641.6</v>
      </c>
      <c r="L49" s="27" t="e">
        <f>K49/#REF!*100</f>
        <v>#REF!</v>
      </c>
      <c r="M49" s="27">
        <f>K49/I49*100</f>
        <v>112.56140350877193</v>
      </c>
      <c r="N49" s="57"/>
      <c r="O49" s="57"/>
      <c r="P49" s="24">
        <f t="shared" si="3"/>
        <v>112.56140350877193</v>
      </c>
      <c r="Q49" s="24">
        <f t="shared" si="23"/>
        <v>56.280701754385966</v>
      </c>
      <c r="R49" s="24">
        <f t="shared" si="24"/>
        <v>28.140350877192983</v>
      </c>
      <c r="S49" s="25">
        <f t="shared" si="25"/>
        <v>28.140350877192983</v>
      </c>
    </row>
    <row r="50" spans="1:19" ht="18" customHeight="1">
      <c r="A50" s="19" t="s">
        <v>10</v>
      </c>
      <c r="B50" s="19"/>
      <c r="C50" s="35" t="s">
        <v>21</v>
      </c>
      <c r="D50" s="60">
        <v>0</v>
      </c>
      <c r="E50" s="60">
        <f t="shared" si="21"/>
        <v>0</v>
      </c>
      <c r="F50" s="61">
        <f t="shared" si="22"/>
        <v>0</v>
      </c>
      <c r="G50" s="60"/>
      <c r="H50" s="60"/>
      <c r="I50" s="24"/>
      <c r="J50" s="25"/>
      <c r="K50" s="25">
        <v>1.6</v>
      </c>
      <c r="L50" s="27"/>
      <c r="M50" s="27"/>
      <c r="N50" s="57"/>
      <c r="O50" s="57"/>
      <c r="P50" s="24" t="e">
        <f t="shared" si="3"/>
        <v>#DIV/0!</v>
      </c>
      <c r="Q50" s="24"/>
      <c r="R50" s="24"/>
      <c r="S50" s="25"/>
    </row>
    <row r="51" spans="1:19" ht="24">
      <c r="A51" s="20" t="s">
        <v>11</v>
      </c>
      <c r="B51" s="20"/>
      <c r="C51" s="35" t="s">
        <v>17</v>
      </c>
      <c r="D51" s="60">
        <v>632.5</v>
      </c>
      <c r="E51" s="60">
        <f t="shared" si="21"/>
        <v>832.5</v>
      </c>
      <c r="F51" s="61">
        <f t="shared" si="22"/>
        <v>516.2</v>
      </c>
      <c r="G51" s="60">
        <f>158.1+200</f>
        <v>358.1</v>
      </c>
      <c r="H51" s="60">
        <v>158.1</v>
      </c>
      <c r="I51" s="24">
        <v>158.1</v>
      </c>
      <c r="J51" s="25">
        <v>158.2</v>
      </c>
      <c r="K51" s="25">
        <v>701.8</v>
      </c>
      <c r="L51" s="27" t="e">
        <f>K51/#REF!*100</f>
        <v>#REF!</v>
      </c>
      <c r="M51" s="27">
        <f>K51/I51*100</f>
        <v>443.8962681846932</v>
      </c>
      <c r="N51" s="57"/>
      <c r="O51" s="57"/>
      <c r="P51" s="24">
        <f t="shared" si="3"/>
        <v>443.61567635903924</v>
      </c>
      <c r="Q51" s="24">
        <f t="shared" si="23"/>
        <v>135.95505617977526</v>
      </c>
      <c r="R51" s="24">
        <f t="shared" si="24"/>
        <v>110.95652173913044</v>
      </c>
      <c r="S51" s="25">
        <f t="shared" si="25"/>
        <v>84.30030030030031</v>
      </c>
    </row>
    <row r="52" spans="1:19" ht="12.75">
      <c r="A52" s="37" t="s">
        <v>18</v>
      </c>
      <c r="B52" s="37"/>
      <c r="C52" s="35" t="s">
        <v>15</v>
      </c>
      <c r="D52" s="60">
        <v>225</v>
      </c>
      <c r="E52" s="60">
        <f t="shared" si="21"/>
        <v>225</v>
      </c>
      <c r="F52" s="61">
        <f t="shared" si="22"/>
        <v>112.5</v>
      </c>
      <c r="G52" s="60">
        <v>56.3</v>
      </c>
      <c r="H52" s="60">
        <v>56.2</v>
      </c>
      <c r="I52" s="24">
        <v>56.3</v>
      </c>
      <c r="J52" s="25">
        <v>56.2</v>
      </c>
      <c r="K52" s="25">
        <v>104.8</v>
      </c>
      <c r="L52" s="27" t="e">
        <f>K52/#REF!*100</f>
        <v>#REF!</v>
      </c>
      <c r="M52" s="27">
        <f>K52/I52*100</f>
        <v>186.14564831261103</v>
      </c>
      <c r="N52" s="57"/>
      <c r="O52" s="57"/>
      <c r="P52" s="24">
        <f t="shared" si="3"/>
        <v>186.47686832740212</v>
      </c>
      <c r="Q52" s="24">
        <f t="shared" si="23"/>
        <v>93.15555555555555</v>
      </c>
      <c r="R52" s="24">
        <f t="shared" si="24"/>
        <v>46.577777777777776</v>
      </c>
      <c r="S52" s="25">
        <f t="shared" si="25"/>
        <v>46.577777777777776</v>
      </c>
    </row>
    <row r="53" spans="1:19" ht="17.25" customHeight="1" hidden="1">
      <c r="A53" s="28" t="s">
        <v>12</v>
      </c>
      <c r="B53" s="28"/>
      <c r="C53" s="35" t="s">
        <v>7</v>
      </c>
      <c r="D53" s="60"/>
      <c r="E53" s="60">
        <f t="shared" si="21"/>
        <v>0</v>
      </c>
      <c r="F53" s="61">
        <f t="shared" si="22"/>
        <v>0</v>
      </c>
      <c r="G53" s="60"/>
      <c r="H53" s="60"/>
      <c r="I53" s="24"/>
      <c r="J53" s="25"/>
      <c r="K53" s="25"/>
      <c r="L53" s="27" t="e">
        <f>K53/#REF!*100</f>
        <v>#REF!</v>
      </c>
      <c r="M53" s="27"/>
      <c r="N53" s="57"/>
      <c r="O53" s="57"/>
      <c r="P53" s="24" t="e">
        <f t="shared" si="3"/>
        <v>#DIV/0!</v>
      </c>
      <c r="Q53" s="24" t="e">
        <f t="shared" si="23"/>
        <v>#DIV/0!</v>
      </c>
      <c r="R53" s="24" t="e">
        <f t="shared" si="24"/>
        <v>#DIV/0!</v>
      </c>
      <c r="S53" s="25" t="e">
        <f t="shared" si="25"/>
        <v>#DIV/0!</v>
      </c>
    </row>
    <row r="54" spans="1:19" ht="14.25" customHeight="1">
      <c r="A54" s="81" t="s">
        <v>39</v>
      </c>
      <c r="B54" s="74"/>
      <c r="C54" s="23" t="s">
        <v>40</v>
      </c>
      <c r="D54" s="66">
        <v>0</v>
      </c>
      <c r="E54" s="60">
        <f t="shared" si="21"/>
        <v>0</v>
      </c>
      <c r="F54" s="61">
        <f t="shared" si="22"/>
        <v>0</v>
      </c>
      <c r="G54" s="60"/>
      <c r="H54" s="60"/>
      <c r="I54" s="24"/>
      <c r="J54" s="25"/>
      <c r="K54" s="25"/>
      <c r="L54" s="27"/>
      <c r="M54" s="27"/>
      <c r="N54" s="57"/>
      <c r="O54" s="57"/>
      <c r="P54" s="24" t="e">
        <f t="shared" si="3"/>
        <v>#DIV/0!</v>
      </c>
      <c r="Q54" s="24"/>
      <c r="R54" s="24"/>
      <c r="S54" s="25"/>
    </row>
    <row r="55" spans="1:19" ht="12.75">
      <c r="A55" s="69" t="s">
        <v>1</v>
      </c>
      <c r="B55" s="69"/>
      <c r="C55" s="39" t="s">
        <v>0</v>
      </c>
      <c r="D55" s="40">
        <f>D56+D58+D57</f>
        <v>24457</v>
      </c>
      <c r="E55" s="40">
        <f>E56+E58+E57</f>
        <v>38240.3</v>
      </c>
      <c r="F55" s="40">
        <f aca="true" t="shared" si="26" ref="F55:P55">F56+F58+F57</f>
        <v>24481.6</v>
      </c>
      <c r="G55" s="40">
        <f t="shared" si="26"/>
        <v>17820.1</v>
      </c>
      <c r="H55" s="40">
        <f t="shared" si="26"/>
        <v>6661.5</v>
      </c>
      <c r="I55" s="40">
        <f t="shared" si="26"/>
        <v>7644.4</v>
      </c>
      <c r="J55" s="40">
        <f t="shared" si="26"/>
        <v>6114.3</v>
      </c>
      <c r="K55" s="40">
        <f t="shared" si="26"/>
        <v>23401</v>
      </c>
      <c r="L55" s="40" t="e">
        <f t="shared" si="26"/>
        <v>#REF!</v>
      </c>
      <c r="M55" s="40">
        <f t="shared" si="26"/>
        <v>306.11951232274606</v>
      </c>
      <c r="N55" s="40">
        <f t="shared" si="26"/>
        <v>0.1</v>
      </c>
      <c r="O55" s="40">
        <f t="shared" si="26"/>
        <v>0</v>
      </c>
      <c r="P55" s="40" t="e">
        <f t="shared" si="26"/>
        <v>#DIV/0!</v>
      </c>
      <c r="Q55" s="43">
        <f t="shared" si="23"/>
        <v>95.58607280569898</v>
      </c>
      <c r="R55" s="43">
        <f t="shared" si="24"/>
        <v>95.68221776996361</v>
      </c>
      <c r="S55" s="31">
        <f t="shared" si="25"/>
        <v>61.19460359882113</v>
      </c>
    </row>
    <row r="56" spans="1:19" ht="24">
      <c r="A56" s="21" t="s">
        <v>67</v>
      </c>
      <c r="B56" s="19"/>
      <c r="C56" s="41" t="s">
        <v>20</v>
      </c>
      <c r="D56" s="82">
        <v>24457</v>
      </c>
      <c r="E56" s="60">
        <f t="shared" si="21"/>
        <v>38240.3</v>
      </c>
      <c r="F56" s="61">
        <f t="shared" si="22"/>
        <v>24481.6</v>
      </c>
      <c r="G56" s="44">
        <f>17770.1+50</f>
        <v>17820.1</v>
      </c>
      <c r="H56" s="44">
        <v>6661.5</v>
      </c>
      <c r="I56" s="24">
        <f>6114.3+1530.1</f>
        <v>7644.4</v>
      </c>
      <c r="J56" s="24">
        <v>6114.3</v>
      </c>
      <c r="K56" s="25">
        <v>23401</v>
      </c>
      <c r="L56" s="27" t="e">
        <f>K56/#REF!*100</f>
        <v>#REF!</v>
      </c>
      <c r="M56" s="27">
        <f>K56/I56*100</f>
        <v>306.11951232274606</v>
      </c>
      <c r="N56" s="57">
        <v>0.1</v>
      </c>
      <c r="O56" s="57"/>
      <c r="P56" s="24">
        <f t="shared" si="3"/>
        <v>382.72574129499696</v>
      </c>
      <c r="Q56" s="24">
        <f t="shared" si="23"/>
        <v>95.58607280569898</v>
      </c>
      <c r="R56" s="24">
        <f t="shared" si="24"/>
        <v>95.68221776996361</v>
      </c>
      <c r="S56" s="25">
        <f t="shared" si="25"/>
        <v>61.19460359882113</v>
      </c>
    </row>
    <row r="57" spans="1:19" ht="12.75" hidden="1">
      <c r="A57" s="21" t="s">
        <v>2</v>
      </c>
      <c r="B57" s="21"/>
      <c r="C57" s="42" t="s">
        <v>19</v>
      </c>
      <c r="D57" s="42"/>
      <c r="E57" s="60">
        <f>G57+H57+I57+J57</f>
        <v>0</v>
      </c>
      <c r="F57" s="60">
        <f>G57</f>
        <v>0</v>
      </c>
      <c r="G57" s="44"/>
      <c r="H57" s="44"/>
      <c r="I57" s="24"/>
      <c r="J57" s="56"/>
      <c r="K57" s="25"/>
      <c r="L57" s="27"/>
      <c r="M57" s="27"/>
      <c r="N57" s="57"/>
      <c r="O57" s="57"/>
      <c r="P57" s="24"/>
      <c r="Q57" s="43" t="e">
        <f t="shared" si="23"/>
        <v>#DIV/0!</v>
      </c>
      <c r="R57" s="43" t="e">
        <f t="shared" si="24"/>
        <v>#DIV/0!</v>
      </c>
      <c r="S57" s="31" t="e">
        <f t="shared" si="25"/>
        <v>#DIV/0!</v>
      </c>
    </row>
    <row r="58" spans="1:19" ht="24" hidden="1">
      <c r="A58" s="21" t="s">
        <v>66</v>
      </c>
      <c r="B58" s="78"/>
      <c r="C58" s="26" t="s">
        <v>63</v>
      </c>
      <c r="D58" s="26"/>
      <c r="E58" s="60">
        <f t="shared" si="21"/>
        <v>0</v>
      </c>
      <c r="F58" s="60">
        <f>G58</f>
        <v>0</v>
      </c>
      <c r="G58" s="83"/>
      <c r="H58" s="83"/>
      <c r="I58" s="24"/>
      <c r="J58" s="56"/>
      <c r="K58" s="25"/>
      <c r="L58" s="27" t="e">
        <f>K58/#REF!*100</f>
        <v>#REF!</v>
      </c>
      <c r="M58" s="27"/>
      <c r="N58" s="57"/>
      <c r="O58" s="57"/>
      <c r="P58" s="24" t="e">
        <f t="shared" si="3"/>
        <v>#DIV/0!</v>
      </c>
      <c r="Q58" s="43" t="e">
        <f t="shared" si="23"/>
        <v>#DIV/0!</v>
      </c>
      <c r="R58" s="43" t="e">
        <f t="shared" si="24"/>
        <v>#DIV/0!</v>
      </c>
      <c r="S58" s="31" t="e">
        <f t="shared" si="25"/>
        <v>#DIV/0!</v>
      </c>
    </row>
    <row r="59" spans="1:19" ht="12.75">
      <c r="A59" s="20"/>
      <c r="B59" s="84"/>
      <c r="C59" s="85" t="s">
        <v>4</v>
      </c>
      <c r="D59" s="86">
        <f aca="true" t="shared" si="27" ref="D59:K59">D55+D45</f>
        <v>43967.6</v>
      </c>
      <c r="E59" s="86">
        <f t="shared" si="27"/>
        <v>57950.9</v>
      </c>
      <c r="F59" s="86">
        <f t="shared" si="27"/>
        <v>34416.299999999996</v>
      </c>
      <c r="G59" s="86">
        <v>17820.1</v>
      </c>
      <c r="H59" s="86">
        <f t="shared" si="27"/>
        <v>11528.8</v>
      </c>
      <c r="I59" s="86">
        <f t="shared" si="27"/>
        <v>12511.8</v>
      </c>
      <c r="J59" s="86">
        <f t="shared" si="27"/>
        <v>11022.8</v>
      </c>
      <c r="K59" s="86">
        <f t="shared" si="27"/>
        <v>33627.6</v>
      </c>
      <c r="L59" s="34" t="e">
        <f>K59/#REF!*100</f>
        <v>#REF!</v>
      </c>
      <c r="M59" s="34">
        <f>K59/I59*100</f>
        <v>268.76708387282406</v>
      </c>
      <c r="N59" s="57"/>
      <c r="O59" s="58" t="e">
        <f>J59+#REF!+#REF!</f>
        <v>#REF!</v>
      </c>
      <c r="P59" s="43">
        <f t="shared" si="3"/>
        <v>305.0731211670356</v>
      </c>
      <c r="Q59" s="43">
        <f t="shared" si="23"/>
        <v>97.70835330933309</v>
      </c>
      <c r="R59" s="43">
        <f t="shared" si="24"/>
        <v>76.48268270271745</v>
      </c>
      <c r="S59" s="31">
        <f t="shared" si="25"/>
        <v>58.02774417653565</v>
      </c>
    </row>
    <row r="60" spans="1:19" ht="12.75">
      <c r="A60" s="174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6"/>
      <c r="N60" s="57"/>
      <c r="O60" s="57"/>
      <c r="P60" s="56"/>
      <c r="Q60" s="24"/>
      <c r="R60" s="34"/>
      <c r="S60" s="31"/>
    </row>
    <row r="61" spans="1:19" ht="12.75">
      <c r="A61" s="169" t="s">
        <v>27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64"/>
      <c r="R61" s="34"/>
      <c r="S61" s="31"/>
    </row>
    <row r="62" spans="1:19" ht="12.75">
      <c r="A62" s="69" t="s">
        <v>3</v>
      </c>
      <c r="B62" s="69"/>
      <c r="C62" s="70" t="s">
        <v>68</v>
      </c>
      <c r="D62" s="43">
        <f>D63+D66+D68+D70+D67+D72+D71+D65+D69+D64</f>
        <v>40329</v>
      </c>
      <c r="E62" s="43">
        <f>E63+E66+E68+E70+E67+E72+E71+E65+E69+E64</f>
        <v>42809</v>
      </c>
      <c r="F62" s="43">
        <f>F63+F66+F68+F70+F67+F72+F71+F65+F69+F64</f>
        <v>21383.5</v>
      </c>
      <c r="G62" s="43">
        <f aca="true" t="shared" si="28" ref="G62:P62">G63+G66+G68+G70+G67+G72+G71+G65+G69+G64</f>
        <v>8510.3</v>
      </c>
      <c r="H62" s="43">
        <f t="shared" si="28"/>
        <v>12873.2</v>
      </c>
      <c r="I62" s="43">
        <f t="shared" si="28"/>
        <v>8682.5</v>
      </c>
      <c r="J62" s="43">
        <f t="shared" si="28"/>
        <v>12743</v>
      </c>
      <c r="K62" s="43">
        <f t="shared" si="28"/>
        <v>26856.9</v>
      </c>
      <c r="L62" s="43" t="e">
        <f t="shared" si="28"/>
        <v>#REF!</v>
      </c>
      <c r="M62" s="43" t="e">
        <f t="shared" si="28"/>
        <v>#DIV/0!</v>
      </c>
      <c r="N62" s="43">
        <f t="shared" si="28"/>
        <v>0</v>
      </c>
      <c r="O62" s="43">
        <f t="shared" si="28"/>
        <v>0</v>
      </c>
      <c r="P62" s="43" t="e">
        <f t="shared" si="28"/>
        <v>#DIV/0!</v>
      </c>
      <c r="Q62" s="43">
        <f>K62*100/F62</f>
        <v>125.59637103374097</v>
      </c>
      <c r="R62" s="43">
        <f>K62*100/D62</f>
        <v>66.59451015398349</v>
      </c>
      <c r="S62" s="31">
        <f>K62*100/E62</f>
        <v>62.736574084888694</v>
      </c>
    </row>
    <row r="63" spans="1:19" ht="12.75">
      <c r="A63" s="19" t="s">
        <v>23</v>
      </c>
      <c r="B63" s="19"/>
      <c r="C63" s="72" t="s">
        <v>22</v>
      </c>
      <c r="D63" s="61">
        <v>18800</v>
      </c>
      <c r="E63" s="60">
        <f>G63+H63+I63+J63</f>
        <v>18880</v>
      </c>
      <c r="F63" s="61">
        <f aca="true" t="shared" si="29" ref="F63:F75">G63+H63</f>
        <v>9430</v>
      </c>
      <c r="G63" s="87">
        <v>3743</v>
      </c>
      <c r="H63" s="87">
        <v>5687</v>
      </c>
      <c r="I63" s="27">
        <v>4051.2</v>
      </c>
      <c r="J63" s="27">
        <v>5398.8</v>
      </c>
      <c r="K63" s="27">
        <v>10880.8</v>
      </c>
      <c r="L63" s="27" t="e">
        <f>K63/#REF!*100</f>
        <v>#REF!</v>
      </c>
      <c r="M63" s="27">
        <f aca="true" t="shared" si="30" ref="M63:M70">K63/I63*100</f>
        <v>268.5821484992101</v>
      </c>
      <c r="N63" s="57"/>
      <c r="O63" s="57"/>
      <c r="P63" s="27">
        <f t="shared" si="3"/>
        <v>201.54108320367487</v>
      </c>
      <c r="Q63" s="24">
        <f aca="true" t="shared" si="31" ref="Q63:Q76">K63*100/F63</f>
        <v>115.38494167550371</v>
      </c>
      <c r="R63" s="24">
        <f aca="true" t="shared" si="32" ref="R63:R76">K63*100/D63</f>
        <v>57.87659574468085</v>
      </c>
      <c r="S63" s="25">
        <f aca="true" t="shared" si="33" ref="S63:S76">K63*100/E63</f>
        <v>57.63135593220339</v>
      </c>
    </row>
    <row r="64" spans="1:19" ht="12.75">
      <c r="A64" s="19" t="s">
        <v>70</v>
      </c>
      <c r="B64" s="19"/>
      <c r="C64" s="35" t="s">
        <v>71</v>
      </c>
      <c r="D64" s="60">
        <v>6809</v>
      </c>
      <c r="E64" s="60">
        <f>G64+H64+I64+J64</f>
        <v>6809</v>
      </c>
      <c r="F64" s="61">
        <f t="shared" si="29"/>
        <v>3395</v>
      </c>
      <c r="G64" s="87">
        <v>1705.5</v>
      </c>
      <c r="H64" s="87">
        <v>1689.5</v>
      </c>
      <c r="I64" s="27">
        <v>1706.5</v>
      </c>
      <c r="J64" s="27">
        <v>1707.5</v>
      </c>
      <c r="K64" s="27">
        <v>3052.6</v>
      </c>
      <c r="L64" s="27"/>
      <c r="M64" s="27"/>
      <c r="N64" s="57"/>
      <c r="O64" s="57"/>
      <c r="P64" s="27"/>
      <c r="Q64" s="24">
        <f t="shared" si="31"/>
        <v>89.91458026509572</v>
      </c>
      <c r="R64" s="24">
        <f t="shared" si="32"/>
        <v>44.8318402114848</v>
      </c>
      <c r="S64" s="25">
        <f t="shared" si="33"/>
        <v>44.8318402114848</v>
      </c>
    </row>
    <row r="65" spans="1:19" ht="12.75">
      <c r="A65" s="19" t="s">
        <v>8</v>
      </c>
      <c r="B65" s="19"/>
      <c r="C65" s="35" t="s">
        <v>5</v>
      </c>
      <c r="D65" s="60">
        <v>33</v>
      </c>
      <c r="E65" s="60">
        <f aca="true" t="shared" si="34" ref="E65:E75">G65+H65+I65+J65</f>
        <v>67</v>
      </c>
      <c r="F65" s="61">
        <f t="shared" si="29"/>
        <v>67</v>
      </c>
      <c r="G65" s="44">
        <v>25</v>
      </c>
      <c r="H65" s="44">
        <v>42</v>
      </c>
      <c r="I65" s="24"/>
      <c r="J65" s="24"/>
      <c r="K65" s="24">
        <v>67.4</v>
      </c>
      <c r="L65" s="27" t="e">
        <f>K65/#REF!*100</f>
        <v>#REF!</v>
      </c>
      <c r="M65" s="27" t="e">
        <f t="shared" si="30"/>
        <v>#DIV/0!</v>
      </c>
      <c r="N65" s="57"/>
      <c r="O65" s="57"/>
      <c r="P65" s="24" t="e">
        <f t="shared" si="3"/>
        <v>#DIV/0!</v>
      </c>
      <c r="Q65" s="24">
        <f t="shared" si="31"/>
        <v>100.59701492537314</v>
      </c>
      <c r="R65" s="24">
        <f t="shared" si="32"/>
        <v>204.24242424242428</v>
      </c>
      <c r="S65" s="25">
        <f t="shared" si="33"/>
        <v>100.59701492537314</v>
      </c>
    </row>
    <row r="66" spans="1:19" ht="12.75">
      <c r="A66" s="19" t="s">
        <v>9</v>
      </c>
      <c r="B66" s="19"/>
      <c r="C66" s="35" t="s">
        <v>6</v>
      </c>
      <c r="D66" s="60">
        <v>7220</v>
      </c>
      <c r="E66" s="60">
        <f t="shared" si="34"/>
        <v>9220</v>
      </c>
      <c r="F66" s="61">
        <f t="shared" si="29"/>
        <v>4405</v>
      </c>
      <c r="G66" s="44">
        <v>1229</v>
      </c>
      <c r="H66" s="44">
        <v>3176</v>
      </c>
      <c r="I66" s="24">
        <v>1057</v>
      </c>
      <c r="J66" s="24">
        <v>3758</v>
      </c>
      <c r="K66" s="24">
        <v>7041.7</v>
      </c>
      <c r="L66" s="27" t="e">
        <f>K66/#REF!*100</f>
        <v>#REF!</v>
      </c>
      <c r="M66" s="27">
        <f t="shared" si="30"/>
        <v>666.1967833491012</v>
      </c>
      <c r="N66" s="57"/>
      <c r="O66" s="57"/>
      <c r="P66" s="24">
        <f t="shared" si="3"/>
        <v>187.37892496008516</v>
      </c>
      <c r="Q66" s="24">
        <f t="shared" si="31"/>
        <v>159.85698070374573</v>
      </c>
      <c r="R66" s="24">
        <f t="shared" si="32"/>
        <v>97.53047091412742</v>
      </c>
      <c r="S66" s="25">
        <f t="shared" si="33"/>
        <v>76.37418655097613</v>
      </c>
    </row>
    <row r="67" spans="1:19" ht="18.75" customHeight="1">
      <c r="A67" s="19" t="s">
        <v>10</v>
      </c>
      <c r="B67" s="19"/>
      <c r="C67" s="35" t="s">
        <v>21</v>
      </c>
      <c r="D67" s="60">
        <v>7</v>
      </c>
      <c r="E67" s="60">
        <f t="shared" si="34"/>
        <v>23</v>
      </c>
      <c r="F67" s="61">
        <f t="shared" si="29"/>
        <v>22</v>
      </c>
      <c r="G67" s="44">
        <v>3</v>
      </c>
      <c r="H67" s="44">
        <v>19</v>
      </c>
      <c r="I67" s="24">
        <v>1</v>
      </c>
      <c r="J67" s="24"/>
      <c r="K67" s="24">
        <v>35.4</v>
      </c>
      <c r="L67" s="27"/>
      <c r="M67" s="27">
        <f t="shared" si="30"/>
        <v>3540</v>
      </c>
      <c r="N67" s="57"/>
      <c r="O67" s="57"/>
      <c r="P67" s="24" t="e">
        <f t="shared" si="3"/>
        <v>#DIV/0!</v>
      </c>
      <c r="Q67" s="24">
        <f t="shared" si="31"/>
        <v>160.9090909090909</v>
      </c>
      <c r="R67" s="24">
        <f t="shared" si="32"/>
        <v>505.7142857142857</v>
      </c>
      <c r="S67" s="25">
        <f t="shared" si="33"/>
        <v>153.91304347826087</v>
      </c>
    </row>
    <row r="68" spans="1:19" ht="24">
      <c r="A68" s="20" t="s">
        <v>11</v>
      </c>
      <c r="B68" s="20"/>
      <c r="C68" s="35" t="s">
        <v>17</v>
      </c>
      <c r="D68" s="60">
        <v>7275</v>
      </c>
      <c r="E68" s="60">
        <f t="shared" si="34"/>
        <v>7525</v>
      </c>
      <c r="F68" s="61">
        <f t="shared" si="29"/>
        <v>3870.5</v>
      </c>
      <c r="G68" s="44">
        <v>1758.8</v>
      </c>
      <c r="H68" s="44">
        <v>2111.7</v>
      </c>
      <c r="I68" s="24">
        <v>1820.8</v>
      </c>
      <c r="J68" s="24">
        <v>1833.7</v>
      </c>
      <c r="K68" s="24">
        <v>5013.7</v>
      </c>
      <c r="L68" s="27" t="e">
        <f>K68/#REF!*100</f>
        <v>#REF!</v>
      </c>
      <c r="M68" s="27">
        <f t="shared" si="30"/>
        <v>275.35698594024603</v>
      </c>
      <c r="N68" s="57"/>
      <c r="O68" s="57"/>
      <c r="P68" s="24">
        <f t="shared" si="3"/>
        <v>273.419861482249</v>
      </c>
      <c r="Q68" s="24">
        <f t="shared" si="31"/>
        <v>129.5362356284718</v>
      </c>
      <c r="R68" s="24">
        <f t="shared" si="32"/>
        <v>68.91683848797251</v>
      </c>
      <c r="S68" s="25">
        <f t="shared" si="33"/>
        <v>66.62724252491694</v>
      </c>
    </row>
    <row r="69" spans="1:19" ht="16.5" customHeight="1">
      <c r="A69" s="37" t="s">
        <v>42</v>
      </c>
      <c r="B69" s="37"/>
      <c r="C69" s="35" t="s">
        <v>43</v>
      </c>
      <c r="D69" s="60"/>
      <c r="E69" s="60">
        <f t="shared" si="34"/>
        <v>0</v>
      </c>
      <c r="F69" s="61">
        <f t="shared" si="29"/>
        <v>0</v>
      </c>
      <c r="G69" s="44"/>
      <c r="H69" s="44"/>
      <c r="I69" s="24"/>
      <c r="J69" s="24"/>
      <c r="K69" s="24">
        <v>186.6</v>
      </c>
      <c r="L69" s="27" t="e">
        <f>K69/#REF!*100</f>
        <v>#REF!</v>
      </c>
      <c r="M69" s="27"/>
      <c r="N69" s="57"/>
      <c r="O69" s="57"/>
      <c r="P69" s="24" t="e">
        <f t="shared" si="3"/>
        <v>#DIV/0!</v>
      </c>
      <c r="Q69" s="24"/>
      <c r="R69" s="24"/>
      <c r="S69" s="25"/>
    </row>
    <row r="70" spans="1:19" ht="12.75">
      <c r="A70" s="36" t="s">
        <v>18</v>
      </c>
      <c r="B70" s="36"/>
      <c r="C70" s="35" t="s">
        <v>15</v>
      </c>
      <c r="D70" s="60">
        <v>185</v>
      </c>
      <c r="E70" s="60">
        <f t="shared" si="34"/>
        <v>285</v>
      </c>
      <c r="F70" s="61">
        <f t="shared" si="29"/>
        <v>194</v>
      </c>
      <c r="G70" s="44">
        <v>46</v>
      </c>
      <c r="H70" s="44">
        <v>148</v>
      </c>
      <c r="I70" s="24">
        <v>46</v>
      </c>
      <c r="J70" s="24">
        <v>45</v>
      </c>
      <c r="K70" s="24">
        <v>537.8</v>
      </c>
      <c r="L70" s="27" t="e">
        <f>K70/#REF!*100</f>
        <v>#REF!</v>
      </c>
      <c r="M70" s="27">
        <f t="shared" si="30"/>
        <v>1169.1304347826087</v>
      </c>
      <c r="N70" s="57"/>
      <c r="O70" s="57"/>
      <c r="P70" s="24">
        <f t="shared" si="3"/>
        <v>1195.1111111111109</v>
      </c>
      <c r="Q70" s="24">
        <f t="shared" si="31"/>
        <v>277.2164948453608</v>
      </c>
      <c r="R70" s="24">
        <f t="shared" si="32"/>
        <v>290.70270270270265</v>
      </c>
      <c r="S70" s="25">
        <f t="shared" si="33"/>
        <v>188.70175438596488</v>
      </c>
    </row>
    <row r="71" spans="1:19" ht="15" customHeight="1">
      <c r="A71" s="28" t="s">
        <v>12</v>
      </c>
      <c r="B71" s="28"/>
      <c r="C71" s="35" t="s">
        <v>7</v>
      </c>
      <c r="D71" s="60"/>
      <c r="E71" s="60">
        <f t="shared" si="34"/>
        <v>0</v>
      </c>
      <c r="F71" s="61">
        <f t="shared" si="29"/>
        <v>0</v>
      </c>
      <c r="G71" s="44"/>
      <c r="H71" s="44"/>
      <c r="I71" s="24"/>
      <c r="J71" s="24"/>
      <c r="K71" s="24">
        <v>32.2</v>
      </c>
      <c r="L71" s="27"/>
      <c r="M71" s="27"/>
      <c r="N71" s="57"/>
      <c r="O71" s="57"/>
      <c r="P71" s="24" t="e">
        <f t="shared" si="3"/>
        <v>#DIV/0!</v>
      </c>
      <c r="Q71" s="24" t="e">
        <f t="shared" si="31"/>
        <v>#DIV/0!</v>
      </c>
      <c r="R71" s="24"/>
      <c r="S71" s="25"/>
    </row>
    <row r="72" spans="1:19" ht="12.75">
      <c r="A72" s="38" t="s">
        <v>39</v>
      </c>
      <c r="B72" s="74"/>
      <c r="C72" s="23" t="s">
        <v>40</v>
      </c>
      <c r="D72" s="66">
        <v>0</v>
      </c>
      <c r="E72" s="60">
        <f t="shared" si="34"/>
        <v>0</v>
      </c>
      <c r="F72" s="61">
        <f t="shared" si="29"/>
        <v>0</v>
      </c>
      <c r="G72" s="44"/>
      <c r="H72" s="44"/>
      <c r="I72" s="24"/>
      <c r="J72" s="24"/>
      <c r="K72" s="24">
        <v>8.7</v>
      </c>
      <c r="L72" s="27"/>
      <c r="M72" s="27"/>
      <c r="N72" s="57"/>
      <c r="O72" s="57"/>
      <c r="P72" s="24" t="e">
        <f t="shared" si="3"/>
        <v>#DIV/0!</v>
      </c>
      <c r="Q72" s="24" t="e">
        <f t="shared" si="31"/>
        <v>#DIV/0!</v>
      </c>
      <c r="R72" s="24"/>
      <c r="S72" s="25"/>
    </row>
    <row r="73" spans="1:19" ht="12.75">
      <c r="A73" s="32" t="s">
        <v>1</v>
      </c>
      <c r="B73" s="32"/>
      <c r="C73" s="39" t="s">
        <v>0</v>
      </c>
      <c r="D73" s="40">
        <f aca="true" t="shared" si="35" ref="D73:K73">D74+D75</f>
        <v>23265.9</v>
      </c>
      <c r="E73" s="40">
        <f t="shared" si="35"/>
        <v>34790.6</v>
      </c>
      <c r="F73" s="40">
        <f t="shared" si="35"/>
        <v>21721</v>
      </c>
      <c r="G73" s="40">
        <f t="shared" si="35"/>
        <v>4930.3</v>
      </c>
      <c r="H73" s="40">
        <f t="shared" si="35"/>
        <v>16790.7</v>
      </c>
      <c r="I73" s="40">
        <f t="shared" si="35"/>
        <v>7649.5</v>
      </c>
      <c r="J73" s="40">
        <f t="shared" si="35"/>
        <v>5420.1</v>
      </c>
      <c r="K73" s="40">
        <f t="shared" si="35"/>
        <v>14664.3</v>
      </c>
      <c r="L73" s="34" t="e">
        <f>K73/#REF!*100</f>
        <v>#REF!</v>
      </c>
      <c r="M73" s="34">
        <f>K73/I73*100</f>
        <v>191.70272566834433</v>
      </c>
      <c r="N73" s="57"/>
      <c r="O73" s="57"/>
      <c r="P73" s="43">
        <f t="shared" si="3"/>
        <v>270.55404881828747</v>
      </c>
      <c r="Q73" s="43">
        <f t="shared" si="31"/>
        <v>67.51208507895585</v>
      </c>
      <c r="R73" s="43">
        <f t="shared" si="32"/>
        <v>63.029154255799256</v>
      </c>
      <c r="S73" s="31">
        <f t="shared" si="33"/>
        <v>42.15017849649043</v>
      </c>
    </row>
    <row r="74" spans="1:19" ht="24">
      <c r="A74" s="21" t="s">
        <v>67</v>
      </c>
      <c r="B74" s="19"/>
      <c r="C74" s="41" t="s">
        <v>20</v>
      </c>
      <c r="D74" s="44">
        <v>23265.9</v>
      </c>
      <c r="E74" s="60">
        <f t="shared" si="34"/>
        <v>34735.6</v>
      </c>
      <c r="F74" s="61">
        <f t="shared" si="29"/>
        <v>21666</v>
      </c>
      <c r="G74" s="44">
        <v>4930.3</v>
      </c>
      <c r="H74" s="44">
        <v>16735.7</v>
      </c>
      <c r="I74" s="24">
        <f>6326.6+1322.9</f>
        <v>7649.5</v>
      </c>
      <c r="J74" s="25">
        <v>5420.1</v>
      </c>
      <c r="K74" s="25">
        <v>14594.3</v>
      </c>
      <c r="L74" s="27" t="e">
        <f>K74/#REF!*100</f>
        <v>#REF!</v>
      </c>
      <c r="M74" s="27">
        <f>K74/I74*100</f>
        <v>190.7876331786391</v>
      </c>
      <c r="N74" s="57"/>
      <c r="O74" s="57"/>
      <c r="P74" s="24">
        <f t="shared" si="3"/>
        <v>269.26255973137023</v>
      </c>
      <c r="Q74" s="24">
        <f t="shared" si="31"/>
        <v>67.36038031939444</v>
      </c>
      <c r="R74" s="24">
        <f t="shared" si="32"/>
        <v>62.728284742907</v>
      </c>
      <c r="S74" s="25">
        <f t="shared" si="33"/>
        <v>42.01539630811041</v>
      </c>
    </row>
    <row r="75" spans="1:19" ht="13.5" customHeight="1">
      <c r="A75" s="21" t="s">
        <v>2</v>
      </c>
      <c r="B75" s="21"/>
      <c r="C75" s="42" t="s">
        <v>19</v>
      </c>
      <c r="D75" s="26"/>
      <c r="E75" s="60">
        <f t="shared" si="34"/>
        <v>55</v>
      </c>
      <c r="F75" s="61">
        <f t="shared" si="29"/>
        <v>55</v>
      </c>
      <c r="G75" s="83"/>
      <c r="H75" s="83">
        <v>55</v>
      </c>
      <c r="I75" s="24"/>
      <c r="J75" s="25"/>
      <c r="K75" s="25">
        <v>70</v>
      </c>
      <c r="L75" s="27" t="e">
        <f>K75/#REF!*100</f>
        <v>#REF!</v>
      </c>
      <c r="M75" s="27"/>
      <c r="N75" s="57"/>
      <c r="O75" s="57"/>
      <c r="P75" s="24" t="e">
        <f t="shared" si="3"/>
        <v>#DIV/0!</v>
      </c>
      <c r="Q75" s="24">
        <f t="shared" si="31"/>
        <v>127.27272727272727</v>
      </c>
      <c r="R75" s="24"/>
      <c r="S75" s="25">
        <f t="shared" si="33"/>
        <v>127.27272727272727</v>
      </c>
    </row>
    <row r="76" spans="1:19" ht="12.75">
      <c r="A76" s="28"/>
      <c r="B76" s="29"/>
      <c r="C76" s="30" t="s">
        <v>4</v>
      </c>
      <c r="D76" s="31">
        <f aca="true" t="shared" si="36" ref="D76:L76">D73+D62</f>
        <v>63594.9</v>
      </c>
      <c r="E76" s="31">
        <f t="shared" si="36"/>
        <v>77599.6</v>
      </c>
      <c r="F76" s="31">
        <f t="shared" si="36"/>
        <v>43104.5</v>
      </c>
      <c r="G76" s="31">
        <f t="shared" si="36"/>
        <v>13440.599999999999</v>
      </c>
      <c r="H76" s="31">
        <f t="shared" si="36"/>
        <v>29663.9</v>
      </c>
      <c r="I76" s="31">
        <f t="shared" si="36"/>
        <v>16332</v>
      </c>
      <c r="J76" s="31">
        <f t="shared" si="36"/>
        <v>18163.1</v>
      </c>
      <c r="K76" s="31">
        <f t="shared" si="36"/>
        <v>41521.2</v>
      </c>
      <c r="L76" s="31" t="e">
        <f t="shared" si="36"/>
        <v>#REF!</v>
      </c>
      <c r="M76" s="34">
        <f>K76/I76*100</f>
        <v>254.23218221895664</v>
      </c>
      <c r="N76" s="57"/>
      <c r="O76" s="58" t="e">
        <f>J76+#REF!+#REF!</f>
        <v>#REF!</v>
      </c>
      <c r="P76" s="43">
        <f t="shared" si="3"/>
        <v>228.60194570310134</v>
      </c>
      <c r="Q76" s="43">
        <f t="shared" si="31"/>
        <v>96.32683362525954</v>
      </c>
      <c r="R76" s="43">
        <f t="shared" si="32"/>
        <v>65.29014119056716</v>
      </c>
      <c r="S76" s="31">
        <f t="shared" si="33"/>
        <v>53.50697684008679</v>
      </c>
    </row>
    <row r="77" spans="1:19" ht="12.75">
      <c r="A77" s="174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6"/>
      <c r="N77" s="57"/>
      <c r="O77" s="57"/>
      <c r="P77" s="56"/>
      <c r="Q77" s="24"/>
      <c r="R77" s="34"/>
      <c r="S77" s="31"/>
    </row>
    <row r="78" spans="1:19" ht="12.75">
      <c r="A78" s="169" t="s">
        <v>28</v>
      </c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64"/>
      <c r="R78" s="34"/>
      <c r="S78" s="31"/>
    </row>
    <row r="79" spans="1:19" ht="12.75">
      <c r="A79" s="32" t="s">
        <v>3</v>
      </c>
      <c r="B79" s="32"/>
      <c r="C79" s="33" t="s">
        <v>68</v>
      </c>
      <c r="D79" s="34">
        <f aca="true" t="shared" si="37" ref="D79:K79">D80+D82+D83+D84+D85+D86+D87+D88+D89+D81</f>
        <v>30672.1</v>
      </c>
      <c r="E79" s="34">
        <f t="shared" si="37"/>
        <v>31143.8</v>
      </c>
      <c r="F79" s="34">
        <f t="shared" si="37"/>
        <v>16013.499999999998</v>
      </c>
      <c r="G79" s="34">
        <f t="shared" si="37"/>
        <v>7614.900000000001</v>
      </c>
      <c r="H79" s="34">
        <f t="shared" si="37"/>
        <v>8398.6</v>
      </c>
      <c r="I79" s="34">
        <f t="shared" si="37"/>
        <v>7450.900000000001</v>
      </c>
      <c r="J79" s="34">
        <f t="shared" si="37"/>
        <v>7679.4</v>
      </c>
      <c r="K79" s="34">
        <f t="shared" si="37"/>
        <v>22728.4</v>
      </c>
      <c r="L79" s="34" t="e">
        <f>K79/#REF!*100</f>
        <v>#REF!</v>
      </c>
      <c r="M79" s="34">
        <f>K79/I79*100</f>
        <v>305.0423438779208</v>
      </c>
      <c r="N79" s="57"/>
      <c r="O79" s="57"/>
      <c r="P79" s="34">
        <f t="shared" si="3"/>
        <v>295.965830663854</v>
      </c>
      <c r="Q79" s="43">
        <f>K79*100/F79</f>
        <v>141.93274424704157</v>
      </c>
      <c r="R79" s="43">
        <f>K79*100/D79</f>
        <v>74.10121902315133</v>
      </c>
      <c r="S79" s="31">
        <f>K79*100/E79</f>
        <v>72.97889146475381</v>
      </c>
    </row>
    <row r="80" spans="1:19" ht="13.5" customHeight="1">
      <c r="A80" s="28" t="s">
        <v>23</v>
      </c>
      <c r="B80" s="28"/>
      <c r="C80" s="35" t="s">
        <v>22</v>
      </c>
      <c r="D80" s="60">
        <v>16600</v>
      </c>
      <c r="E80" s="60">
        <f>G80+H80+I80+J80</f>
        <v>16600</v>
      </c>
      <c r="F80" s="61">
        <f aca="true" t="shared" si="38" ref="F80:F89">G80+H80</f>
        <v>8586</v>
      </c>
      <c r="G80" s="44">
        <v>4270</v>
      </c>
      <c r="H80" s="44">
        <v>4316</v>
      </c>
      <c r="I80" s="24">
        <v>3818</v>
      </c>
      <c r="J80" s="24">
        <v>4196</v>
      </c>
      <c r="K80" s="25">
        <v>13085.6</v>
      </c>
      <c r="L80" s="27" t="e">
        <f>K80/#REF!*100</f>
        <v>#REF!</v>
      </c>
      <c r="M80" s="27">
        <f>K80/I80*100</f>
        <v>342.7344159245679</v>
      </c>
      <c r="N80" s="57"/>
      <c r="O80" s="57"/>
      <c r="P80" s="24">
        <f aca="true" t="shared" si="39" ref="P80:P152">K80*100/J80</f>
        <v>311.858913250715</v>
      </c>
      <c r="Q80" s="24">
        <f aca="true" t="shared" si="40" ref="Q80:Q94">K80*100/F80</f>
        <v>152.40624272070812</v>
      </c>
      <c r="R80" s="24">
        <f aca="true" t="shared" si="41" ref="R80:R94">K80*100/D80</f>
        <v>78.8289156626506</v>
      </c>
      <c r="S80" s="25">
        <f aca="true" t="shared" si="42" ref="S80:S94">K80*100/E80</f>
        <v>78.8289156626506</v>
      </c>
    </row>
    <row r="81" spans="1:19" ht="15.75" customHeight="1">
      <c r="A81" s="19" t="s">
        <v>70</v>
      </c>
      <c r="B81" s="19"/>
      <c r="C81" s="35" t="s">
        <v>71</v>
      </c>
      <c r="D81" s="60">
        <v>5713</v>
      </c>
      <c r="E81" s="60">
        <f>G81+H81+I81+J81</f>
        <v>5713</v>
      </c>
      <c r="F81" s="61">
        <f t="shared" si="38"/>
        <v>2612.4</v>
      </c>
      <c r="G81" s="44">
        <v>1127</v>
      </c>
      <c r="H81" s="44">
        <v>1485.4</v>
      </c>
      <c r="I81" s="24">
        <v>1652.5</v>
      </c>
      <c r="J81" s="24">
        <v>1448.1</v>
      </c>
      <c r="K81" s="25">
        <v>2561.1</v>
      </c>
      <c r="L81" s="27"/>
      <c r="M81" s="27"/>
      <c r="N81" s="57"/>
      <c r="O81" s="57"/>
      <c r="P81" s="24"/>
      <c r="Q81" s="24">
        <f t="shared" si="40"/>
        <v>98.03628847037207</v>
      </c>
      <c r="R81" s="24">
        <f t="shared" si="41"/>
        <v>44.82933660073517</v>
      </c>
      <c r="S81" s="25">
        <f t="shared" si="42"/>
        <v>44.82933660073517</v>
      </c>
    </row>
    <row r="82" spans="1:19" ht="15" customHeight="1" hidden="1">
      <c r="A82" s="19" t="s">
        <v>8</v>
      </c>
      <c r="B82" s="19"/>
      <c r="C82" s="35" t="s">
        <v>5</v>
      </c>
      <c r="D82" s="60"/>
      <c r="E82" s="60">
        <f aca="true" t="shared" si="43" ref="E82:E89">G82+H82+I82+J82</f>
        <v>0</v>
      </c>
      <c r="F82" s="61">
        <f t="shared" si="38"/>
        <v>0</v>
      </c>
      <c r="G82" s="44"/>
      <c r="H82" s="44"/>
      <c r="I82" s="24"/>
      <c r="J82" s="24"/>
      <c r="K82" s="25"/>
      <c r="L82" s="27"/>
      <c r="M82" s="27"/>
      <c r="N82" s="57"/>
      <c r="O82" s="57"/>
      <c r="P82" s="24" t="e">
        <f t="shared" si="39"/>
        <v>#DIV/0!</v>
      </c>
      <c r="Q82" s="24" t="e">
        <f t="shared" si="40"/>
        <v>#DIV/0!</v>
      </c>
      <c r="R82" s="24" t="e">
        <f t="shared" si="41"/>
        <v>#DIV/0!</v>
      </c>
      <c r="S82" s="25" t="e">
        <f t="shared" si="42"/>
        <v>#DIV/0!</v>
      </c>
    </row>
    <row r="83" spans="1:19" ht="12.75">
      <c r="A83" s="19" t="s">
        <v>9</v>
      </c>
      <c r="B83" s="19"/>
      <c r="C83" s="35" t="s">
        <v>6</v>
      </c>
      <c r="D83" s="60">
        <v>1640</v>
      </c>
      <c r="E83" s="60">
        <f t="shared" si="43"/>
        <v>1640</v>
      </c>
      <c r="F83" s="61">
        <f t="shared" si="38"/>
        <v>883.5</v>
      </c>
      <c r="G83" s="44">
        <v>416.1</v>
      </c>
      <c r="H83" s="44">
        <v>467.4</v>
      </c>
      <c r="I83" s="24">
        <v>339.2</v>
      </c>
      <c r="J83" s="24">
        <v>417.3</v>
      </c>
      <c r="K83" s="25">
        <v>1502.4</v>
      </c>
      <c r="L83" s="27" t="e">
        <f>K83/#REF!*100</f>
        <v>#REF!</v>
      </c>
      <c r="M83" s="27">
        <f>K83/I83*100</f>
        <v>442.9245283018869</v>
      </c>
      <c r="N83" s="57"/>
      <c r="O83" s="57"/>
      <c r="P83" s="24">
        <f t="shared" si="39"/>
        <v>360.02875629043854</v>
      </c>
      <c r="Q83" s="24">
        <f t="shared" si="40"/>
        <v>170.0509337860781</v>
      </c>
      <c r="R83" s="24">
        <f t="shared" si="41"/>
        <v>91.60975609756098</v>
      </c>
      <c r="S83" s="25">
        <f t="shared" si="42"/>
        <v>91.60975609756098</v>
      </c>
    </row>
    <row r="84" spans="1:19" ht="12.75" hidden="1">
      <c r="A84" s="19" t="s">
        <v>10</v>
      </c>
      <c r="B84" s="19"/>
      <c r="C84" s="35" t="s">
        <v>21</v>
      </c>
      <c r="D84" s="60"/>
      <c r="E84" s="60">
        <f t="shared" si="43"/>
        <v>0</v>
      </c>
      <c r="F84" s="61">
        <f t="shared" si="38"/>
        <v>0</v>
      </c>
      <c r="G84" s="44"/>
      <c r="H84" s="44"/>
      <c r="I84" s="24"/>
      <c r="J84" s="24"/>
      <c r="K84" s="25"/>
      <c r="L84" s="27"/>
      <c r="M84" s="27"/>
      <c r="N84" s="57"/>
      <c r="O84" s="57"/>
      <c r="P84" s="24" t="e">
        <f t="shared" si="39"/>
        <v>#DIV/0!</v>
      </c>
      <c r="Q84" s="24" t="e">
        <f t="shared" si="40"/>
        <v>#DIV/0!</v>
      </c>
      <c r="R84" s="24" t="e">
        <f t="shared" si="41"/>
        <v>#DIV/0!</v>
      </c>
      <c r="S84" s="25" t="e">
        <f t="shared" si="42"/>
        <v>#DIV/0!</v>
      </c>
    </row>
    <row r="85" spans="1:19" ht="24">
      <c r="A85" s="20" t="s">
        <v>11</v>
      </c>
      <c r="B85" s="20"/>
      <c r="C85" s="35" t="s">
        <v>17</v>
      </c>
      <c r="D85" s="60">
        <v>6122.6</v>
      </c>
      <c r="E85" s="60">
        <f t="shared" si="43"/>
        <v>6122.6</v>
      </c>
      <c r="F85" s="61">
        <f t="shared" si="38"/>
        <v>3092.6</v>
      </c>
      <c r="G85" s="44">
        <v>1540</v>
      </c>
      <c r="H85" s="44">
        <v>1552.6</v>
      </c>
      <c r="I85" s="24">
        <v>1600</v>
      </c>
      <c r="J85" s="24">
        <v>1430</v>
      </c>
      <c r="K85" s="25">
        <v>4277.9</v>
      </c>
      <c r="L85" s="27" t="e">
        <f>K85/#REF!*100</f>
        <v>#REF!</v>
      </c>
      <c r="M85" s="27">
        <f>K85/I85*100</f>
        <v>267.36875</v>
      </c>
      <c r="N85" s="57"/>
      <c r="O85" s="57"/>
      <c r="P85" s="24">
        <f t="shared" si="39"/>
        <v>299.15384615384613</v>
      </c>
      <c r="Q85" s="24">
        <f t="shared" si="40"/>
        <v>138.32697406712796</v>
      </c>
      <c r="R85" s="24">
        <f t="shared" si="41"/>
        <v>69.87064319080127</v>
      </c>
      <c r="S85" s="25">
        <f t="shared" si="42"/>
        <v>69.87064319080127</v>
      </c>
    </row>
    <row r="86" spans="1:19" ht="24">
      <c r="A86" s="37" t="s">
        <v>42</v>
      </c>
      <c r="B86" s="37"/>
      <c r="C86" s="35" t="s">
        <v>43</v>
      </c>
      <c r="D86" s="60">
        <v>479</v>
      </c>
      <c r="E86" s="60">
        <f t="shared" si="43"/>
        <v>479</v>
      </c>
      <c r="F86" s="61">
        <f t="shared" si="38"/>
        <v>249.9</v>
      </c>
      <c r="G86" s="44">
        <v>144.3</v>
      </c>
      <c r="H86" s="44">
        <v>105.6</v>
      </c>
      <c r="I86" s="24">
        <v>41.1</v>
      </c>
      <c r="J86" s="24">
        <v>188</v>
      </c>
      <c r="K86" s="25">
        <v>650.7</v>
      </c>
      <c r="L86" s="27" t="e">
        <f>K86/#REF!*100</f>
        <v>#REF!</v>
      </c>
      <c r="M86" s="27">
        <f>K86/I86*100</f>
        <v>1583.2116788321168</v>
      </c>
      <c r="N86" s="57"/>
      <c r="O86" s="57"/>
      <c r="P86" s="24">
        <f t="shared" si="39"/>
        <v>346.1170212765958</v>
      </c>
      <c r="Q86" s="24">
        <f t="shared" si="40"/>
        <v>260.3841536614646</v>
      </c>
      <c r="R86" s="24">
        <f t="shared" si="41"/>
        <v>135.84551148225472</v>
      </c>
      <c r="S86" s="25">
        <f t="shared" si="42"/>
        <v>135.84551148225472</v>
      </c>
    </row>
    <row r="87" spans="1:19" ht="12.75">
      <c r="A87" s="36" t="s">
        <v>18</v>
      </c>
      <c r="B87" s="36"/>
      <c r="C87" s="35" t="s">
        <v>15</v>
      </c>
      <c r="D87" s="60">
        <v>117.5</v>
      </c>
      <c r="E87" s="60">
        <f t="shared" si="43"/>
        <v>586.3</v>
      </c>
      <c r="F87" s="61">
        <f t="shared" si="38"/>
        <v>586.3</v>
      </c>
      <c r="G87" s="44">
        <v>117.5</v>
      </c>
      <c r="H87" s="44">
        <v>468.8</v>
      </c>
      <c r="I87" s="24"/>
      <c r="J87" s="24"/>
      <c r="K87" s="25">
        <v>631.2</v>
      </c>
      <c r="L87" s="27" t="e">
        <f>K87/#REF!*100</f>
        <v>#REF!</v>
      </c>
      <c r="M87" s="27" t="e">
        <f>K87/I87*100</f>
        <v>#DIV/0!</v>
      </c>
      <c r="N87" s="57"/>
      <c r="O87" s="57"/>
      <c r="P87" s="24" t="e">
        <f t="shared" si="39"/>
        <v>#DIV/0!</v>
      </c>
      <c r="Q87" s="24">
        <f t="shared" si="40"/>
        <v>107.65819546307354</v>
      </c>
      <c r="R87" s="24">
        <f t="shared" si="41"/>
        <v>537.1914893617022</v>
      </c>
      <c r="S87" s="25">
        <f t="shared" si="42"/>
        <v>107.65819546307354</v>
      </c>
    </row>
    <row r="88" spans="1:19" ht="13.5" customHeight="1">
      <c r="A88" s="28" t="s">
        <v>12</v>
      </c>
      <c r="B88" s="28"/>
      <c r="C88" s="35" t="s">
        <v>7</v>
      </c>
      <c r="D88" s="60">
        <v>0</v>
      </c>
      <c r="E88" s="60">
        <f t="shared" si="43"/>
        <v>1</v>
      </c>
      <c r="F88" s="61">
        <f t="shared" si="38"/>
        <v>1</v>
      </c>
      <c r="G88" s="44"/>
      <c r="H88" s="44">
        <v>1</v>
      </c>
      <c r="I88" s="24"/>
      <c r="J88" s="24"/>
      <c r="K88" s="25">
        <v>1</v>
      </c>
      <c r="L88" s="34"/>
      <c r="M88" s="34" t="e">
        <f>K88/I88*100</f>
        <v>#DIV/0!</v>
      </c>
      <c r="N88" s="57"/>
      <c r="O88" s="57"/>
      <c r="P88" s="24" t="e">
        <f t="shared" si="39"/>
        <v>#DIV/0!</v>
      </c>
      <c r="Q88" s="24">
        <f t="shared" si="40"/>
        <v>100</v>
      </c>
      <c r="R88" s="24"/>
      <c r="S88" s="25">
        <f t="shared" si="42"/>
        <v>100</v>
      </c>
    </row>
    <row r="89" spans="1:19" ht="12.75">
      <c r="A89" s="38" t="s">
        <v>39</v>
      </c>
      <c r="B89" s="74"/>
      <c r="C89" s="23" t="s">
        <v>40</v>
      </c>
      <c r="D89" s="66">
        <v>0</v>
      </c>
      <c r="E89" s="60">
        <f t="shared" si="43"/>
        <v>1.9000000000000001</v>
      </c>
      <c r="F89" s="61">
        <f t="shared" si="38"/>
        <v>1.8</v>
      </c>
      <c r="G89" s="44"/>
      <c r="H89" s="44">
        <v>1.8</v>
      </c>
      <c r="I89" s="24">
        <v>0.1</v>
      </c>
      <c r="J89" s="24"/>
      <c r="K89" s="25">
        <v>18.5</v>
      </c>
      <c r="L89" s="34"/>
      <c r="M89" s="34">
        <f>K89/I89*100</f>
        <v>18500</v>
      </c>
      <c r="N89" s="57"/>
      <c r="O89" s="57"/>
      <c r="P89" s="24" t="e">
        <f t="shared" si="39"/>
        <v>#DIV/0!</v>
      </c>
      <c r="Q89" s="24">
        <f t="shared" si="40"/>
        <v>1027.7777777777778</v>
      </c>
      <c r="R89" s="24"/>
      <c r="S89" s="25">
        <f t="shared" si="42"/>
        <v>973.6842105263157</v>
      </c>
    </row>
    <row r="90" spans="1:19" ht="12.75" hidden="1">
      <c r="A90" s="38" t="s">
        <v>44</v>
      </c>
      <c r="B90" s="74"/>
      <c r="C90" s="23" t="s">
        <v>45</v>
      </c>
      <c r="D90" s="23"/>
      <c r="E90" s="23"/>
      <c r="F90" s="23"/>
      <c r="G90" s="44"/>
      <c r="H90" s="44"/>
      <c r="I90" s="24" t="e">
        <f>J90+#REF!+#REF!+#REF!</f>
        <v>#REF!</v>
      </c>
      <c r="J90" s="24"/>
      <c r="K90" s="25"/>
      <c r="L90" s="34"/>
      <c r="M90" s="34"/>
      <c r="N90" s="57"/>
      <c r="O90" s="57"/>
      <c r="P90" s="24" t="e">
        <f t="shared" si="39"/>
        <v>#DIV/0!</v>
      </c>
      <c r="Q90" s="43" t="e">
        <f t="shared" si="40"/>
        <v>#DIV/0!</v>
      </c>
      <c r="R90" s="43" t="e">
        <f t="shared" si="41"/>
        <v>#DIV/0!</v>
      </c>
      <c r="S90" s="31" t="e">
        <f t="shared" si="42"/>
        <v>#DIV/0!</v>
      </c>
    </row>
    <row r="91" spans="1:19" ht="12.75">
      <c r="A91" s="32" t="s">
        <v>1</v>
      </c>
      <c r="B91" s="32"/>
      <c r="C91" s="39" t="s">
        <v>0</v>
      </c>
      <c r="D91" s="40">
        <f aca="true" t="shared" si="44" ref="D91:K91">D92+D93</f>
        <v>55769.2</v>
      </c>
      <c r="E91" s="40">
        <f t="shared" si="44"/>
        <v>57923.2</v>
      </c>
      <c r="F91" s="88">
        <f t="shared" si="44"/>
        <v>27273.2</v>
      </c>
      <c r="G91" s="40">
        <f t="shared" si="44"/>
        <v>11185.2</v>
      </c>
      <c r="H91" s="40">
        <f t="shared" si="44"/>
        <v>16088</v>
      </c>
      <c r="I91" s="40">
        <f t="shared" si="44"/>
        <v>19236.699999999997</v>
      </c>
      <c r="J91" s="40">
        <f t="shared" si="44"/>
        <v>11413.3</v>
      </c>
      <c r="K91" s="40">
        <f t="shared" si="44"/>
        <v>31736.7</v>
      </c>
      <c r="L91" s="34" t="e">
        <f>K91/#REF!*100</f>
        <v>#REF!</v>
      </c>
      <c r="M91" s="34">
        <f>K91/I91*100</f>
        <v>164.97996018028041</v>
      </c>
      <c r="N91" s="57"/>
      <c r="O91" s="57"/>
      <c r="P91" s="43">
        <f t="shared" si="39"/>
        <v>278.06769295471076</v>
      </c>
      <c r="Q91" s="43">
        <f t="shared" si="40"/>
        <v>116.36588299136147</v>
      </c>
      <c r="R91" s="43">
        <f t="shared" si="41"/>
        <v>56.907217603982126</v>
      </c>
      <c r="S91" s="31">
        <f t="shared" si="42"/>
        <v>54.790999116070935</v>
      </c>
    </row>
    <row r="92" spans="1:19" ht="24">
      <c r="A92" s="21" t="s">
        <v>67</v>
      </c>
      <c r="B92" s="19"/>
      <c r="C92" s="41" t="s">
        <v>20</v>
      </c>
      <c r="D92" s="44">
        <v>55769.2</v>
      </c>
      <c r="E92" s="60">
        <f>G92+H92+I92+J92</f>
        <v>57904.2</v>
      </c>
      <c r="F92" s="61">
        <f>G92+H92</f>
        <v>27254.2</v>
      </c>
      <c r="G92" s="44">
        <v>11180.2</v>
      </c>
      <c r="H92" s="44">
        <v>16074</v>
      </c>
      <c r="I92" s="24">
        <f>19089.6+147.1</f>
        <v>19236.699999999997</v>
      </c>
      <c r="J92" s="24">
        <v>11413.3</v>
      </c>
      <c r="K92" s="25">
        <v>31717.7</v>
      </c>
      <c r="L92" s="27" t="e">
        <f>K92/#REF!*100</f>
        <v>#REF!</v>
      </c>
      <c r="M92" s="27">
        <f>K92/I92*100</f>
        <v>164.8811906408064</v>
      </c>
      <c r="N92" s="57"/>
      <c r="O92" s="57"/>
      <c r="P92" s="24">
        <f t="shared" si="39"/>
        <v>277.90122050590105</v>
      </c>
      <c r="Q92" s="24">
        <f t="shared" si="40"/>
        <v>116.37729230724072</v>
      </c>
      <c r="R92" s="24">
        <f t="shared" si="41"/>
        <v>56.87314861966821</v>
      </c>
      <c r="S92" s="25">
        <f t="shared" si="42"/>
        <v>54.77616476870417</v>
      </c>
    </row>
    <row r="93" spans="1:19" ht="13.5" customHeight="1">
      <c r="A93" s="21" t="s">
        <v>2</v>
      </c>
      <c r="B93" s="21"/>
      <c r="C93" s="42" t="s">
        <v>19</v>
      </c>
      <c r="D93" s="89">
        <v>0</v>
      </c>
      <c r="E93" s="60">
        <f>G93+H93+I93+J93</f>
        <v>19</v>
      </c>
      <c r="F93" s="61">
        <f>G93+H93</f>
        <v>19</v>
      </c>
      <c r="G93" s="89">
        <v>5</v>
      </c>
      <c r="H93" s="89">
        <v>14</v>
      </c>
      <c r="I93" s="24"/>
      <c r="J93" s="24"/>
      <c r="K93" s="25">
        <v>19</v>
      </c>
      <c r="L93" s="27" t="e">
        <f>K93/#REF!*100</f>
        <v>#REF!</v>
      </c>
      <c r="M93" s="27"/>
      <c r="N93" s="57"/>
      <c r="O93" s="57"/>
      <c r="P93" s="24" t="e">
        <f t="shared" si="39"/>
        <v>#DIV/0!</v>
      </c>
      <c r="Q93" s="24">
        <f t="shared" si="40"/>
        <v>100</v>
      </c>
      <c r="R93" s="24"/>
      <c r="S93" s="25">
        <f t="shared" si="42"/>
        <v>100</v>
      </c>
    </row>
    <row r="94" spans="1:19" ht="12.75">
      <c r="A94" s="28"/>
      <c r="B94" s="29"/>
      <c r="C94" s="30" t="s">
        <v>4</v>
      </c>
      <c r="D94" s="31">
        <f aca="true" t="shared" si="45" ref="D94:K94">D91+D79</f>
        <v>86441.29999999999</v>
      </c>
      <c r="E94" s="31">
        <f t="shared" si="45"/>
        <v>89067</v>
      </c>
      <c r="F94" s="31">
        <f t="shared" si="45"/>
        <v>43286.7</v>
      </c>
      <c r="G94" s="31">
        <f t="shared" si="45"/>
        <v>18800.100000000002</v>
      </c>
      <c r="H94" s="31">
        <f t="shared" si="45"/>
        <v>24486.6</v>
      </c>
      <c r="I94" s="31">
        <f t="shared" si="45"/>
        <v>26687.6</v>
      </c>
      <c r="J94" s="31">
        <f t="shared" si="45"/>
        <v>19092.699999999997</v>
      </c>
      <c r="K94" s="31">
        <f t="shared" si="45"/>
        <v>54465.100000000006</v>
      </c>
      <c r="L94" s="34" t="e">
        <f>K94/#REF!*100</f>
        <v>#REF!</v>
      </c>
      <c r="M94" s="34">
        <f>K94/I94*100</f>
        <v>204.0839191234881</v>
      </c>
      <c r="N94" s="57"/>
      <c r="O94" s="58" t="e">
        <f>J94+#REF!+#REF!</f>
        <v>#REF!</v>
      </c>
      <c r="P94" s="43">
        <f t="shared" si="39"/>
        <v>285.2666202265788</v>
      </c>
      <c r="Q94" s="43">
        <f t="shared" si="40"/>
        <v>125.82409839511908</v>
      </c>
      <c r="R94" s="43">
        <f t="shared" si="41"/>
        <v>63.00819168615004</v>
      </c>
      <c r="S94" s="31">
        <f t="shared" si="42"/>
        <v>61.15070677130701</v>
      </c>
    </row>
    <row r="95" spans="1:19" ht="12.75">
      <c r="A95" s="174"/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6"/>
      <c r="N95" s="57"/>
      <c r="O95" s="57"/>
      <c r="P95" s="56"/>
      <c r="Q95" s="24"/>
      <c r="R95" s="34"/>
      <c r="S95" s="31"/>
    </row>
    <row r="96" spans="1:19" ht="12.75">
      <c r="A96" s="169" t="s">
        <v>29</v>
      </c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64"/>
      <c r="R96" s="34"/>
      <c r="S96" s="31"/>
    </row>
    <row r="97" spans="1:19" ht="12.75">
      <c r="A97" s="32" t="s">
        <v>3</v>
      </c>
      <c r="B97" s="32"/>
      <c r="C97" s="33" t="s">
        <v>68</v>
      </c>
      <c r="D97" s="34">
        <f aca="true" t="shared" si="46" ref="D97:K97">D98+D101+D105+D102+D103+D106+D104+D100+D99</f>
        <v>7435</v>
      </c>
      <c r="E97" s="34">
        <f t="shared" si="46"/>
        <v>7435</v>
      </c>
      <c r="F97" s="34">
        <f t="shared" si="46"/>
        <v>3717.5</v>
      </c>
      <c r="G97" s="34">
        <f t="shared" si="46"/>
        <v>1858.3</v>
      </c>
      <c r="H97" s="34">
        <f t="shared" si="46"/>
        <v>1859.2</v>
      </c>
      <c r="I97" s="34">
        <f t="shared" si="46"/>
        <v>1859.3</v>
      </c>
      <c r="J97" s="34">
        <f t="shared" si="46"/>
        <v>1858.2</v>
      </c>
      <c r="K97" s="34">
        <f t="shared" si="46"/>
        <v>3525.8</v>
      </c>
      <c r="L97" s="34" t="e">
        <f>K97/#REF!*100</f>
        <v>#REF!</v>
      </c>
      <c r="M97" s="34">
        <f>K97/I97*100</f>
        <v>189.6305061044479</v>
      </c>
      <c r="N97" s="57"/>
      <c r="O97" s="57"/>
      <c r="P97" s="34">
        <f t="shared" si="39"/>
        <v>189.74276181250673</v>
      </c>
      <c r="Q97" s="43">
        <f>K97*100/F97</f>
        <v>94.84330867518494</v>
      </c>
      <c r="R97" s="43">
        <f>K97*100/D97</f>
        <v>47.42165433759247</v>
      </c>
      <c r="S97" s="31">
        <f>K97*100/E97</f>
        <v>47.42165433759247</v>
      </c>
    </row>
    <row r="98" spans="1:19" ht="12.75">
      <c r="A98" s="28" t="s">
        <v>23</v>
      </c>
      <c r="B98" s="28"/>
      <c r="C98" s="35" t="s">
        <v>22</v>
      </c>
      <c r="D98" s="60">
        <v>1150</v>
      </c>
      <c r="E98" s="60">
        <f>G98+H98+I98+J98</f>
        <v>1150</v>
      </c>
      <c r="F98" s="61">
        <f aca="true" t="shared" si="47" ref="F98:F108">G98+H98</f>
        <v>575</v>
      </c>
      <c r="G98" s="44">
        <v>287.5</v>
      </c>
      <c r="H98" s="44">
        <v>287.5</v>
      </c>
      <c r="I98" s="24">
        <v>287.5</v>
      </c>
      <c r="J98" s="25">
        <v>287.5</v>
      </c>
      <c r="K98" s="25">
        <v>629.4</v>
      </c>
      <c r="L98" s="27"/>
      <c r="M98" s="27"/>
      <c r="N98" s="58"/>
      <c r="O98" s="57"/>
      <c r="P98" s="24">
        <f t="shared" si="39"/>
        <v>218.9217391304348</v>
      </c>
      <c r="Q98" s="24">
        <f aca="true" t="shared" si="48" ref="Q98:Q110">K98*100/F98</f>
        <v>109.4608695652174</v>
      </c>
      <c r="R98" s="24">
        <f aca="true" t="shared" si="49" ref="R98:R110">K98*100/D98</f>
        <v>54.7304347826087</v>
      </c>
      <c r="S98" s="25">
        <f aca="true" t="shared" si="50" ref="S98:S110">K98*100/E98</f>
        <v>54.7304347826087</v>
      </c>
    </row>
    <row r="99" spans="1:19" ht="12.75">
      <c r="A99" s="19" t="s">
        <v>70</v>
      </c>
      <c r="B99" s="19"/>
      <c r="C99" s="35" t="s">
        <v>71</v>
      </c>
      <c r="D99" s="60">
        <v>6170</v>
      </c>
      <c r="E99" s="60">
        <f>G99+H99+I99+J99</f>
        <v>6170</v>
      </c>
      <c r="F99" s="61">
        <f t="shared" si="47"/>
        <v>3085</v>
      </c>
      <c r="G99" s="44">
        <v>1542.5</v>
      </c>
      <c r="H99" s="44">
        <v>1542.5</v>
      </c>
      <c r="I99" s="24">
        <v>1542.5</v>
      </c>
      <c r="J99" s="25">
        <v>1542.5</v>
      </c>
      <c r="K99" s="25">
        <v>2765.9</v>
      </c>
      <c r="L99" s="27"/>
      <c r="M99" s="27"/>
      <c r="N99" s="58"/>
      <c r="O99" s="57"/>
      <c r="P99" s="24"/>
      <c r="Q99" s="24">
        <f t="shared" si="48"/>
        <v>89.65640194489465</v>
      </c>
      <c r="R99" s="24">
        <f t="shared" si="49"/>
        <v>44.82820097244733</v>
      </c>
      <c r="S99" s="25">
        <f t="shared" si="50"/>
        <v>44.82820097244733</v>
      </c>
    </row>
    <row r="100" spans="1:19" ht="12.75" hidden="1">
      <c r="A100" s="19" t="s">
        <v>8</v>
      </c>
      <c r="B100" s="19"/>
      <c r="C100" s="35" t="s">
        <v>5</v>
      </c>
      <c r="D100" s="60"/>
      <c r="E100" s="60">
        <f>G100+H100+I100+J100</f>
        <v>0</v>
      </c>
      <c r="F100" s="61">
        <f t="shared" si="47"/>
        <v>0</v>
      </c>
      <c r="G100" s="44"/>
      <c r="H100" s="44"/>
      <c r="I100" s="24"/>
      <c r="J100" s="25"/>
      <c r="K100" s="25"/>
      <c r="L100" s="27"/>
      <c r="M100" s="27"/>
      <c r="N100" s="58"/>
      <c r="O100" s="57"/>
      <c r="P100" s="24"/>
      <c r="Q100" s="24" t="e">
        <f t="shared" si="48"/>
        <v>#DIV/0!</v>
      </c>
      <c r="R100" s="24" t="e">
        <f t="shared" si="49"/>
        <v>#DIV/0!</v>
      </c>
      <c r="S100" s="25" t="e">
        <f t="shared" si="50"/>
        <v>#DIV/0!</v>
      </c>
    </row>
    <row r="101" spans="1:19" ht="12.75">
      <c r="A101" s="19" t="s">
        <v>9</v>
      </c>
      <c r="B101" s="19"/>
      <c r="C101" s="35" t="s">
        <v>6</v>
      </c>
      <c r="D101" s="60">
        <v>62</v>
      </c>
      <c r="E101" s="60">
        <f aca="true" t="shared" si="51" ref="E101:E109">G101+H101+I101+J101</f>
        <v>62</v>
      </c>
      <c r="F101" s="61">
        <f t="shared" si="47"/>
        <v>31.5</v>
      </c>
      <c r="G101" s="44">
        <v>15.8</v>
      </c>
      <c r="H101" s="44">
        <v>15.7</v>
      </c>
      <c r="I101" s="24">
        <v>15.8</v>
      </c>
      <c r="J101" s="25">
        <v>14.7</v>
      </c>
      <c r="K101" s="25">
        <v>52.9</v>
      </c>
      <c r="L101" s="27"/>
      <c r="M101" s="27"/>
      <c r="N101" s="58"/>
      <c r="O101" s="57"/>
      <c r="P101" s="24">
        <f t="shared" si="39"/>
        <v>359.8639455782313</v>
      </c>
      <c r="Q101" s="24">
        <f t="shared" si="48"/>
        <v>167.93650793650792</v>
      </c>
      <c r="R101" s="24">
        <f t="shared" si="49"/>
        <v>85.3225806451613</v>
      </c>
      <c r="S101" s="25">
        <f t="shared" si="50"/>
        <v>85.3225806451613</v>
      </c>
    </row>
    <row r="102" spans="1:19" ht="12.75">
      <c r="A102" s="19" t="s">
        <v>10</v>
      </c>
      <c r="B102" s="19"/>
      <c r="C102" s="35" t="s">
        <v>21</v>
      </c>
      <c r="D102" s="60">
        <v>11</v>
      </c>
      <c r="E102" s="60">
        <f t="shared" si="51"/>
        <v>11</v>
      </c>
      <c r="F102" s="61">
        <f t="shared" si="47"/>
        <v>5</v>
      </c>
      <c r="G102" s="44">
        <v>2</v>
      </c>
      <c r="H102" s="44">
        <v>3</v>
      </c>
      <c r="I102" s="24">
        <v>3</v>
      </c>
      <c r="J102" s="25">
        <v>3</v>
      </c>
      <c r="K102" s="25">
        <v>2</v>
      </c>
      <c r="L102" s="27"/>
      <c r="M102" s="27"/>
      <c r="N102" s="57"/>
      <c r="O102" s="57"/>
      <c r="P102" s="24">
        <f t="shared" si="39"/>
        <v>66.66666666666667</v>
      </c>
      <c r="Q102" s="24">
        <f t="shared" si="48"/>
        <v>40</v>
      </c>
      <c r="R102" s="24">
        <f t="shared" si="49"/>
        <v>18.181818181818183</v>
      </c>
      <c r="S102" s="25">
        <f t="shared" si="50"/>
        <v>18.181818181818183</v>
      </c>
    </row>
    <row r="103" spans="1:19" ht="24">
      <c r="A103" s="20" t="s">
        <v>11</v>
      </c>
      <c r="B103" s="20"/>
      <c r="C103" s="35" t="s">
        <v>17</v>
      </c>
      <c r="D103" s="60">
        <v>12</v>
      </c>
      <c r="E103" s="60">
        <f t="shared" si="51"/>
        <v>12</v>
      </c>
      <c r="F103" s="61">
        <f t="shared" si="47"/>
        <v>6</v>
      </c>
      <c r="G103" s="44">
        <v>3</v>
      </c>
      <c r="H103" s="44">
        <v>3</v>
      </c>
      <c r="I103" s="24">
        <v>3</v>
      </c>
      <c r="J103" s="25">
        <v>3</v>
      </c>
      <c r="K103" s="25">
        <v>19.9</v>
      </c>
      <c r="L103" s="27"/>
      <c r="M103" s="27"/>
      <c r="N103" s="57"/>
      <c r="O103" s="57"/>
      <c r="P103" s="24">
        <f t="shared" si="39"/>
        <v>663.3333333333333</v>
      </c>
      <c r="Q103" s="24">
        <f t="shared" si="48"/>
        <v>331.66666666666663</v>
      </c>
      <c r="R103" s="24">
        <f t="shared" si="49"/>
        <v>165.83333333333331</v>
      </c>
      <c r="S103" s="25">
        <f t="shared" si="50"/>
        <v>165.83333333333331</v>
      </c>
    </row>
    <row r="104" spans="1:19" ht="24">
      <c r="A104" s="37" t="s">
        <v>42</v>
      </c>
      <c r="B104" s="37"/>
      <c r="C104" s="35" t="s">
        <v>43</v>
      </c>
      <c r="D104" s="60">
        <v>30</v>
      </c>
      <c r="E104" s="60">
        <f t="shared" si="51"/>
        <v>30</v>
      </c>
      <c r="F104" s="61">
        <f t="shared" si="47"/>
        <v>15</v>
      </c>
      <c r="G104" s="44">
        <v>7.5</v>
      </c>
      <c r="H104" s="44">
        <v>7.5</v>
      </c>
      <c r="I104" s="24">
        <v>7.5</v>
      </c>
      <c r="J104" s="25">
        <v>7.5</v>
      </c>
      <c r="K104" s="25">
        <v>55.7</v>
      </c>
      <c r="L104" s="27"/>
      <c r="M104" s="27"/>
      <c r="N104" s="57"/>
      <c r="O104" s="57"/>
      <c r="P104" s="24">
        <f t="shared" si="39"/>
        <v>742.6666666666666</v>
      </c>
      <c r="Q104" s="24">
        <f t="shared" si="48"/>
        <v>371.3333333333333</v>
      </c>
      <c r="R104" s="24">
        <f t="shared" si="49"/>
        <v>185.66666666666666</v>
      </c>
      <c r="S104" s="25">
        <f t="shared" si="50"/>
        <v>185.66666666666666</v>
      </c>
    </row>
    <row r="105" spans="1:19" ht="12.75" hidden="1">
      <c r="A105" s="37" t="s">
        <v>18</v>
      </c>
      <c r="B105" s="37"/>
      <c r="C105" s="35" t="s">
        <v>15</v>
      </c>
      <c r="D105" s="60"/>
      <c r="E105" s="60">
        <f t="shared" si="51"/>
        <v>0</v>
      </c>
      <c r="F105" s="61">
        <f t="shared" si="47"/>
        <v>0</v>
      </c>
      <c r="G105" s="44"/>
      <c r="H105" s="44"/>
      <c r="I105" s="24"/>
      <c r="J105" s="25"/>
      <c r="K105" s="25"/>
      <c r="L105" s="27"/>
      <c r="M105" s="27" t="e">
        <f>K105/I105*100</f>
        <v>#DIV/0!</v>
      </c>
      <c r="N105" s="57"/>
      <c r="O105" s="57"/>
      <c r="P105" s="24" t="e">
        <f t="shared" si="39"/>
        <v>#DIV/0!</v>
      </c>
      <c r="Q105" s="24" t="e">
        <f t="shared" si="48"/>
        <v>#DIV/0!</v>
      </c>
      <c r="R105" s="24" t="e">
        <f t="shared" si="49"/>
        <v>#DIV/0!</v>
      </c>
      <c r="S105" s="25" t="e">
        <f t="shared" si="50"/>
        <v>#DIV/0!</v>
      </c>
    </row>
    <row r="106" spans="1:19" ht="16.5" customHeight="1">
      <c r="A106" s="37" t="s">
        <v>39</v>
      </c>
      <c r="B106" s="90"/>
      <c r="C106" s="23" t="s">
        <v>40</v>
      </c>
      <c r="D106" s="66"/>
      <c r="E106" s="60">
        <f t="shared" si="51"/>
        <v>0</v>
      </c>
      <c r="F106" s="61">
        <f t="shared" si="47"/>
        <v>0</v>
      </c>
      <c r="G106" s="44"/>
      <c r="H106" s="44"/>
      <c r="I106" s="24"/>
      <c r="J106" s="25"/>
      <c r="K106" s="25"/>
      <c r="L106" s="34"/>
      <c r="M106" s="27" t="e">
        <f>K106/I106*100</f>
        <v>#DIV/0!</v>
      </c>
      <c r="N106" s="57"/>
      <c r="O106" s="57"/>
      <c r="P106" s="24" t="e">
        <f t="shared" si="39"/>
        <v>#DIV/0!</v>
      </c>
      <c r="Q106" s="24"/>
      <c r="R106" s="24"/>
      <c r="S106" s="25"/>
    </row>
    <row r="107" spans="1:19" ht="12.75">
      <c r="A107" s="69" t="s">
        <v>1</v>
      </c>
      <c r="B107" s="69"/>
      <c r="C107" s="39" t="s">
        <v>0</v>
      </c>
      <c r="D107" s="40">
        <f aca="true" t="shared" si="52" ref="D107:L107">D108+D109</f>
        <v>20691.2</v>
      </c>
      <c r="E107" s="40">
        <f t="shared" si="52"/>
        <v>25055.2</v>
      </c>
      <c r="F107" s="40">
        <f t="shared" si="52"/>
        <v>14620.7</v>
      </c>
      <c r="G107" s="40">
        <f t="shared" si="52"/>
        <v>8954.5</v>
      </c>
      <c r="H107" s="40">
        <f t="shared" si="52"/>
        <v>5666.2</v>
      </c>
      <c r="I107" s="40">
        <f t="shared" si="52"/>
        <v>5261.7</v>
      </c>
      <c r="J107" s="40">
        <f t="shared" si="52"/>
        <v>5172.8</v>
      </c>
      <c r="K107" s="40">
        <f t="shared" si="52"/>
        <v>16950.4</v>
      </c>
      <c r="L107" s="40">
        <f t="shared" si="52"/>
        <v>0</v>
      </c>
      <c r="M107" s="34">
        <f>K107/I107*100</f>
        <v>322.1468346732045</v>
      </c>
      <c r="N107" s="57"/>
      <c r="O107" s="57"/>
      <c r="P107" s="43">
        <f t="shared" si="39"/>
        <v>327.6832663161151</v>
      </c>
      <c r="Q107" s="43">
        <f t="shared" si="48"/>
        <v>115.93425759368567</v>
      </c>
      <c r="R107" s="43">
        <f t="shared" si="49"/>
        <v>81.92081657902878</v>
      </c>
      <c r="S107" s="31">
        <f t="shared" si="50"/>
        <v>67.65222388965165</v>
      </c>
    </row>
    <row r="108" spans="1:19" ht="24">
      <c r="A108" s="21" t="s">
        <v>67</v>
      </c>
      <c r="B108" s="19"/>
      <c r="C108" s="41" t="s">
        <v>20</v>
      </c>
      <c r="D108" s="44">
        <v>20691.2</v>
      </c>
      <c r="E108" s="60">
        <f t="shared" si="51"/>
        <v>25055.2</v>
      </c>
      <c r="F108" s="61">
        <f t="shared" si="47"/>
        <v>14620.7</v>
      </c>
      <c r="G108" s="44">
        <v>8954.5</v>
      </c>
      <c r="H108" s="44">
        <v>5666.2</v>
      </c>
      <c r="I108" s="24">
        <f>5172.8+88.9</f>
        <v>5261.7</v>
      </c>
      <c r="J108" s="25">
        <v>5172.8</v>
      </c>
      <c r="K108" s="25">
        <v>16950.4</v>
      </c>
      <c r="L108" s="27"/>
      <c r="M108" s="27">
        <f>K108/I108*100</f>
        <v>322.1468346732045</v>
      </c>
      <c r="N108" s="57"/>
      <c r="O108" s="57"/>
      <c r="P108" s="24">
        <f t="shared" si="39"/>
        <v>327.6832663161151</v>
      </c>
      <c r="Q108" s="24">
        <f t="shared" si="48"/>
        <v>115.93425759368567</v>
      </c>
      <c r="R108" s="24">
        <f t="shared" si="49"/>
        <v>81.92081657902878</v>
      </c>
      <c r="S108" s="25">
        <f t="shared" si="50"/>
        <v>67.65222388965165</v>
      </c>
    </row>
    <row r="109" spans="1:19" ht="12.75" hidden="1">
      <c r="A109" s="21" t="s">
        <v>2</v>
      </c>
      <c r="B109" s="21"/>
      <c r="C109" s="42" t="s">
        <v>19</v>
      </c>
      <c r="D109" s="42"/>
      <c r="E109" s="60">
        <f t="shared" si="51"/>
        <v>0</v>
      </c>
      <c r="F109" s="60">
        <f>G109+H109</f>
        <v>0</v>
      </c>
      <c r="G109" s="89"/>
      <c r="H109" s="89"/>
      <c r="I109" s="24"/>
      <c r="J109" s="25"/>
      <c r="K109" s="25"/>
      <c r="L109" s="27"/>
      <c r="M109" s="27"/>
      <c r="N109" s="57"/>
      <c r="O109" s="57"/>
      <c r="P109" s="24" t="e">
        <f t="shared" si="39"/>
        <v>#DIV/0!</v>
      </c>
      <c r="Q109" s="43" t="e">
        <f t="shared" si="48"/>
        <v>#DIV/0!</v>
      </c>
      <c r="R109" s="43" t="e">
        <f t="shared" si="49"/>
        <v>#DIV/0!</v>
      </c>
      <c r="S109" s="31" t="e">
        <f t="shared" si="50"/>
        <v>#DIV/0!</v>
      </c>
    </row>
    <row r="110" spans="1:19" ht="12.75">
      <c r="A110" s="28"/>
      <c r="B110" s="29"/>
      <c r="C110" s="30" t="s">
        <v>4</v>
      </c>
      <c r="D110" s="31">
        <f aca="true" t="shared" si="53" ref="D110:L110">D107+D97</f>
        <v>28126.2</v>
      </c>
      <c r="E110" s="31">
        <f t="shared" si="53"/>
        <v>32490.2</v>
      </c>
      <c r="F110" s="43">
        <f t="shared" si="53"/>
        <v>18338.2</v>
      </c>
      <c r="G110" s="43">
        <f t="shared" si="53"/>
        <v>10812.8</v>
      </c>
      <c r="H110" s="43">
        <f>H107+H97</f>
        <v>7525.4</v>
      </c>
      <c r="I110" s="31">
        <f t="shared" si="53"/>
        <v>7121</v>
      </c>
      <c r="J110" s="31">
        <f t="shared" si="53"/>
        <v>7031</v>
      </c>
      <c r="K110" s="31">
        <f t="shared" si="53"/>
        <v>20476.2</v>
      </c>
      <c r="L110" s="31" t="e">
        <f t="shared" si="53"/>
        <v>#REF!</v>
      </c>
      <c r="M110" s="34">
        <f>K110/I110*100</f>
        <v>287.54669288021347</v>
      </c>
      <c r="N110" s="57"/>
      <c r="O110" s="58" t="e">
        <f>J110+#REF!+#REF!</f>
        <v>#REF!</v>
      </c>
      <c r="P110" s="43">
        <f t="shared" si="39"/>
        <v>291.22742141942825</v>
      </c>
      <c r="Q110" s="43">
        <f t="shared" si="48"/>
        <v>111.6587233207185</v>
      </c>
      <c r="R110" s="43">
        <f t="shared" si="49"/>
        <v>72.80116048381936</v>
      </c>
      <c r="S110" s="31">
        <f t="shared" si="50"/>
        <v>63.02269607450862</v>
      </c>
    </row>
    <row r="111" spans="1:19" ht="12.75">
      <c r="A111" s="174"/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6"/>
      <c r="N111" s="57"/>
      <c r="O111" s="57"/>
      <c r="P111" s="56"/>
      <c r="Q111" s="24"/>
      <c r="R111" s="34"/>
      <c r="S111" s="31"/>
    </row>
    <row r="112" spans="1:19" ht="12.75">
      <c r="A112" s="169" t="s">
        <v>30</v>
      </c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64"/>
      <c r="R112" s="34"/>
      <c r="S112" s="31"/>
    </row>
    <row r="113" spans="1:19" ht="12.75">
      <c r="A113" s="32" t="s">
        <v>3</v>
      </c>
      <c r="B113" s="32"/>
      <c r="C113" s="33" t="s">
        <v>68</v>
      </c>
      <c r="D113" s="34">
        <f aca="true" t="shared" si="54" ref="D113:I113">D114+D118+D122+D119+D120+D123+D121+D124+D115+D116+D117</f>
        <v>5048</v>
      </c>
      <c r="E113" s="34">
        <f t="shared" si="54"/>
        <v>5912.4</v>
      </c>
      <c r="F113" s="34">
        <f t="shared" si="54"/>
        <v>2481.5</v>
      </c>
      <c r="G113" s="34">
        <f t="shared" si="54"/>
        <v>1202.9</v>
      </c>
      <c r="H113" s="34">
        <f t="shared" si="54"/>
        <v>1278.6</v>
      </c>
      <c r="I113" s="34">
        <f t="shared" si="54"/>
        <v>2088.8</v>
      </c>
      <c r="J113" s="34">
        <f>J114+J118+J122+J119+J120+J123+J121+J124+J115+J116</f>
        <v>1307</v>
      </c>
      <c r="K113" s="34">
        <f>K114+K118+K122+K119+K120+K123+K121+K124+K115+K116+K117</f>
        <v>3569.8999999999996</v>
      </c>
      <c r="L113" s="34" t="e">
        <f>K113/#REF!*100</f>
        <v>#REF!</v>
      </c>
      <c r="M113" s="34">
        <f aca="true" t="shared" si="55" ref="M113:M122">K113/I113*100</f>
        <v>170.90674071237072</v>
      </c>
      <c r="N113" s="57"/>
      <c r="O113" s="57"/>
      <c r="P113" s="34">
        <f t="shared" si="39"/>
        <v>273.13695485845443</v>
      </c>
      <c r="Q113" s="43">
        <f>K113*100/F113</f>
        <v>143.86056820471487</v>
      </c>
      <c r="R113" s="43">
        <f>K113*100/D113</f>
        <v>70.71909667194927</v>
      </c>
      <c r="S113" s="31">
        <f>K113*100/E113</f>
        <v>60.37987957513023</v>
      </c>
    </row>
    <row r="114" spans="1:19" ht="12.75">
      <c r="A114" s="28" t="s">
        <v>23</v>
      </c>
      <c r="B114" s="28"/>
      <c r="C114" s="35" t="s">
        <v>22</v>
      </c>
      <c r="D114" s="60">
        <v>1310</v>
      </c>
      <c r="E114" s="60">
        <f>G114+H114+I114+J114</f>
        <v>2000.1</v>
      </c>
      <c r="F114" s="61">
        <f aca="true" t="shared" si="56" ref="F114:F126">G114+H114</f>
        <v>650</v>
      </c>
      <c r="G114" s="60">
        <v>286.3</v>
      </c>
      <c r="H114" s="60">
        <v>363.7</v>
      </c>
      <c r="I114" s="25">
        <f>339.1+690.1</f>
        <v>1029.2</v>
      </c>
      <c r="J114" s="25">
        <v>320.9</v>
      </c>
      <c r="K114" s="25">
        <v>1694.5</v>
      </c>
      <c r="L114" s="27" t="e">
        <f>K114/#REF!*100</f>
        <v>#REF!</v>
      </c>
      <c r="M114" s="27">
        <f t="shared" si="55"/>
        <v>164.6424407306646</v>
      </c>
      <c r="N114" s="57"/>
      <c r="O114" s="57"/>
      <c r="P114" s="24">
        <f t="shared" si="39"/>
        <v>528.0461202866937</v>
      </c>
      <c r="Q114" s="24">
        <f aca="true" t="shared" si="57" ref="Q114:Q127">K114*100/F114</f>
        <v>260.6923076923077</v>
      </c>
      <c r="R114" s="24">
        <f aca="true" t="shared" si="58" ref="R114:R127">K114*100/D114</f>
        <v>129.35114503816794</v>
      </c>
      <c r="S114" s="25">
        <f aca="true" t="shared" si="59" ref="S114:S127">K114*100/E114</f>
        <v>84.72076396180191</v>
      </c>
    </row>
    <row r="115" spans="1:19" ht="12.75" hidden="1">
      <c r="A115" s="19" t="s">
        <v>8</v>
      </c>
      <c r="B115" s="19"/>
      <c r="C115" s="35" t="s">
        <v>5</v>
      </c>
      <c r="D115" s="60"/>
      <c r="E115" s="60">
        <f>G115+H115+I115+J115</f>
        <v>0</v>
      </c>
      <c r="F115" s="61">
        <f t="shared" si="56"/>
        <v>0</v>
      </c>
      <c r="G115" s="60"/>
      <c r="H115" s="60"/>
      <c r="I115" s="25"/>
      <c r="J115" s="25"/>
      <c r="K115" s="25"/>
      <c r="L115" s="27"/>
      <c r="M115" s="27"/>
      <c r="N115" s="57"/>
      <c r="O115" s="57"/>
      <c r="P115" s="24"/>
      <c r="Q115" s="24" t="e">
        <f t="shared" si="57"/>
        <v>#DIV/0!</v>
      </c>
      <c r="R115" s="24" t="e">
        <f t="shared" si="58"/>
        <v>#DIV/0!</v>
      </c>
      <c r="S115" s="25" t="e">
        <f t="shared" si="59"/>
        <v>#DIV/0!</v>
      </c>
    </row>
    <row r="116" spans="1:19" ht="12.75">
      <c r="A116" s="19" t="s">
        <v>70</v>
      </c>
      <c r="B116" s="19"/>
      <c r="C116" s="35" t="s">
        <v>71</v>
      </c>
      <c r="D116" s="60">
        <v>3271</v>
      </c>
      <c r="E116" s="60">
        <f>G116+H116+I116+J116</f>
        <v>3271</v>
      </c>
      <c r="F116" s="61">
        <f t="shared" si="56"/>
        <v>1635</v>
      </c>
      <c r="G116" s="60">
        <v>817.5</v>
      </c>
      <c r="H116" s="60">
        <v>817.5</v>
      </c>
      <c r="I116" s="25">
        <v>817.5</v>
      </c>
      <c r="J116" s="25">
        <v>818.5</v>
      </c>
      <c r="K116" s="25">
        <v>1466.2</v>
      </c>
      <c r="L116" s="27"/>
      <c r="M116" s="27"/>
      <c r="N116" s="57"/>
      <c r="O116" s="57"/>
      <c r="P116" s="24"/>
      <c r="Q116" s="24">
        <f t="shared" si="57"/>
        <v>89.67584097859327</v>
      </c>
      <c r="R116" s="24">
        <f t="shared" si="58"/>
        <v>44.824212778966675</v>
      </c>
      <c r="S116" s="25">
        <f t="shared" si="59"/>
        <v>44.824212778966675</v>
      </c>
    </row>
    <row r="117" spans="1:19" ht="12.75">
      <c r="A117" s="19" t="s">
        <v>8</v>
      </c>
      <c r="B117" s="19"/>
      <c r="C117" s="35" t="s">
        <v>5</v>
      </c>
      <c r="D117" s="60"/>
      <c r="E117" s="60">
        <v>0</v>
      </c>
      <c r="F117" s="61"/>
      <c r="G117" s="60">
        <v>0</v>
      </c>
      <c r="H117" s="60">
        <v>0</v>
      </c>
      <c r="I117" s="25">
        <v>0</v>
      </c>
      <c r="J117" s="25"/>
      <c r="K117" s="25">
        <v>0.2</v>
      </c>
      <c r="L117" s="27"/>
      <c r="M117" s="27"/>
      <c r="N117" s="57"/>
      <c r="O117" s="57"/>
      <c r="P117" s="24"/>
      <c r="Q117" s="24"/>
      <c r="R117" s="24"/>
      <c r="S117" s="25"/>
    </row>
    <row r="118" spans="1:19" ht="12.75">
      <c r="A118" s="19" t="s">
        <v>9</v>
      </c>
      <c r="B118" s="19"/>
      <c r="C118" s="35" t="s">
        <v>6</v>
      </c>
      <c r="D118" s="60">
        <v>77</v>
      </c>
      <c r="E118" s="60">
        <f aca="true" t="shared" si="60" ref="E118:E123">G118+H118+I118+J118</f>
        <v>93</v>
      </c>
      <c r="F118" s="61">
        <f t="shared" si="56"/>
        <v>1.5</v>
      </c>
      <c r="G118" s="60">
        <v>1.5</v>
      </c>
      <c r="H118" s="60"/>
      <c r="I118" s="25">
        <v>16</v>
      </c>
      <c r="J118" s="25">
        <v>75.5</v>
      </c>
      <c r="K118" s="25">
        <v>64.4</v>
      </c>
      <c r="L118" s="27" t="e">
        <f>K118/#REF!*100</f>
        <v>#REF!</v>
      </c>
      <c r="M118" s="27">
        <f t="shared" si="55"/>
        <v>402.50000000000006</v>
      </c>
      <c r="N118" s="57"/>
      <c r="O118" s="57"/>
      <c r="P118" s="24">
        <f t="shared" si="39"/>
        <v>85.29801324503312</v>
      </c>
      <c r="Q118" s="24">
        <f t="shared" si="57"/>
        <v>4293.333333333334</v>
      </c>
      <c r="R118" s="24">
        <f t="shared" si="58"/>
        <v>83.63636363636365</v>
      </c>
      <c r="S118" s="25">
        <f t="shared" si="59"/>
        <v>69.247311827957</v>
      </c>
    </row>
    <row r="119" spans="1:19" ht="12.75">
      <c r="A119" s="19" t="s">
        <v>10</v>
      </c>
      <c r="B119" s="19"/>
      <c r="C119" s="35" t="s">
        <v>21</v>
      </c>
      <c r="D119" s="60">
        <v>30</v>
      </c>
      <c r="E119" s="60">
        <f t="shared" si="60"/>
        <v>17</v>
      </c>
      <c r="F119" s="61">
        <f t="shared" si="56"/>
        <v>15</v>
      </c>
      <c r="G119" s="60">
        <v>7.5</v>
      </c>
      <c r="H119" s="60">
        <v>7.5</v>
      </c>
      <c r="I119" s="25">
        <f>7.5-7.5</f>
        <v>0</v>
      </c>
      <c r="J119" s="25">
        <f>7.5-5.5</f>
        <v>2</v>
      </c>
      <c r="K119" s="25">
        <v>7.3</v>
      </c>
      <c r="L119" s="27" t="e">
        <f>K119/#REF!*100</f>
        <v>#REF!</v>
      </c>
      <c r="M119" s="27" t="e">
        <f t="shared" si="55"/>
        <v>#DIV/0!</v>
      </c>
      <c r="N119" s="57"/>
      <c r="O119" s="57"/>
      <c r="P119" s="24">
        <f t="shared" si="39"/>
        <v>365</v>
      </c>
      <c r="Q119" s="24">
        <f t="shared" si="57"/>
        <v>48.666666666666664</v>
      </c>
      <c r="R119" s="24">
        <f t="shared" si="58"/>
        <v>24.333333333333332</v>
      </c>
      <c r="S119" s="25">
        <f t="shared" si="59"/>
        <v>42.94117647058823</v>
      </c>
    </row>
    <row r="120" spans="1:19" ht="24">
      <c r="A120" s="20" t="s">
        <v>11</v>
      </c>
      <c r="B120" s="20"/>
      <c r="C120" s="35" t="s">
        <v>17</v>
      </c>
      <c r="D120" s="60">
        <v>250</v>
      </c>
      <c r="E120" s="60">
        <f t="shared" si="60"/>
        <v>280.2</v>
      </c>
      <c r="F120" s="61">
        <f t="shared" si="56"/>
        <v>125</v>
      </c>
      <c r="G120" s="60">
        <v>62.6</v>
      </c>
      <c r="H120" s="60">
        <v>62.4</v>
      </c>
      <c r="I120" s="25">
        <f>62.4+30.2</f>
        <v>92.6</v>
      </c>
      <c r="J120" s="25">
        <v>62.6</v>
      </c>
      <c r="K120" s="25">
        <v>153.8</v>
      </c>
      <c r="L120" s="27" t="e">
        <f>K120/#REF!*100</f>
        <v>#REF!</v>
      </c>
      <c r="M120" s="27">
        <f t="shared" si="55"/>
        <v>166.09071274298057</v>
      </c>
      <c r="N120" s="57"/>
      <c r="O120" s="57"/>
      <c r="P120" s="24">
        <f t="shared" si="39"/>
        <v>245.68690095846648</v>
      </c>
      <c r="Q120" s="24">
        <f t="shared" si="57"/>
        <v>123.04000000000002</v>
      </c>
      <c r="R120" s="24">
        <f t="shared" si="58"/>
        <v>61.52000000000001</v>
      </c>
      <c r="S120" s="25">
        <f t="shared" si="59"/>
        <v>54.889364739471816</v>
      </c>
    </row>
    <row r="121" spans="1:19" ht="24">
      <c r="A121" s="37" t="s">
        <v>42</v>
      </c>
      <c r="B121" s="37"/>
      <c r="C121" s="35" t="s">
        <v>43</v>
      </c>
      <c r="D121" s="60">
        <v>110</v>
      </c>
      <c r="E121" s="60">
        <f t="shared" si="60"/>
        <v>110</v>
      </c>
      <c r="F121" s="61">
        <f t="shared" si="56"/>
        <v>55</v>
      </c>
      <c r="G121" s="60">
        <v>27.5</v>
      </c>
      <c r="H121" s="60">
        <v>27.5</v>
      </c>
      <c r="I121" s="25">
        <v>27.5</v>
      </c>
      <c r="J121" s="25">
        <v>27.5</v>
      </c>
      <c r="K121" s="25">
        <v>67.4</v>
      </c>
      <c r="L121" s="27" t="e">
        <f>K121/#REF!*100</f>
        <v>#REF!</v>
      </c>
      <c r="M121" s="27">
        <f t="shared" si="55"/>
        <v>245.09090909090912</v>
      </c>
      <c r="N121" s="57"/>
      <c r="O121" s="57"/>
      <c r="P121" s="24">
        <f t="shared" si="39"/>
        <v>245.09090909090912</v>
      </c>
      <c r="Q121" s="24">
        <f t="shared" si="57"/>
        <v>122.54545454545456</v>
      </c>
      <c r="R121" s="24">
        <f t="shared" si="58"/>
        <v>61.27272727272728</v>
      </c>
      <c r="S121" s="25">
        <f t="shared" si="59"/>
        <v>61.27272727272728</v>
      </c>
    </row>
    <row r="122" spans="1:19" ht="20.25" customHeight="1">
      <c r="A122" s="36" t="s">
        <v>18</v>
      </c>
      <c r="B122" s="36"/>
      <c r="C122" s="35" t="s">
        <v>15</v>
      </c>
      <c r="D122" s="60">
        <v>0</v>
      </c>
      <c r="E122" s="60">
        <f t="shared" si="60"/>
        <v>106</v>
      </c>
      <c r="F122" s="61">
        <f t="shared" si="56"/>
        <v>0</v>
      </c>
      <c r="G122" s="60">
        <v>0</v>
      </c>
      <c r="H122" s="60">
        <v>0</v>
      </c>
      <c r="I122" s="25">
        <f>106</f>
        <v>106</v>
      </c>
      <c r="J122" s="25"/>
      <c r="K122" s="25">
        <v>81</v>
      </c>
      <c r="L122" s="27" t="e">
        <f>K122/#REF!*100</f>
        <v>#REF!</v>
      </c>
      <c r="M122" s="27">
        <f t="shared" si="55"/>
        <v>76.41509433962264</v>
      </c>
      <c r="N122" s="57"/>
      <c r="O122" s="57"/>
      <c r="P122" s="24" t="e">
        <f t="shared" si="39"/>
        <v>#DIV/0!</v>
      </c>
      <c r="Q122" s="24" t="e">
        <f t="shared" si="57"/>
        <v>#DIV/0!</v>
      </c>
      <c r="R122" s="24"/>
      <c r="S122" s="25">
        <f t="shared" si="59"/>
        <v>76.41509433962264</v>
      </c>
    </row>
    <row r="123" spans="1:19" ht="0.75" customHeight="1" hidden="1">
      <c r="A123" s="28" t="s">
        <v>12</v>
      </c>
      <c r="B123" s="28"/>
      <c r="C123" s="35" t="s">
        <v>7</v>
      </c>
      <c r="D123" s="60"/>
      <c r="E123" s="60">
        <f t="shared" si="60"/>
        <v>0</v>
      </c>
      <c r="F123" s="61">
        <f t="shared" si="56"/>
        <v>0</v>
      </c>
      <c r="G123" s="60"/>
      <c r="H123" s="60"/>
      <c r="I123" s="25"/>
      <c r="J123" s="25"/>
      <c r="K123" s="25"/>
      <c r="L123" s="27"/>
      <c r="M123" s="27"/>
      <c r="N123" s="57"/>
      <c r="O123" s="57"/>
      <c r="P123" s="24" t="e">
        <f t="shared" si="39"/>
        <v>#DIV/0!</v>
      </c>
      <c r="Q123" s="24" t="e">
        <f t="shared" si="57"/>
        <v>#DIV/0!</v>
      </c>
      <c r="R123" s="24" t="e">
        <f t="shared" si="58"/>
        <v>#DIV/0!</v>
      </c>
      <c r="S123" s="25" t="e">
        <f t="shared" si="59"/>
        <v>#DIV/0!</v>
      </c>
    </row>
    <row r="124" spans="1:19" ht="17.25" customHeight="1">
      <c r="A124" s="36" t="s">
        <v>39</v>
      </c>
      <c r="B124" s="90"/>
      <c r="C124" s="23" t="s">
        <v>40</v>
      </c>
      <c r="D124" s="66">
        <v>0</v>
      </c>
      <c r="E124" s="60">
        <v>35.1</v>
      </c>
      <c r="F124" s="61">
        <f t="shared" si="56"/>
        <v>0</v>
      </c>
      <c r="G124" s="60"/>
      <c r="H124" s="60"/>
      <c r="I124" s="25"/>
      <c r="J124" s="25"/>
      <c r="K124" s="25">
        <v>35.1</v>
      </c>
      <c r="L124" s="27"/>
      <c r="M124" s="27"/>
      <c r="N124" s="57"/>
      <c r="O124" s="57"/>
      <c r="P124" s="24" t="e">
        <f t="shared" si="39"/>
        <v>#DIV/0!</v>
      </c>
      <c r="Q124" s="24"/>
      <c r="R124" s="24"/>
      <c r="S124" s="25">
        <f t="shared" si="59"/>
        <v>100</v>
      </c>
    </row>
    <row r="125" spans="1:19" ht="12.75">
      <c r="A125" s="32" t="s">
        <v>1</v>
      </c>
      <c r="B125" s="32"/>
      <c r="C125" s="39" t="s">
        <v>0</v>
      </c>
      <c r="D125" s="40">
        <f aca="true" t="shared" si="61" ref="D125:L125">D126</f>
        <v>23671.4</v>
      </c>
      <c r="E125" s="40">
        <f t="shared" si="61"/>
        <v>25128.8</v>
      </c>
      <c r="F125" s="62">
        <f t="shared" si="61"/>
        <v>12461.7</v>
      </c>
      <c r="G125" s="62">
        <f t="shared" si="61"/>
        <v>4838.3</v>
      </c>
      <c r="H125" s="62">
        <f t="shared" si="61"/>
        <v>7623.4</v>
      </c>
      <c r="I125" s="62">
        <f t="shared" si="61"/>
        <v>6306.9</v>
      </c>
      <c r="J125" s="40">
        <f t="shared" si="61"/>
        <v>6360.2</v>
      </c>
      <c r="K125" s="40">
        <f t="shared" si="61"/>
        <v>14223.4</v>
      </c>
      <c r="L125" s="40" t="e">
        <f t="shared" si="61"/>
        <v>#REF!</v>
      </c>
      <c r="M125" s="34">
        <f>K125/I125*100</f>
        <v>225.52125449904074</v>
      </c>
      <c r="N125" s="57"/>
      <c r="O125" s="57"/>
      <c r="P125" s="43">
        <f t="shared" si="39"/>
        <v>223.63133234803936</v>
      </c>
      <c r="Q125" s="43">
        <f t="shared" si="57"/>
        <v>114.13691550911993</v>
      </c>
      <c r="R125" s="43">
        <f t="shared" si="58"/>
        <v>60.086855868262965</v>
      </c>
      <c r="S125" s="31">
        <f t="shared" si="59"/>
        <v>56.60198656521601</v>
      </c>
    </row>
    <row r="126" spans="1:19" ht="24">
      <c r="A126" s="21" t="s">
        <v>67</v>
      </c>
      <c r="B126" s="19"/>
      <c r="C126" s="41" t="s">
        <v>20</v>
      </c>
      <c r="D126" s="44">
        <v>23671.4</v>
      </c>
      <c r="E126" s="60">
        <f>G126+H126+I126+J126</f>
        <v>25128.8</v>
      </c>
      <c r="F126" s="61">
        <f t="shared" si="56"/>
        <v>12461.7</v>
      </c>
      <c r="G126" s="60">
        <f>4822.7+15.6</f>
        <v>4838.3</v>
      </c>
      <c r="H126" s="60">
        <f>7620.2+3.2</f>
        <v>7623.4</v>
      </c>
      <c r="I126" s="25">
        <f>5425.9+881</f>
        <v>6306.9</v>
      </c>
      <c r="J126" s="25">
        <v>6360.2</v>
      </c>
      <c r="K126" s="25">
        <v>14223.4</v>
      </c>
      <c r="L126" s="27" t="e">
        <f>K126/#REF!*100</f>
        <v>#REF!</v>
      </c>
      <c r="M126" s="27">
        <f>K126/I126*100</f>
        <v>225.52125449904074</v>
      </c>
      <c r="N126" s="57"/>
      <c r="O126" s="57"/>
      <c r="P126" s="24">
        <f t="shared" si="39"/>
        <v>223.63133234803936</v>
      </c>
      <c r="Q126" s="24">
        <f t="shared" si="57"/>
        <v>114.13691550911993</v>
      </c>
      <c r="R126" s="24">
        <f t="shared" si="58"/>
        <v>60.086855868262965</v>
      </c>
      <c r="S126" s="25">
        <f t="shared" si="59"/>
        <v>56.60198656521601</v>
      </c>
    </row>
    <row r="127" spans="1:19" ht="12.75">
      <c r="A127" s="28"/>
      <c r="B127" s="29"/>
      <c r="C127" s="30" t="s">
        <v>4</v>
      </c>
      <c r="D127" s="31">
        <f aca="true" t="shared" si="62" ref="D127:K127">D125+D113</f>
        <v>28719.4</v>
      </c>
      <c r="E127" s="31">
        <f t="shared" si="62"/>
        <v>31041.199999999997</v>
      </c>
      <c r="F127" s="31">
        <f t="shared" si="62"/>
        <v>14943.2</v>
      </c>
      <c r="G127" s="31">
        <f t="shared" si="62"/>
        <v>6041.200000000001</v>
      </c>
      <c r="H127" s="31">
        <f t="shared" si="62"/>
        <v>8902</v>
      </c>
      <c r="I127" s="31">
        <f t="shared" si="62"/>
        <v>8395.7</v>
      </c>
      <c r="J127" s="31">
        <f t="shared" si="62"/>
        <v>7667.2</v>
      </c>
      <c r="K127" s="31">
        <f t="shared" si="62"/>
        <v>17793.3</v>
      </c>
      <c r="L127" s="34" t="e">
        <f>K127/#REF!*100</f>
        <v>#REF!</v>
      </c>
      <c r="M127" s="34">
        <f>K127/I127*100</f>
        <v>211.93348976261657</v>
      </c>
      <c r="N127" s="57"/>
      <c r="O127" s="58" t="e">
        <f>J127+#REF!+#REF!</f>
        <v>#REF!</v>
      </c>
      <c r="P127" s="43">
        <f t="shared" si="39"/>
        <v>232.07037771285476</v>
      </c>
      <c r="Q127" s="43">
        <f t="shared" si="57"/>
        <v>119.07288934097114</v>
      </c>
      <c r="R127" s="43">
        <f t="shared" si="58"/>
        <v>61.95568152538005</v>
      </c>
      <c r="S127" s="31">
        <f t="shared" si="59"/>
        <v>57.321559733515464</v>
      </c>
    </row>
    <row r="128" spans="1:19" ht="12.75">
      <c r="A128" s="174"/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6"/>
      <c r="N128" s="57"/>
      <c r="O128" s="57"/>
      <c r="P128" s="56"/>
      <c r="Q128" s="24"/>
      <c r="R128" s="34"/>
      <c r="S128" s="31"/>
    </row>
    <row r="129" spans="1:19" ht="12.75">
      <c r="A129" s="169" t="s">
        <v>31</v>
      </c>
      <c r="B129" s="169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64"/>
      <c r="R129" s="34"/>
      <c r="S129" s="31"/>
    </row>
    <row r="130" spans="1:19" ht="12.75">
      <c r="A130" s="32" t="s">
        <v>3</v>
      </c>
      <c r="B130" s="32"/>
      <c r="C130" s="33" t="s">
        <v>68</v>
      </c>
      <c r="D130" s="34">
        <f aca="true" t="shared" si="63" ref="D130:K130">D131+D133+D134+D135+D137+D139+D136+D138+D132</f>
        <v>9547</v>
      </c>
      <c r="E130" s="34">
        <f t="shared" si="63"/>
        <v>9770.1</v>
      </c>
      <c r="F130" s="34">
        <f t="shared" si="63"/>
        <v>4797.6</v>
      </c>
      <c r="G130" s="34">
        <f t="shared" si="63"/>
        <v>1898.8</v>
      </c>
      <c r="H130" s="34">
        <f t="shared" si="63"/>
        <v>2898.8</v>
      </c>
      <c r="I130" s="34">
        <f t="shared" si="63"/>
        <v>2431.9</v>
      </c>
      <c r="J130" s="34">
        <f t="shared" si="63"/>
        <v>2540.6</v>
      </c>
      <c r="K130" s="34">
        <f t="shared" si="63"/>
        <v>5077.1</v>
      </c>
      <c r="L130" s="34" t="e">
        <f>K130/#REF!*100</f>
        <v>#REF!</v>
      </c>
      <c r="M130" s="34">
        <f aca="true" t="shared" si="64" ref="M130:M137">K130/I130*100</f>
        <v>208.77091985690203</v>
      </c>
      <c r="N130" s="57"/>
      <c r="O130" s="57"/>
      <c r="P130" s="34">
        <f t="shared" si="39"/>
        <v>199.83862079823666</v>
      </c>
      <c r="Q130" s="43">
        <f>K130*100/F130</f>
        <v>105.8258295814574</v>
      </c>
      <c r="R130" s="43">
        <f>K130*100/D130</f>
        <v>53.18005656227088</v>
      </c>
      <c r="S130" s="31">
        <f>K130*100/E130</f>
        <v>51.96569124164543</v>
      </c>
    </row>
    <row r="131" spans="1:19" ht="12.75">
      <c r="A131" s="28" t="s">
        <v>23</v>
      </c>
      <c r="B131" s="28"/>
      <c r="C131" s="35" t="s">
        <v>22</v>
      </c>
      <c r="D131" s="60">
        <v>2000</v>
      </c>
      <c r="E131" s="60">
        <f>G131+H131+I131+J131</f>
        <v>2000</v>
      </c>
      <c r="F131" s="61">
        <f aca="true" t="shared" si="65" ref="F131:F142">G131+H131</f>
        <v>900</v>
      </c>
      <c r="G131" s="44">
        <v>400</v>
      </c>
      <c r="H131" s="44">
        <v>500</v>
      </c>
      <c r="I131" s="24">
        <v>450</v>
      </c>
      <c r="J131" s="25">
        <v>650</v>
      </c>
      <c r="K131" s="25">
        <v>1375.6</v>
      </c>
      <c r="L131" s="27" t="e">
        <f>K131/#REF!*100</f>
        <v>#REF!</v>
      </c>
      <c r="M131" s="27">
        <f t="shared" si="64"/>
        <v>305.68888888888887</v>
      </c>
      <c r="N131" s="57"/>
      <c r="O131" s="57"/>
      <c r="P131" s="24">
        <f t="shared" si="39"/>
        <v>211.63076923076923</v>
      </c>
      <c r="Q131" s="24">
        <f aca="true" t="shared" si="66" ref="Q131:Q143">K131*100/F131</f>
        <v>152.84444444444443</v>
      </c>
      <c r="R131" s="24">
        <f aca="true" t="shared" si="67" ref="R131:R143">K131*100/D131</f>
        <v>68.78</v>
      </c>
      <c r="S131" s="25">
        <f aca="true" t="shared" si="68" ref="S131:S143">K131*100/E131</f>
        <v>68.78</v>
      </c>
    </row>
    <row r="132" spans="1:19" ht="12.75">
      <c r="A132" s="19" t="s">
        <v>70</v>
      </c>
      <c r="B132" s="19"/>
      <c r="C132" s="35" t="s">
        <v>71</v>
      </c>
      <c r="D132" s="60">
        <v>7083</v>
      </c>
      <c r="E132" s="60">
        <f>G132+H132+I132+J132</f>
        <v>7083</v>
      </c>
      <c r="F132" s="61">
        <f t="shared" si="65"/>
        <v>3498.1</v>
      </c>
      <c r="G132" s="44">
        <v>1445.6</v>
      </c>
      <c r="H132" s="44">
        <v>2052.5</v>
      </c>
      <c r="I132" s="24">
        <v>1852.9</v>
      </c>
      <c r="J132" s="25">
        <v>1732</v>
      </c>
      <c r="K132" s="25">
        <v>3175.5</v>
      </c>
      <c r="L132" s="27"/>
      <c r="M132" s="27"/>
      <c r="N132" s="57"/>
      <c r="O132" s="57"/>
      <c r="P132" s="24"/>
      <c r="Q132" s="24">
        <f t="shared" si="66"/>
        <v>90.77785083330951</v>
      </c>
      <c r="R132" s="24">
        <f t="shared" si="67"/>
        <v>44.83269800931809</v>
      </c>
      <c r="S132" s="25">
        <f t="shared" si="68"/>
        <v>44.83269800931809</v>
      </c>
    </row>
    <row r="133" spans="1:19" ht="12.75">
      <c r="A133" s="19" t="s">
        <v>9</v>
      </c>
      <c r="B133" s="19"/>
      <c r="C133" s="35" t="s">
        <v>6</v>
      </c>
      <c r="D133" s="60">
        <v>267</v>
      </c>
      <c r="E133" s="60">
        <f aca="true" t="shared" si="69" ref="E133:E142">G133+H133+I133+J133</f>
        <v>267</v>
      </c>
      <c r="F133" s="61">
        <f t="shared" si="65"/>
        <v>86.69999999999999</v>
      </c>
      <c r="G133" s="44">
        <v>20.1</v>
      </c>
      <c r="H133" s="44">
        <v>66.6</v>
      </c>
      <c r="I133" s="24">
        <v>77.7</v>
      </c>
      <c r="J133" s="25">
        <v>102.6</v>
      </c>
      <c r="K133" s="25">
        <v>155.5</v>
      </c>
      <c r="L133" s="27" t="e">
        <f>K133/#REF!*100</f>
        <v>#REF!</v>
      </c>
      <c r="M133" s="27">
        <f t="shared" si="64"/>
        <v>200.12870012870013</v>
      </c>
      <c r="N133" s="57"/>
      <c r="O133" s="57"/>
      <c r="P133" s="24">
        <f t="shared" si="39"/>
        <v>151.55945419103315</v>
      </c>
      <c r="Q133" s="24">
        <f t="shared" si="66"/>
        <v>179.3540945790081</v>
      </c>
      <c r="R133" s="24">
        <f t="shared" si="67"/>
        <v>58.239700374531836</v>
      </c>
      <c r="S133" s="25">
        <f t="shared" si="68"/>
        <v>58.239700374531836</v>
      </c>
    </row>
    <row r="134" spans="1:19" ht="12.75">
      <c r="A134" s="19" t="s">
        <v>10</v>
      </c>
      <c r="B134" s="19"/>
      <c r="C134" s="35" t="s">
        <v>21</v>
      </c>
      <c r="D134" s="60">
        <v>47</v>
      </c>
      <c r="E134" s="60">
        <f t="shared" si="69"/>
        <v>47</v>
      </c>
      <c r="F134" s="61">
        <f t="shared" si="65"/>
        <v>19.5</v>
      </c>
      <c r="G134" s="44">
        <v>5.5</v>
      </c>
      <c r="H134" s="44">
        <v>14</v>
      </c>
      <c r="I134" s="24">
        <v>14.2</v>
      </c>
      <c r="J134" s="25">
        <v>13.3</v>
      </c>
      <c r="K134" s="25">
        <v>24.5</v>
      </c>
      <c r="L134" s="27" t="e">
        <f>K134/#REF!*100</f>
        <v>#REF!</v>
      </c>
      <c r="M134" s="27">
        <f t="shared" si="64"/>
        <v>172.53521126760566</v>
      </c>
      <c r="N134" s="57"/>
      <c r="O134" s="57"/>
      <c r="P134" s="24">
        <f t="shared" si="39"/>
        <v>184.21052631578945</v>
      </c>
      <c r="Q134" s="24">
        <f t="shared" si="66"/>
        <v>125.64102564102564</v>
      </c>
      <c r="R134" s="24">
        <f t="shared" si="67"/>
        <v>52.12765957446808</v>
      </c>
      <c r="S134" s="25">
        <f t="shared" si="68"/>
        <v>52.12765957446808</v>
      </c>
    </row>
    <row r="135" spans="1:19" ht="24">
      <c r="A135" s="20" t="s">
        <v>11</v>
      </c>
      <c r="B135" s="20"/>
      <c r="C135" s="35" t="s">
        <v>17</v>
      </c>
      <c r="D135" s="60">
        <v>70</v>
      </c>
      <c r="E135" s="60">
        <f t="shared" si="69"/>
        <v>293.09999999999997</v>
      </c>
      <c r="F135" s="61">
        <f t="shared" si="65"/>
        <v>252.29999999999998</v>
      </c>
      <c r="G135" s="44">
        <v>10.6</v>
      </c>
      <c r="H135" s="44">
        <v>241.7</v>
      </c>
      <c r="I135" s="24">
        <v>22.1</v>
      </c>
      <c r="J135" s="25">
        <v>18.7</v>
      </c>
      <c r="K135" s="25">
        <v>296</v>
      </c>
      <c r="L135" s="27" t="e">
        <f>K135/#REF!*100</f>
        <v>#REF!</v>
      </c>
      <c r="M135" s="27">
        <f t="shared" si="64"/>
        <v>1339.3665158371039</v>
      </c>
      <c r="N135" s="57"/>
      <c r="O135" s="57"/>
      <c r="P135" s="24">
        <f t="shared" si="39"/>
        <v>1582.8877005347595</v>
      </c>
      <c r="Q135" s="24">
        <f t="shared" si="66"/>
        <v>117.32065001981769</v>
      </c>
      <c r="R135" s="24">
        <f t="shared" si="67"/>
        <v>422.85714285714283</v>
      </c>
      <c r="S135" s="25">
        <f t="shared" si="68"/>
        <v>100.98942340498125</v>
      </c>
    </row>
    <row r="136" spans="1:19" ht="24">
      <c r="A136" s="37" t="s">
        <v>42</v>
      </c>
      <c r="B136" s="37"/>
      <c r="C136" s="35" t="s">
        <v>43</v>
      </c>
      <c r="D136" s="60">
        <v>80</v>
      </c>
      <c r="E136" s="60">
        <f t="shared" si="69"/>
        <v>80</v>
      </c>
      <c r="F136" s="61">
        <f t="shared" si="65"/>
        <v>41</v>
      </c>
      <c r="G136" s="44">
        <v>17</v>
      </c>
      <c r="H136" s="44">
        <v>24</v>
      </c>
      <c r="I136" s="24">
        <v>15</v>
      </c>
      <c r="J136" s="25">
        <v>24</v>
      </c>
      <c r="K136" s="25">
        <v>50</v>
      </c>
      <c r="L136" s="27" t="e">
        <f>K136/#REF!*100</f>
        <v>#REF!</v>
      </c>
      <c r="M136" s="27">
        <f t="shared" si="64"/>
        <v>333.33333333333337</v>
      </c>
      <c r="N136" s="57"/>
      <c r="O136" s="57"/>
      <c r="P136" s="24">
        <f t="shared" si="39"/>
        <v>208.33333333333334</v>
      </c>
      <c r="Q136" s="24">
        <f t="shared" si="66"/>
        <v>121.95121951219512</v>
      </c>
      <c r="R136" s="24">
        <f t="shared" si="67"/>
        <v>62.5</v>
      </c>
      <c r="S136" s="25">
        <f t="shared" si="68"/>
        <v>62.5</v>
      </c>
    </row>
    <row r="137" spans="1:19" ht="13.5" customHeight="1" hidden="1">
      <c r="A137" s="37" t="s">
        <v>18</v>
      </c>
      <c r="B137" s="37"/>
      <c r="C137" s="35" t="s">
        <v>15</v>
      </c>
      <c r="D137" s="60"/>
      <c r="E137" s="60">
        <f t="shared" si="69"/>
        <v>0</v>
      </c>
      <c r="F137" s="61">
        <f t="shared" si="65"/>
        <v>0</v>
      </c>
      <c r="G137" s="44"/>
      <c r="H137" s="44"/>
      <c r="I137" s="24"/>
      <c r="J137" s="25"/>
      <c r="K137" s="25"/>
      <c r="L137" s="27" t="e">
        <f>K137/#REF!*100</f>
        <v>#REF!</v>
      </c>
      <c r="M137" s="27" t="e">
        <f t="shared" si="64"/>
        <v>#DIV/0!</v>
      </c>
      <c r="N137" s="57"/>
      <c r="O137" s="57"/>
      <c r="P137" s="24" t="e">
        <f t="shared" si="39"/>
        <v>#DIV/0!</v>
      </c>
      <c r="Q137" s="24" t="e">
        <f t="shared" si="66"/>
        <v>#DIV/0!</v>
      </c>
      <c r="R137" s="24" t="e">
        <f t="shared" si="67"/>
        <v>#DIV/0!</v>
      </c>
      <c r="S137" s="25" t="e">
        <f t="shared" si="68"/>
        <v>#DIV/0!</v>
      </c>
    </row>
    <row r="138" spans="1:19" ht="14.25" customHeight="1" hidden="1">
      <c r="A138" s="28" t="s">
        <v>12</v>
      </c>
      <c r="B138" s="28"/>
      <c r="C138" s="35" t="s">
        <v>7</v>
      </c>
      <c r="D138" s="60"/>
      <c r="E138" s="60">
        <f t="shared" si="69"/>
        <v>0</v>
      </c>
      <c r="F138" s="61">
        <f t="shared" si="65"/>
        <v>0</v>
      </c>
      <c r="G138" s="44"/>
      <c r="H138" s="44"/>
      <c r="I138" s="24"/>
      <c r="J138" s="25"/>
      <c r="K138" s="25"/>
      <c r="L138" s="27"/>
      <c r="M138" s="27"/>
      <c r="N138" s="57"/>
      <c r="O138" s="57"/>
      <c r="P138" s="24"/>
      <c r="Q138" s="24" t="e">
        <f t="shared" si="66"/>
        <v>#DIV/0!</v>
      </c>
      <c r="R138" s="24" t="e">
        <f t="shared" si="67"/>
        <v>#DIV/0!</v>
      </c>
      <c r="S138" s="25" t="e">
        <f t="shared" si="68"/>
        <v>#DIV/0!</v>
      </c>
    </row>
    <row r="139" spans="1:19" ht="12.75">
      <c r="A139" s="37" t="s">
        <v>39</v>
      </c>
      <c r="B139" s="90"/>
      <c r="C139" s="23" t="s">
        <v>40</v>
      </c>
      <c r="D139" s="66">
        <v>0</v>
      </c>
      <c r="E139" s="60">
        <f t="shared" si="69"/>
        <v>0</v>
      </c>
      <c r="F139" s="61">
        <f t="shared" si="65"/>
        <v>0</v>
      </c>
      <c r="G139" s="44"/>
      <c r="H139" s="44"/>
      <c r="I139" s="24"/>
      <c r="J139" s="25"/>
      <c r="K139" s="24"/>
      <c r="L139" s="27"/>
      <c r="M139" s="27"/>
      <c r="N139" s="57"/>
      <c r="O139" s="57"/>
      <c r="P139" s="24"/>
      <c r="Q139" s="24"/>
      <c r="R139" s="24"/>
      <c r="S139" s="25"/>
    </row>
    <row r="140" spans="1:19" ht="12.75">
      <c r="A140" s="69" t="s">
        <v>1</v>
      </c>
      <c r="B140" s="69"/>
      <c r="C140" s="39" t="s">
        <v>0</v>
      </c>
      <c r="D140" s="40">
        <f aca="true" t="shared" si="70" ref="D140:K140">D141+D142</f>
        <v>39013</v>
      </c>
      <c r="E140" s="40">
        <f t="shared" si="70"/>
        <v>40305.700000000004</v>
      </c>
      <c r="F140" s="40">
        <f t="shared" si="70"/>
        <v>19936.100000000002</v>
      </c>
      <c r="G140" s="40">
        <f t="shared" si="70"/>
        <v>9060.2</v>
      </c>
      <c r="H140" s="40">
        <f t="shared" si="70"/>
        <v>10875.9</v>
      </c>
      <c r="I140" s="40">
        <f t="shared" si="70"/>
        <v>11333.7</v>
      </c>
      <c r="J140" s="40">
        <f t="shared" si="70"/>
        <v>9035.9</v>
      </c>
      <c r="K140" s="40">
        <f t="shared" si="70"/>
        <v>23181.5</v>
      </c>
      <c r="L140" s="34" t="e">
        <f>K140/#REF!*100</f>
        <v>#REF!</v>
      </c>
      <c r="M140" s="34">
        <f>K140/I140*100</f>
        <v>204.53602971668562</v>
      </c>
      <c r="N140" s="57"/>
      <c r="O140" s="57"/>
      <c r="P140" s="43">
        <f t="shared" si="39"/>
        <v>256.54887725627776</v>
      </c>
      <c r="Q140" s="43">
        <f t="shared" si="66"/>
        <v>116.27901144155575</v>
      </c>
      <c r="R140" s="43">
        <f t="shared" si="67"/>
        <v>59.41993694409556</v>
      </c>
      <c r="S140" s="31">
        <f t="shared" si="68"/>
        <v>57.51419774374344</v>
      </c>
    </row>
    <row r="141" spans="1:19" ht="24">
      <c r="A141" s="21" t="s">
        <v>67</v>
      </c>
      <c r="B141" s="19"/>
      <c r="C141" s="41" t="s">
        <v>20</v>
      </c>
      <c r="D141" s="44">
        <v>39013</v>
      </c>
      <c r="E141" s="60">
        <f t="shared" si="69"/>
        <v>40116.8</v>
      </c>
      <c r="F141" s="61">
        <f t="shared" si="65"/>
        <v>19747.2</v>
      </c>
      <c r="G141" s="44">
        <f>8747.2+313</f>
        <v>9060.2</v>
      </c>
      <c r="H141" s="44">
        <v>10687</v>
      </c>
      <c r="I141" s="24">
        <f>11264.1+69.6</f>
        <v>11333.7</v>
      </c>
      <c r="J141" s="25">
        <v>9035.9</v>
      </c>
      <c r="K141" s="25">
        <v>22992.6</v>
      </c>
      <c r="L141" s="27" t="e">
        <f>K141/#REF!*100</f>
        <v>#REF!</v>
      </c>
      <c r="M141" s="27">
        <f>K141/I141*100</f>
        <v>202.86931893379915</v>
      </c>
      <c r="N141" s="57"/>
      <c r="O141" s="57"/>
      <c r="P141" s="24">
        <f t="shared" si="39"/>
        <v>254.45832733872663</v>
      </c>
      <c r="Q141" s="24">
        <f t="shared" si="66"/>
        <v>116.43473505104521</v>
      </c>
      <c r="R141" s="24">
        <f t="shared" si="67"/>
        <v>58.9357393689283</v>
      </c>
      <c r="S141" s="25">
        <f t="shared" si="68"/>
        <v>57.31414270330634</v>
      </c>
    </row>
    <row r="142" spans="1:19" ht="17.25" customHeight="1">
      <c r="A142" s="21" t="s">
        <v>2</v>
      </c>
      <c r="B142" s="21"/>
      <c r="C142" s="42" t="s">
        <v>19</v>
      </c>
      <c r="D142" s="91">
        <v>0</v>
      </c>
      <c r="E142" s="60">
        <f t="shared" si="69"/>
        <v>188.9</v>
      </c>
      <c r="F142" s="61">
        <f t="shared" si="65"/>
        <v>188.9</v>
      </c>
      <c r="G142" s="89"/>
      <c r="H142" s="89">
        <v>188.9</v>
      </c>
      <c r="I142" s="24"/>
      <c r="J142" s="25"/>
      <c r="K142" s="25">
        <v>188.9</v>
      </c>
      <c r="L142" s="27"/>
      <c r="M142" s="27"/>
      <c r="N142" s="57"/>
      <c r="O142" s="57"/>
      <c r="P142" s="24" t="e">
        <f t="shared" si="39"/>
        <v>#DIV/0!</v>
      </c>
      <c r="Q142" s="24">
        <f t="shared" si="66"/>
        <v>100</v>
      </c>
      <c r="R142" s="24"/>
      <c r="S142" s="25">
        <f t="shared" si="68"/>
        <v>100</v>
      </c>
    </row>
    <row r="143" spans="1:19" ht="12.75">
      <c r="A143" s="28"/>
      <c r="B143" s="29"/>
      <c r="C143" s="30" t="s">
        <v>4</v>
      </c>
      <c r="D143" s="31">
        <f aca="true" t="shared" si="71" ref="D143:K143">D140+D130</f>
        <v>48560</v>
      </c>
      <c r="E143" s="31">
        <f t="shared" si="71"/>
        <v>50075.8</v>
      </c>
      <c r="F143" s="31">
        <f t="shared" si="71"/>
        <v>24733.700000000004</v>
      </c>
      <c r="G143" s="43">
        <f t="shared" si="71"/>
        <v>10959</v>
      </c>
      <c r="H143" s="43">
        <f t="shared" si="71"/>
        <v>13774.7</v>
      </c>
      <c r="I143" s="43">
        <f t="shared" si="71"/>
        <v>13765.6</v>
      </c>
      <c r="J143" s="31">
        <f t="shared" si="71"/>
        <v>11576.5</v>
      </c>
      <c r="K143" s="31">
        <f t="shared" si="71"/>
        <v>28258.6</v>
      </c>
      <c r="L143" s="34" t="e">
        <f>K143/#REF!*100</f>
        <v>#REF!</v>
      </c>
      <c r="M143" s="34">
        <f>K143/I143*100</f>
        <v>205.28418666821642</v>
      </c>
      <c r="N143" s="57"/>
      <c r="O143" s="58" t="e">
        <f>J143+#REF!+#REF!</f>
        <v>#REF!</v>
      </c>
      <c r="P143" s="43">
        <f t="shared" si="39"/>
        <v>244.1031399818598</v>
      </c>
      <c r="Q143" s="43">
        <f t="shared" si="66"/>
        <v>114.25140597646124</v>
      </c>
      <c r="R143" s="43">
        <f t="shared" si="67"/>
        <v>58.19316309719934</v>
      </c>
      <c r="S143" s="31">
        <f t="shared" si="68"/>
        <v>56.43164961917732</v>
      </c>
    </row>
    <row r="144" spans="1:19" ht="12.75">
      <c r="A144" s="170"/>
      <c r="B144" s="171"/>
      <c r="C144" s="171"/>
      <c r="D144" s="171"/>
      <c r="E144" s="171"/>
      <c r="F144" s="171"/>
      <c r="G144" s="171"/>
      <c r="H144" s="171"/>
      <c r="I144" s="171"/>
      <c r="J144" s="171"/>
      <c r="K144" s="171"/>
      <c r="L144" s="171"/>
      <c r="M144" s="172"/>
      <c r="N144" s="57"/>
      <c r="O144" s="57"/>
      <c r="P144" s="56"/>
      <c r="Q144" s="24"/>
      <c r="R144" s="34"/>
      <c r="S144" s="31"/>
    </row>
    <row r="145" spans="1:19" ht="12.75">
      <c r="A145" s="169" t="s">
        <v>32</v>
      </c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64"/>
      <c r="R145" s="34"/>
      <c r="S145" s="31"/>
    </row>
    <row r="146" spans="1:19" ht="12.75">
      <c r="A146" s="32" t="s">
        <v>3</v>
      </c>
      <c r="B146" s="32"/>
      <c r="C146" s="33" t="s">
        <v>68</v>
      </c>
      <c r="D146" s="34">
        <f aca="true" t="shared" si="72" ref="D146:K146">D147+D150+D152+D154+D151+D155+D153+D156+D149+D148</f>
        <v>18757</v>
      </c>
      <c r="E146" s="34">
        <f t="shared" si="72"/>
        <v>18757</v>
      </c>
      <c r="F146" s="34">
        <f t="shared" si="72"/>
        <v>10171.9</v>
      </c>
      <c r="G146" s="34">
        <f t="shared" si="72"/>
        <v>4864.9</v>
      </c>
      <c r="H146" s="34">
        <f t="shared" si="72"/>
        <v>5307</v>
      </c>
      <c r="I146" s="34">
        <f t="shared" si="72"/>
        <v>4394.8</v>
      </c>
      <c r="J146" s="34">
        <f t="shared" si="72"/>
        <v>4190.3</v>
      </c>
      <c r="K146" s="34">
        <f t="shared" si="72"/>
        <v>11227.499999999998</v>
      </c>
      <c r="L146" s="34" t="e">
        <f>K146/#REF!*100</f>
        <v>#REF!</v>
      </c>
      <c r="M146" s="34">
        <f>K146/I146*100</f>
        <v>255.47237644488936</v>
      </c>
      <c r="N146" s="57"/>
      <c r="O146" s="57"/>
      <c r="P146" s="34">
        <f t="shared" si="39"/>
        <v>267.94024294203274</v>
      </c>
      <c r="Q146" s="43">
        <f>K146*100/F146</f>
        <v>110.37760890295813</v>
      </c>
      <c r="R146" s="43">
        <f>K146*100/D146</f>
        <v>59.85765314282666</v>
      </c>
      <c r="S146" s="31">
        <f>K146*100/E146</f>
        <v>59.85765314282666</v>
      </c>
    </row>
    <row r="147" spans="1:19" ht="12.75">
      <c r="A147" s="28" t="s">
        <v>23</v>
      </c>
      <c r="B147" s="28"/>
      <c r="C147" s="35" t="s">
        <v>22</v>
      </c>
      <c r="D147" s="60">
        <v>13150</v>
      </c>
      <c r="E147" s="44">
        <f>G147+H147+I147+J147</f>
        <v>13150</v>
      </c>
      <c r="F147" s="61">
        <f aca="true" t="shared" si="73" ref="F147:F158">G147+H147</f>
        <v>7320</v>
      </c>
      <c r="G147" s="44">
        <v>3300</v>
      </c>
      <c r="H147" s="44">
        <v>4020</v>
      </c>
      <c r="I147" s="24">
        <v>3140</v>
      </c>
      <c r="J147" s="25">
        <v>2690</v>
      </c>
      <c r="K147" s="25">
        <v>8240.8</v>
      </c>
      <c r="L147" s="27" t="e">
        <f>K147/#REF!*100</f>
        <v>#REF!</v>
      </c>
      <c r="M147" s="27">
        <f>K147/I147*100</f>
        <v>262.44585987261144</v>
      </c>
      <c r="N147" s="57"/>
      <c r="O147" s="57"/>
      <c r="P147" s="24">
        <f t="shared" si="39"/>
        <v>306.3494423791821</v>
      </c>
      <c r="Q147" s="24">
        <f aca="true" t="shared" si="74" ref="Q147:Q160">K147*100/F147</f>
        <v>112.57923497267758</v>
      </c>
      <c r="R147" s="24">
        <f aca="true" t="shared" si="75" ref="R147:R160">K147*100/D147</f>
        <v>62.66768060836501</v>
      </c>
      <c r="S147" s="25">
        <f aca="true" t="shared" si="76" ref="S147:S160">K147*100/E147</f>
        <v>62.66768060836501</v>
      </c>
    </row>
    <row r="148" spans="1:19" ht="12.75">
      <c r="A148" s="19" t="s">
        <v>70</v>
      </c>
      <c r="B148" s="19"/>
      <c r="C148" s="35" t="s">
        <v>71</v>
      </c>
      <c r="D148" s="60">
        <v>4215</v>
      </c>
      <c r="E148" s="44">
        <f>G148+H148+I148+J148</f>
        <v>4215</v>
      </c>
      <c r="F148" s="61">
        <f t="shared" si="73"/>
        <v>2109</v>
      </c>
      <c r="G148" s="44">
        <v>1054</v>
      </c>
      <c r="H148" s="44">
        <v>1055</v>
      </c>
      <c r="I148" s="24">
        <v>1054</v>
      </c>
      <c r="J148" s="25">
        <v>1052</v>
      </c>
      <c r="K148" s="25">
        <v>1889.5</v>
      </c>
      <c r="L148" s="27"/>
      <c r="M148" s="27"/>
      <c r="N148" s="57"/>
      <c r="O148" s="57"/>
      <c r="P148" s="24"/>
      <c r="Q148" s="24">
        <f t="shared" si="74"/>
        <v>89.59222380275011</v>
      </c>
      <c r="R148" s="24">
        <f t="shared" si="75"/>
        <v>44.82799525504152</v>
      </c>
      <c r="S148" s="25">
        <f t="shared" si="76"/>
        <v>44.82799525504152</v>
      </c>
    </row>
    <row r="149" spans="1:19" ht="12.75" customHeight="1">
      <c r="A149" s="19" t="s">
        <v>8</v>
      </c>
      <c r="B149" s="19"/>
      <c r="C149" s="35" t="s">
        <v>5</v>
      </c>
      <c r="D149" s="60">
        <v>5</v>
      </c>
      <c r="E149" s="44">
        <f aca="true" t="shared" si="77" ref="E149:E158">G149+H149+I149+J149</f>
        <v>27</v>
      </c>
      <c r="F149" s="61">
        <f t="shared" si="73"/>
        <v>27</v>
      </c>
      <c r="G149" s="44">
        <v>2</v>
      </c>
      <c r="H149" s="44">
        <v>25</v>
      </c>
      <c r="I149" s="24"/>
      <c r="J149" s="25"/>
      <c r="K149" s="25">
        <v>26.8</v>
      </c>
      <c r="L149" s="27"/>
      <c r="M149" s="27"/>
      <c r="N149" s="57"/>
      <c r="O149" s="57"/>
      <c r="P149" s="24" t="e">
        <f t="shared" si="39"/>
        <v>#DIV/0!</v>
      </c>
      <c r="Q149" s="24">
        <f t="shared" si="74"/>
        <v>99.25925925925925</v>
      </c>
      <c r="R149" s="24">
        <f t="shared" si="75"/>
        <v>536</v>
      </c>
      <c r="S149" s="25">
        <f t="shared" si="76"/>
        <v>99.25925925925925</v>
      </c>
    </row>
    <row r="150" spans="1:19" ht="12.75">
      <c r="A150" s="19" t="s">
        <v>9</v>
      </c>
      <c r="B150" s="19"/>
      <c r="C150" s="35" t="s">
        <v>6</v>
      </c>
      <c r="D150" s="60">
        <v>1070</v>
      </c>
      <c r="E150" s="44">
        <f t="shared" si="77"/>
        <v>1048</v>
      </c>
      <c r="F150" s="61">
        <f t="shared" si="73"/>
        <v>558.9</v>
      </c>
      <c r="G150" s="44">
        <v>426.9</v>
      </c>
      <c r="H150" s="44">
        <v>132</v>
      </c>
      <c r="I150" s="24">
        <v>127.8</v>
      </c>
      <c r="J150" s="25">
        <v>361.3</v>
      </c>
      <c r="K150" s="25">
        <v>849</v>
      </c>
      <c r="L150" s="27" t="e">
        <f>K150/#REF!*100</f>
        <v>#REF!</v>
      </c>
      <c r="M150" s="27">
        <f>K150/I150*100</f>
        <v>664.3192488262911</v>
      </c>
      <c r="N150" s="57"/>
      <c r="O150" s="57"/>
      <c r="P150" s="24">
        <f t="shared" si="39"/>
        <v>234.98477719346803</v>
      </c>
      <c r="Q150" s="24">
        <f t="shared" si="74"/>
        <v>151.90552871712293</v>
      </c>
      <c r="R150" s="24">
        <f t="shared" si="75"/>
        <v>79.34579439252336</v>
      </c>
      <c r="S150" s="25">
        <f t="shared" si="76"/>
        <v>81.0114503816794</v>
      </c>
    </row>
    <row r="151" spans="1:19" ht="12.75">
      <c r="A151" s="19" t="s">
        <v>10</v>
      </c>
      <c r="B151" s="19"/>
      <c r="C151" s="35" t="s">
        <v>21</v>
      </c>
      <c r="D151" s="60">
        <v>161</v>
      </c>
      <c r="E151" s="44">
        <f t="shared" si="77"/>
        <v>161</v>
      </c>
      <c r="F151" s="61">
        <f t="shared" si="73"/>
        <v>79</v>
      </c>
      <c r="G151" s="44">
        <v>43</v>
      </c>
      <c r="H151" s="44">
        <v>36</v>
      </c>
      <c r="I151" s="24">
        <v>34</v>
      </c>
      <c r="J151" s="25">
        <v>48</v>
      </c>
      <c r="K151" s="25">
        <v>90</v>
      </c>
      <c r="L151" s="27" t="e">
        <f>K151/#REF!*100</f>
        <v>#REF!</v>
      </c>
      <c r="M151" s="27">
        <f>K151/I151*100</f>
        <v>264.70588235294116</v>
      </c>
      <c r="N151" s="57"/>
      <c r="O151" s="57"/>
      <c r="P151" s="24">
        <f t="shared" si="39"/>
        <v>187.5</v>
      </c>
      <c r="Q151" s="24">
        <f t="shared" si="74"/>
        <v>113.92405063291139</v>
      </c>
      <c r="R151" s="24">
        <f t="shared" si="75"/>
        <v>55.900621118012424</v>
      </c>
      <c r="S151" s="25">
        <f t="shared" si="76"/>
        <v>55.900621118012424</v>
      </c>
    </row>
    <row r="152" spans="1:19" ht="24">
      <c r="A152" s="20" t="s">
        <v>11</v>
      </c>
      <c r="B152" s="20"/>
      <c r="C152" s="35" t="s">
        <v>17</v>
      </c>
      <c r="D152" s="60">
        <v>156</v>
      </c>
      <c r="E152" s="44">
        <f t="shared" si="77"/>
        <v>156</v>
      </c>
      <c r="F152" s="61">
        <f t="shared" si="73"/>
        <v>78</v>
      </c>
      <c r="G152" s="44">
        <v>39</v>
      </c>
      <c r="H152" s="44">
        <v>39</v>
      </c>
      <c r="I152" s="24">
        <v>39</v>
      </c>
      <c r="J152" s="25">
        <v>39</v>
      </c>
      <c r="K152" s="25">
        <v>130.4</v>
      </c>
      <c r="L152" s="27" t="e">
        <f>K152/#REF!*100</f>
        <v>#REF!</v>
      </c>
      <c r="M152" s="27">
        <f>K152/I152*100</f>
        <v>334.35897435897436</v>
      </c>
      <c r="N152" s="57"/>
      <c r="O152" s="57"/>
      <c r="P152" s="24">
        <f t="shared" si="39"/>
        <v>334.35897435897436</v>
      </c>
      <c r="Q152" s="24">
        <f t="shared" si="74"/>
        <v>167.17948717948718</v>
      </c>
      <c r="R152" s="24">
        <f t="shared" si="75"/>
        <v>83.58974358974359</v>
      </c>
      <c r="S152" s="25">
        <f t="shared" si="76"/>
        <v>83.58974358974359</v>
      </c>
    </row>
    <row r="153" spans="1:19" ht="18" customHeight="1">
      <c r="A153" s="37" t="s">
        <v>42</v>
      </c>
      <c r="B153" s="37"/>
      <c r="C153" s="35" t="s">
        <v>43</v>
      </c>
      <c r="D153" s="60"/>
      <c r="E153" s="44">
        <f t="shared" si="77"/>
        <v>0</v>
      </c>
      <c r="F153" s="61">
        <f t="shared" si="73"/>
        <v>0</v>
      </c>
      <c r="G153" s="44"/>
      <c r="H153" s="44"/>
      <c r="I153" s="24"/>
      <c r="J153" s="25"/>
      <c r="K153" s="25">
        <v>1</v>
      </c>
      <c r="L153" s="27"/>
      <c r="M153" s="27"/>
      <c r="N153" s="57"/>
      <c r="O153" s="57"/>
      <c r="P153" s="24" t="e">
        <f aca="true" t="shared" si="78" ref="P153:P220">K153*100/J153</f>
        <v>#DIV/0!</v>
      </c>
      <c r="Q153" s="24"/>
      <c r="R153" s="24"/>
      <c r="S153" s="25"/>
    </row>
    <row r="154" spans="1:19" ht="15" customHeight="1" hidden="1">
      <c r="A154" s="36" t="s">
        <v>18</v>
      </c>
      <c r="B154" s="36"/>
      <c r="C154" s="35" t="s">
        <v>15</v>
      </c>
      <c r="D154" s="60"/>
      <c r="E154" s="44">
        <f t="shared" si="77"/>
        <v>0</v>
      </c>
      <c r="F154" s="61">
        <f t="shared" si="73"/>
        <v>0</v>
      </c>
      <c r="G154" s="44"/>
      <c r="H154" s="44"/>
      <c r="I154" s="24"/>
      <c r="J154" s="25"/>
      <c r="K154" s="25"/>
      <c r="L154" s="27" t="e">
        <f>K154/#REF!*100</f>
        <v>#REF!</v>
      </c>
      <c r="M154" s="27" t="e">
        <f>K154/I154*100</f>
        <v>#DIV/0!</v>
      </c>
      <c r="N154" s="57"/>
      <c r="O154" s="57"/>
      <c r="P154" s="24" t="e">
        <f t="shared" si="78"/>
        <v>#DIV/0!</v>
      </c>
      <c r="Q154" s="24" t="e">
        <f t="shared" si="74"/>
        <v>#DIV/0!</v>
      </c>
      <c r="R154" s="24" t="e">
        <f t="shared" si="75"/>
        <v>#DIV/0!</v>
      </c>
      <c r="S154" s="25" t="e">
        <f t="shared" si="76"/>
        <v>#DIV/0!</v>
      </c>
    </row>
    <row r="155" spans="1:19" ht="15.75" customHeight="1" hidden="1">
      <c r="A155" s="28" t="s">
        <v>12</v>
      </c>
      <c r="B155" s="28"/>
      <c r="C155" s="35" t="s">
        <v>7</v>
      </c>
      <c r="D155" s="60"/>
      <c r="E155" s="44">
        <f t="shared" si="77"/>
        <v>0</v>
      </c>
      <c r="F155" s="61">
        <f t="shared" si="73"/>
        <v>0</v>
      </c>
      <c r="G155" s="44"/>
      <c r="H155" s="44"/>
      <c r="I155" s="24"/>
      <c r="J155" s="25"/>
      <c r="K155" s="25"/>
      <c r="L155" s="27" t="e">
        <f>K155/#REF!*100</f>
        <v>#REF!</v>
      </c>
      <c r="M155" s="27"/>
      <c r="N155" s="57"/>
      <c r="O155" s="57"/>
      <c r="P155" s="24" t="e">
        <f t="shared" si="78"/>
        <v>#DIV/0!</v>
      </c>
      <c r="Q155" s="24"/>
      <c r="R155" s="24"/>
      <c r="S155" s="25"/>
    </row>
    <row r="156" spans="1:19" ht="16.5" customHeight="1">
      <c r="A156" s="36" t="s">
        <v>39</v>
      </c>
      <c r="B156" s="92"/>
      <c r="C156" s="23" t="s">
        <v>40</v>
      </c>
      <c r="D156" s="66">
        <v>0</v>
      </c>
      <c r="E156" s="44">
        <f t="shared" si="77"/>
        <v>0</v>
      </c>
      <c r="F156" s="61">
        <f t="shared" si="73"/>
        <v>0</v>
      </c>
      <c r="G156" s="44"/>
      <c r="H156" s="44"/>
      <c r="I156" s="24"/>
      <c r="J156" s="25"/>
      <c r="K156" s="25"/>
      <c r="L156" s="27"/>
      <c r="M156" s="27"/>
      <c r="N156" s="57"/>
      <c r="O156" s="57"/>
      <c r="P156" s="24" t="e">
        <f t="shared" si="78"/>
        <v>#DIV/0!</v>
      </c>
      <c r="Q156" s="24"/>
      <c r="R156" s="24"/>
      <c r="S156" s="25"/>
    </row>
    <row r="157" spans="1:19" ht="12.75">
      <c r="A157" s="32" t="s">
        <v>1</v>
      </c>
      <c r="B157" s="32"/>
      <c r="C157" s="39" t="s">
        <v>0</v>
      </c>
      <c r="D157" s="40">
        <f>D158+D159</f>
        <v>29644.3</v>
      </c>
      <c r="E157" s="40">
        <f>E158+E159</f>
        <v>31201.899999999998</v>
      </c>
      <c r="F157" s="40">
        <f aca="true" t="shared" si="79" ref="F157:K157">F158+F159</f>
        <v>14236.8</v>
      </c>
      <c r="G157" s="40">
        <f t="shared" si="79"/>
        <v>5470.3</v>
      </c>
      <c r="H157" s="40">
        <f t="shared" si="79"/>
        <v>8766.5</v>
      </c>
      <c r="I157" s="40">
        <f t="shared" si="79"/>
        <v>10743.8</v>
      </c>
      <c r="J157" s="40">
        <f t="shared" si="79"/>
        <v>6221.3</v>
      </c>
      <c r="K157" s="40">
        <f t="shared" si="79"/>
        <v>16641.3</v>
      </c>
      <c r="L157" s="34" t="e">
        <f>K157/#REF!*100</f>
        <v>#REF!</v>
      </c>
      <c r="M157" s="34">
        <f>K157/I157*100</f>
        <v>154.89212382955753</v>
      </c>
      <c r="N157" s="57"/>
      <c r="O157" s="57"/>
      <c r="P157" s="43">
        <f t="shared" si="78"/>
        <v>267.4891099930883</v>
      </c>
      <c r="Q157" s="43">
        <f t="shared" si="74"/>
        <v>116.88932906271073</v>
      </c>
      <c r="R157" s="43">
        <f t="shared" si="75"/>
        <v>56.13659286945551</v>
      </c>
      <c r="S157" s="31">
        <f t="shared" si="76"/>
        <v>53.33425208080278</v>
      </c>
    </row>
    <row r="158" spans="1:19" ht="24">
      <c r="A158" s="21" t="s">
        <v>67</v>
      </c>
      <c r="B158" s="19"/>
      <c r="C158" s="41" t="s">
        <v>20</v>
      </c>
      <c r="D158" s="44">
        <v>29644.3</v>
      </c>
      <c r="E158" s="44">
        <f t="shared" si="77"/>
        <v>31201.899999999998</v>
      </c>
      <c r="F158" s="61">
        <f t="shared" si="73"/>
        <v>14236.8</v>
      </c>
      <c r="G158" s="44">
        <v>5470.3</v>
      </c>
      <c r="H158" s="44">
        <v>8766.5</v>
      </c>
      <c r="I158" s="24">
        <f>9566.4+1177.4</f>
        <v>10743.8</v>
      </c>
      <c r="J158" s="25">
        <v>6221.3</v>
      </c>
      <c r="K158" s="25">
        <v>16641.3</v>
      </c>
      <c r="L158" s="27" t="e">
        <f>K158/#REF!*100</f>
        <v>#REF!</v>
      </c>
      <c r="M158" s="27">
        <f>K158/I158*100</f>
        <v>154.89212382955753</v>
      </c>
      <c r="N158" s="57"/>
      <c r="O158" s="57"/>
      <c r="P158" s="24">
        <f t="shared" si="78"/>
        <v>267.4891099930883</v>
      </c>
      <c r="Q158" s="24">
        <f t="shared" si="74"/>
        <v>116.88932906271073</v>
      </c>
      <c r="R158" s="24">
        <f t="shared" si="75"/>
        <v>56.13659286945551</v>
      </c>
      <c r="S158" s="25">
        <f t="shared" si="76"/>
        <v>53.33425208080278</v>
      </c>
    </row>
    <row r="159" spans="1:19" ht="12.75" hidden="1">
      <c r="A159" s="21" t="s">
        <v>2</v>
      </c>
      <c r="B159" s="21"/>
      <c r="C159" s="42" t="s">
        <v>19</v>
      </c>
      <c r="D159" s="42"/>
      <c r="E159" s="44">
        <f>G159+H159+I159+J159</f>
        <v>0</v>
      </c>
      <c r="F159" s="60">
        <f>G159</f>
        <v>0</v>
      </c>
      <c r="G159" s="44"/>
      <c r="H159" s="44"/>
      <c r="I159" s="24"/>
      <c r="J159" s="25"/>
      <c r="K159" s="25"/>
      <c r="L159" s="27"/>
      <c r="M159" s="27"/>
      <c r="N159" s="57"/>
      <c r="O159" s="57"/>
      <c r="P159" s="24"/>
      <c r="Q159" s="43" t="e">
        <f t="shared" si="74"/>
        <v>#DIV/0!</v>
      </c>
      <c r="R159" s="43" t="e">
        <f t="shared" si="75"/>
        <v>#DIV/0!</v>
      </c>
      <c r="S159" s="31" t="e">
        <f t="shared" si="76"/>
        <v>#DIV/0!</v>
      </c>
    </row>
    <row r="160" spans="1:19" ht="12.75">
      <c r="A160" s="28"/>
      <c r="B160" s="29"/>
      <c r="C160" s="30" t="s">
        <v>4</v>
      </c>
      <c r="D160" s="31">
        <f aca="true" t="shared" si="80" ref="D160:K160">D157+D146</f>
        <v>48401.3</v>
      </c>
      <c r="E160" s="31">
        <f t="shared" si="80"/>
        <v>49958.899999999994</v>
      </c>
      <c r="F160" s="31">
        <f t="shared" si="80"/>
        <v>24408.699999999997</v>
      </c>
      <c r="G160" s="31">
        <f t="shared" si="80"/>
        <v>10335.2</v>
      </c>
      <c r="H160" s="31">
        <f t="shared" si="80"/>
        <v>14073.5</v>
      </c>
      <c r="I160" s="31">
        <f t="shared" si="80"/>
        <v>15138.599999999999</v>
      </c>
      <c r="J160" s="31">
        <f t="shared" si="80"/>
        <v>10411.6</v>
      </c>
      <c r="K160" s="31">
        <f t="shared" si="80"/>
        <v>27868.799999999996</v>
      </c>
      <c r="L160" s="34" t="e">
        <f>K160/#REF!*100</f>
        <v>#REF!</v>
      </c>
      <c r="M160" s="34">
        <f>K160/I160*100</f>
        <v>184.09099916769054</v>
      </c>
      <c r="N160" s="57"/>
      <c r="O160" s="58" t="e">
        <f>J160+#REF!+#REF!</f>
        <v>#REF!</v>
      </c>
      <c r="P160" s="43">
        <f t="shared" si="78"/>
        <v>267.6706750163279</v>
      </c>
      <c r="Q160" s="43">
        <f t="shared" si="74"/>
        <v>114.17568326047679</v>
      </c>
      <c r="R160" s="43">
        <f t="shared" si="75"/>
        <v>57.57861875610778</v>
      </c>
      <c r="S160" s="31">
        <f t="shared" si="76"/>
        <v>55.78345399918733</v>
      </c>
    </row>
    <row r="161" spans="1:19" ht="12.75">
      <c r="A161" s="174"/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6"/>
      <c r="N161" s="57"/>
      <c r="O161" s="57"/>
      <c r="P161" s="56"/>
      <c r="Q161" s="24"/>
      <c r="R161" s="34"/>
      <c r="S161" s="31"/>
    </row>
    <row r="162" spans="1:19" ht="12.75">
      <c r="A162" s="169" t="s">
        <v>33</v>
      </c>
      <c r="B162" s="169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64"/>
      <c r="R162" s="34"/>
      <c r="S162" s="31"/>
    </row>
    <row r="163" spans="1:19" ht="12.75">
      <c r="A163" s="32" t="s">
        <v>3</v>
      </c>
      <c r="B163" s="32"/>
      <c r="C163" s="33" t="s">
        <v>68</v>
      </c>
      <c r="D163" s="34">
        <f>D164+D167+D168+D169+D171+D172+D173+D170+D165+D166</f>
        <v>6218</v>
      </c>
      <c r="E163" s="34">
        <f>E164+E167+E168+E169+E171+E172+E173+E170+E165+E166</f>
        <v>6986</v>
      </c>
      <c r="F163" s="34">
        <f aca="true" t="shared" si="81" ref="F163:P163">F164+F167+F168+F169+F171+F172+F173+F170+F165+F166</f>
        <v>3755</v>
      </c>
      <c r="G163" s="34">
        <f t="shared" si="81"/>
        <v>1369.5</v>
      </c>
      <c r="H163" s="34">
        <f t="shared" si="81"/>
        <v>2385.5</v>
      </c>
      <c r="I163" s="34">
        <f t="shared" si="81"/>
        <v>1527.5</v>
      </c>
      <c r="J163" s="34">
        <f t="shared" si="81"/>
        <v>1703.5</v>
      </c>
      <c r="K163" s="34">
        <f t="shared" si="81"/>
        <v>3068.9</v>
      </c>
      <c r="L163" s="34" t="e">
        <f t="shared" si="81"/>
        <v>#REF!</v>
      </c>
      <c r="M163" s="34" t="e">
        <f t="shared" si="81"/>
        <v>#DIV/0!</v>
      </c>
      <c r="N163" s="34">
        <f t="shared" si="81"/>
        <v>0</v>
      </c>
      <c r="O163" s="34">
        <f t="shared" si="81"/>
        <v>0</v>
      </c>
      <c r="P163" s="34" t="e">
        <f t="shared" si="81"/>
        <v>#DIV/0!</v>
      </c>
      <c r="Q163" s="43">
        <f>K163*100/F163</f>
        <v>81.728362183755</v>
      </c>
      <c r="R163" s="43">
        <f>K163*100/D163</f>
        <v>49.35509810228369</v>
      </c>
      <c r="S163" s="31">
        <f>K163*100/E163</f>
        <v>43.92928714572001</v>
      </c>
    </row>
    <row r="164" spans="1:19" ht="12.75">
      <c r="A164" s="28" t="s">
        <v>23</v>
      </c>
      <c r="B164" s="28"/>
      <c r="C164" s="35" t="s">
        <v>22</v>
      </c>
      <c r="D164" s="60">
        <v>2762</v>
      </c>
      <c r="E164" s="44">
        <f>G164+H164+I164+J164</f>
        <v>2762</v>
      </c>
      <c r="F164" s="61">
        <f aca="true" t="shared" si="82" ref="F164:F175">G164+H164</f>
        <v>1312</v>
      </c>
      <c r="G164" s="60">
        <v>512</v>
      </c>
      <c r="H164" s="60">
        <v>800</v>
      </c>
      <c r="I164" s="24">
        <v>700</v>
      </c>
      <c r="J164" s="25">
        <v>750</v>
      </c>
      <c r="K164" s="25">
        <v>1981.6</v>
      </c>
      <c r="L164" s="27" t="e">
        <f>K164/#REF!*100</f>
        <v>#REF!</v>
      </c>
      <c r="M164" s="27">
        <f aca="true" t="shared" si="83" ref="M164:M171">K164/I164*100</f>
        <v>283.08571428571423</v>
      </c>
      <c r="N164" s="57"/>
      <c r="O164" s="57"/>
      <c r="P164" s="24">
        <f t="shared" si="78"/>
        <v>264.2133333333333</v>
      </c>
      <c r="Q164" s="24">
        <f aca="true" t="shared" si="84" ref="Q164:Q177">K164*100/F164</f>
        <v>151.03658536585365</v>
      </c>
      <c r="R164" s="24">
        <f aca="true" t="shared" si="85" ref="R164:R177">K164*100/D164</f>
        <v>71.74511223750905</v>
      </c>
      <c r="S164" s="25">
        <f aca="true" t="shared" si="86" ref="S164:S177">K164*100/E164</f>
        <v>71.74511223750905</v>
      </c>
    </row>
    <row r="165" spans="1:19" ht="12.75">
      <c r="A165" s="19" t="s">
        <v>70</v>
      </c>
      <c r="B165" s="19"/>
      <c r="C165" s="35" t="s">
        <v>71</v>
      </c>
      <c r="D165" s="60">
        <v>2899</v>
      </c>
      <c r="E165" s="44">
        <f>G165+H165+I165+J165</f>
        <v>2499</v>
      </c>
      <c r="F165" s="61">
        <f t="shared" si="82"/>
        <v>1049</v>
      </c>
      <c r="G165" s="60">
        <v>724.5</v>
      </c>
      <c r="H165" s="60">
        <v>324.5</v>
      </c>
      <c r="I165" s="24">
        <v>724.5</v>
      </c>
      <c r="J165" s="25">
        <v>725.5</v>
      </c>
      <c r="K165" s="25">
        <v>1299.7</v>
      </c>
      <c r="L165" s="27"/>
      <c r="M165" s="27"/>
      <c r="N165" s="57"/>
      <c r="O165" s="57"/>
      <c r="P165" s="24"/>
      <c r="Q165" s="24">
        <f t="shared" si="84"/>
        <v>123.89895138226883</v>
      </c>
      <c r="R165" s="24">
        <f t="shared" si="85"/>
        <v>44.83270093135564</v>
      </c>
      <c r="S165" s="25">
        <f t="shared" si="86"/>
        <v>52.008803521408566</v>
      </c>
    </row>
    <row r="166" spans="1:19" ht="12.75">
      <c r="A166" s="19" t="s">
        <v>8</v>
      </c>
      <c r="B166" s="19"/>
      <c r="C166" s="35" t="s">
        <v>5</v>
      </c>
      <c r="D166" s="60">
        <v>0</v>
      </c>
      <c r="E166" s="44">
        <f>G166+H166+I166+J166</f>
        <v>38</v>
      </c>
      <c r="F166" s="61">
        <f t="shared" si="82"/>
        <v>38</v>
      </c>
      <c r="G166" s="60"/>
      <c r="H166" s="60">
        <v>38</v>
      </c>
      <c r="I166" s="24"/>
      <c r="J166" s="25"/>
      <c r="K166" s="25">
        <v>39</v>
      </c>
      <c r="L166" s="27"/>
      <c r="M166" s="27"/>
      <c r="N166" s="57"/>
      <c r="O166" s="57"/>
      <c r="P166" s="24"/>
      <c r="Q166" s="24">
        <f t="shared" si="84"/>
        <v>102.63157894736842</v>
      </c>
      <c r="R166" s="24"/>
      <c r="S166" s="25">
        <f t="shared" si="86"/>
        <v>102.63157894736842</v>
      </c>
    </row>
    <row r="167" spans="1:19" ht="12.75">
      <c r="A167" s="19" t="s">
        <v>9</v>
      </c>
      <c r="B167" s="19"/>
      <c r="C167" s="35" t="s">
        <v>6</v>
      </c>
      <c r="D167" s="60">
        <v>395</v>
      </c>
      <c r="E167" s="44">
        <f>G167+H167+I167+J167</f>
        <v>1395</v>
      </c>
      <c r="F167" s="61">
        <f t="shared" si="82"/>
        <v>1145</v>
      </c>
      <c r="G167" s="60">
        <v>45</v>
      </c>
      <c r="H167" s="60">
        <v>1100</v>
      </c>
      <c r="I167" s="24">
        <v>70</v>
      </c>
      <c r="J167" s="25">
        <v>180</v>
      </c>
      <c r="K167" s="25">
        <v>-494.1</v>
      </c>
      <c r="L167" s="27" t="e">
        <f>K167/#REF!*100</f>
        <v>#REF!</v>
      </c>
      <c r="M167" s="27">
        <f t="shared" si="83"/>
        <v>-705.8571428571429</v>
      </c>
      <c r="N167" s="57"/>
      <c r="O167" s="57"/>
      <c r="P167" s="24">
        <f t="shared" si="78"/>
        <v>-274.5</v>
      </c>
      <c r="Q167" s="24">
        <f t="shared" si="84"/>
        <v>-43.1528384279476</v>
      </c>
      <c r="R167" s="24">
        <f t="shared" si="85"/>
        <v>-125.0886075949367</v>
      </c>
      <c r="S167" s="25">
        <f t="shared" si="86"/>
        <v>-35.41935483870968</v>
      </c>
    </row>
    <row r="168" spans="1:19" ht="12.75">
      <c r="A168" s="19" t="s">
        <v>10</v>
      </c>
      <c r="B168" s="19"/>
      <c r="C168" s="35" t="s">
        <v>21</v>
      </c>
      <c r="D168" s="60">
        <v>40</v>
      </c>
      <c r="E168" s="44">
        <f aca="true" t="shared" si="87" ref="E168:E175">G168+H168+I168+J168</f>
        <v>40</v>
      </c>
      <c r="F168" s="61">
        <f t="shared" si="82"/>
        <v>20</v>
      </c>
      <c r="G168" s="60">
        <v>10</v>
      </c>
      <c r="H168" s="60">
        <v>10</v>
      </c>
      <c r="I168" s="24">
        <v>10</v>
      </c>
      <c r="J168" s="25">
        <v>10</v>
      </c>
      <c r="K168" s="25">
        <v>14.9</v>
      </c>
      <c r="L168" s="27" t="e">
        <f>K168/#REF!*100</f>
        <v>#REF!</v>
      </c>
      <c r="M168" s="27">
        <f t="shared" si="83"/>
        <v>149</v>
      </c>
      <c r="N168" s="57"/>
      <c r="O168" s="57"/>
      <c r="P168" s="24">
        <f t="shared" si="78"/>
        <v>149</v>
      </c>
      <c r="Q168" s="24">
        <f t="shared" si="84"/>
        <v>74.5</v>
      </c>
      <c r="R168" s="24">
        <f t="shared" si="85"/>
        <v>37.25</v>
      </c>
      <c r="S168" s="25">
        <f t="shared" si="86"/>
        <v>37.25</v>
      </c>
    </row>
    <row r="169" spans="1:19" ht="24">
      <c r="A169" s="20" t="s">
        <v>11</v>
      </c>
      <c r="B169" s="20"/>
      <c r="C169" s="35" t="s">
        <v>17</v>
      </c>
      <c r="D169" s="60">
        <v>52</v>
      </c>
      <c r="E169" s="44">
        <f t="shared" si="87"/>
        <v>52</v>
      </c>
      <c r="F169" s="61">
        <f t="shared" si="82"/>
        <v>24</v>
      </c>
      <c r="G169" s="60">
        <v>12</v>
      </c>
      <c r="H169" s="60">
        <v>12</v>
      </c>
      <c r="I169" s="24">
        <v>13</v>
      </c>
      <c r="J169" s="25">
        <v>15</v>
      </c>
      <c r="K169" s="25">
        <v>46.2</v>
      </c>
      <c r="L169" s="27" t="e">
        <f>K169/#REF!*100</f>
        <v>#REF!</v>
      </c>
      <c r="M169" s="27">
        <f t="shared" si="83"/>
        <v>355.3846153846154</v>
      </c>
      <c r="N169" s="57"/>
      <c r="O169" s="57"/>
      <c r="P169" s="24">
        <f t="shared" si="78"/>
        <v>308</v>
      </c>
      <c r="Q169" s="24">
        <f t="shared" si="84"/>
        <v>192.5</v>
      </c>
      <c r="R169" s="24">
        <f t="shared" si="85"/>
        <v>88.84615384615384</v>
      </c>
      <c r="S169" s="25">
        <f t="shared" si="86"/>
        <v>88.84615384615384</v>
      </c>
    </row>
    <row r="170" spans="1:19" ht="24">
      <c r="A170" s="37" t="s">
        <v>42</v>
      </c>
      <c r="B170" s="37"/>
      <c r="C170" s="35" t="s">
        <v>43</v>
      </c>
      <c r="D170" s="60">
        <v>70</v>
      </c>
      <c r="E170" s="44">
        <f t="shared" si="87"/>
        <v>70</v>
      </c>
      <c r="F170" s="61">
        <f t="shared" si="82"/>
        <v>37</v>
      </c>
      <c r="G170" s="60">
        <v>20</v>
      </c>
      <c r="H170" s="60">
        <v>17</v>
      </c>
      <c r="I170" s="24">
        <v>10</v>
      </c>
      <c r="J170" s="25">
        <v>23</v>
      </c>
      <c r="K170" s="25">
        <v>50.8</v>
      </c>
      <c r="L170" s="27" t="e">
        <f>K170/#REF!*100</f>
        <v>#REF!</v>
      </c>
      <c r="M170" s="27">
        <f t="shared" si="83"/>
        <v>508</v>
      </c>
      <c r="N170" s="57"/>
      <c r="O170" s="57"/>
      <c r="P170" s="24">
        <f t="shared" si="78"/>
        <v>220.8695652173913</v>
      </c>
      <c r="Q170" s="24">
        <f t="shared" si="84"/>
        <v>137.2972972972973</v>
      </c>
      <c r="R170" s="24">
        <f t="shared" si="85"/>
        <v>72.57142857142857</v>
      </c>
      <c r="S170" s="25">
        <f t="shared" si="86"/>
        <v>72.57142857142857</v>
      </c>
    </row>
    <row r="171" spans="1:19" ht="12.75">
      <c r="A171" s="36" t="s">
        <v>18</v>
      </c>
      <c r="B171" s="36"/>
      <c r="C171" s="35" t="s">
        <v>15</v>
      </c>
      <c r="D171" s="60">
        <v>0</v>
      </c>
      <c r="E171" s="44">
        <f t="shared" si="87"/>
        <v>130</v>
      </c>
      <c r="F171" s="61">
        <f t="shared" si="82"/>
        <v>130</v>
      </c>
      <c r="G171" s="60">
        <v>46</v>
      </c>
      <c r="H171" s="60">
        <v>84</v>
      </c>
      <c r="I171" s="24"/>
      <c r="J171" s="25"/>
      <c r="K171" s="25">
        <v>130.8</v>
      </c>
      <c r="L171" s="27" t="e">
        <f>K171/#REF!*100</f>
        <v>#REF!</v>
      </c>
      <c r="M171" s="27" t="e">
        <f t="shared" si="83"/>
        <v>#DIV/0!</v>
      </c>
      <c r="N171" s="57"/>
      <c r="O171" s="57"/>
      <c r="P171" s="24" t="e">
        <f t="shared" si="78"/>
        <v>#DIV/0!</v>
      </c>
      <c r="Q171" s="24">
        <f t="shared" si="84"/>
        <v>100.61538461538463</v>
      </c>
      <c r="R171" s="24"/>
      <c r="S171" s="25">
        <f t="shared" si="86"/>
        <v>100.61538461538463</v>
      </c>
    </row>
    <row r="172" spans="1:19" ht="12.75" hidden="1">
      <c r="A172" s="28" t="s">
        <v>12</v>
      </c>
      <c r="B172" s="28"/>
      <c r="C172" s="35" t="s">
        <v>7</v>
      </c>
      <c r="D172" s="60"/>
      <c r="E172" s="44">
        <f t="shared" si="87"/>
        <v>0</v>
      </c>
      <c r="F172" s="61">
        <f t="shared" si="82"/>
        <v>0</v>
      </c>
      <c r="G172" s="60"/>
      <c r="H172" s="60"/>
      <c r="I172" s="24"/>
      <c r="J172" s="25"/>
      <c r="K172" s="25"/>
      <c r="L172" s="27"/>
      <c r="M172" s="27"/>
      <c r="N172" s="57"/>
      <c r="O172" s="57"/>
      <c r="P172" s="24" t="e">
        <f t="shared" si="78"/>
        <v>#DIV/0!</v>
      </c>
      <c r="Q172" s="24" t="e">
        <f t="shared" si="84"/>
        <v>#DIV/0!</v>
      </c>
      <c r="R172" s="24" t="e">
        <f t="shared" si="85"/>
        <v>#DIV/0!</v>
      </c>
      <c r="S172" s="25" t="e">
        <f t="shared" si="86"/>
        <v>#DIV/0!</v>
      </c>
    </row>
    <row r="173" spans="1:19" ht="14.25" customHeight="1">
      <c r="A173" s="81" t="s">
        <v>39</v>
      </c>
      <c r="B173" s="74"/>
      <c r="C173" s="23" t="s">
        <v>40</v>
      </c>
      <c r="D173" s="66">
        <v>0</v>
      </c>
      <c r="E173" s="44">
        <f t="shared" si="87"/>
        <v>0</v>
      </c>
      <c r="F173" s="61">
        <f t="shared" si="82"/>
        <v>0</v>
      </c>
      <c r="G173" s="60"/>
      <c r="H173" s="60"/>
      <c r="I173" s="24"/>
      <c r="J173" s="25"/>
      <c r="K173" s="25"/>
      <c r="L173" s="27"/>
      <c r="M173" s="27"/>
      <c r="N173" s="57"/>
      <c r="O173" s="57"/>
      <c r="P173" s="24" t="e">
        <f t="shared" si="78"/>
        <v>#DIV/0!</v>
      </c>
      <c r="Q173" s="24"/>
      <c r="R173" s="24"/>
      <c r="S173" s="25"/>
    </row>
    <row r="174" spans="1:19" ht="12.75">
      <c r="A174" s="32" t="s">
        <v>1</v>
      </c>
      <c r="B174" s="32"/>
      <c r="C174" s="39" t="s">
        <v>0</v>
      </c>
      <c r="D174" s="40">
        <f aca="true" t="shared" si="88" ref="D174:K174">D175+D176</f>
        <v>23994.3</v>
      </c>
      <c r="E174" s="40">
        <f t="shared" si="88"/>
        <v>24647.600000000002</v>
      </c>
      <c r="F174" s="62">
        <f t="shared" si="88"/>
        <v>12582.2</v>
      </c>
      <c r="G174" s="62">
        <f t="shared" si="88"/>
        <v>4930.6</v>
      </c>
      <c r="H174" s="62">
        <f t="shared" si="88"/>
        <v>7651.6</v>
      </c>
      <c r="I174" s="40">
        <f t="shared" si="88"/>
        <v>6068.2</v>
      </c>
      <c r="J174" s="40">
        <f t="shared" si="88"/>
        <v>5997.2</v>
      </c>
      <c r="K174" s="40">
        <f t="shared" si="88"/>
        <v>14768.5</v>
      </c>
      <c r="L174" s="34" t="e">
        <f>K174/#REF!*100</f>
        <v>#REF!</v>
      </c>
      <c r="M174" s="34">
        <f>K174/I174*100</f>
        <v>243.37530074816254</v>
      </c>
      <c r="N174" s="57"/>
      <c r="O174" s="57"/>
      <c r="P174" s="43">
        <f t="shared" si="78"/>
        <v>246.25658640698992</v>
      </c>
      <c r="Q174" s="43">
        <f t="shared" si="84"/>
        <v>117.37613453926976</v>
      </c>
      <c r="R174" s="43">
        <f t="shared" si="85"/>
        <v>61.55003479993165</v>
      </c>
      <c r="S174" s="31">
        <f t="shared" si="86"/>
        <v>59.91861276554309</v>
      </c>
    </row>
    <row r="175" spans="1:19" ht="24">
      <c r="A175" s="21" t="s">
        <v>67</v>
      </c>
      <c r="B175" s="19"/>
      <c r="C175" s="41" t="s">
        <v>20</v>
      </c>
      <c r="D175" s="44">
        <v>23994.3</v>
      </c>
      <c r="E175" s="44">
        <f t="shared" si="87"/>
        <v>24647.600000000002</v>
      </c>
      <c r="F175" s="61">
        <f t="shared" si="82"/>
        <v>12582.2</v>
      </c>
      <c r="G175" s="60">
        <v>4930.6</v>
      </c>
      <c r="H175" s="60">
        <v>7651.6</v>
      </c>
      <c r="I175" s="24">
        <f>5980.2+88</f>
        <v>6068.2</v>
      </c>
      <c r="J175" s="25">
        <v>5997.2</v>
      </c>
      <c r="K175" s="25">
        <v>14768.5</v>
      </c>
      <c r="L175" s="27" t="e">
        <f>K175/#REF!*100</f>
        <v>#REF!</v>
      </c>
      <c r="M175" s="27">
        <f>K175/I175*100</f>
        <v>243.37530074816254</v>
      </c>
      <c r="N175" s="57"/>
      <c r="O175" s="57"/>
      <c r="P175" s="24">
        <f t="shared" si="78"/>
        <v>246.25658640698992</v>
      </c>
      <c r="Q175" s="24">
        <f t="shared" si="84"/>
        <v>117.37613453926976</v>
      </c>
      <c r="R175" s="24">
        <f t="shared" si="85"/>
        <v>61.55003479993165</v>
      </c>
      <c r="S175" s="25">
        <f t="shared" si="86"/>
        <v>59.91861276554309</v>
      </c>
    </row>
    <row r="176" spans="1:19" ht="12.75" hidden="1">
      <c r="A176" s="21" t="s">
        <v>2</v>
      </c>
      <c r="B176" s="21"/>
      <c r="C176" s="42" t="s">
        <v>19</v>
      </c>
      <c r="D176" s="42"/>
      <c r="E176" s="44">
        <f>G176+H176+I176+J176</f>
        <v>0</v>
      </c>
      <c r="F176" s="60">
        <f>G176</f>
        <v>0</v>
      </c>
      <c r="G176" s="76"/>
      <c r="H176" s="76"/>
      <c r="I176" s="24"/>
      <c r="J176" s="25"/>
      <c r="K176" s="25"/>
      <c r="L176" s="27" t="e">
        <f>K176/#REF!*100</f>
        <v>#REF!</v>
      </c>
      <c r="M176" s="27"/>
      <c r="N176" s="57"/>
      <c r="O176" s="57"/>
      <c r="P176" s="24" t="e">
        <f t="shared" si="78"/>
        <v>#DIV/0!</v>
      </c>
      <c r="Q176" s="43" t="e">
        <f t="shared" si="84"/>
        <v>#DIV/0!</v>
      </c>
      <c r="R176" s="43" t="e">
        <f t="shared" si="85"/>
        <v>#DIV/0!</v>
      </c>
      <c r="S176" s="31" t="e">
        <f t="shared" si="86"/>
        <v>#DIV/0!</v>
      </c>
    </row>
    <row r="177" spans="1:19" ht="12.75">
      <c r="A177" s="28"/>
      <c r="B177" s="29"/>
      <c r="C177" s="30" t="s">
        <v>4</v>
      </c>
      <c r="D177" s="31">
        <f aca="true" t="shared" si="89" ref="D177:K177">D174+D163</f>
        <v>30212.3</v>
      </c>
      <c r="E177" s="31">
        <f t="shared" si="89"/>
        <v>31633.600000000002</v>
      </c>
      <c r="F177" s="31">
        <f t="shared" si="89"/>
        <v>16337.2</v>
      </c>
      <c r="G177" s="31">
        <f t="shared" si="89"/>
        <v>6300.1</v>
      </c>
      <c r="H177" s="31">
        <f t="shared" si="89"/>
        <v>10037.1</v>
      </c>
      <c r="I177" s="31">
        <f t="shared" si="89"/>
        <v>7595.7</v>
      </c>
      <c r="J177" s="31">
        <f t="shared" si="89"/>
        <v>7700.7</v>
      </c>
      <c r="K177" s="31">
        <f t="shared" si="89"/>
        <v>17837.4</v>
      </c>
      <c r="L177" s="34" t="e">
        <f>K177/#REF!*100</f>
        <v>#REF!</v>
      </c>
      <c r="M177" s="34">
        <f>K177/I177*100</f>
        <v>234.83549903234726</v>
      </c>
      <c r="N177" s="57"/>
      <c r="O177" s="58" t="e">
        <f>J177+#REF!+#REF!</f>
        <v>#REF!</v>
      </c>
      <c r="P177" s="43">
        <f t="shared" si="78"/>
        <v>231.6334878647396</v>
      </c>
      <c r="Q177" s="43">
        <f t="shared" si="84"/>
        <v>109.18272408980732</v>
      </c>
      <c r="R177" s="43">
        <f t="shared" si="85"/>
        <v>59.04019223958455</v>
      </c>
      <c r="S177" s="31">
        <f t="shared" si="86"/>
        <v>56.38751201254363</v>
      </c>
    </row>
    <row r="178" spans="1:19" ht="12.75">
      <c r="A178" s="174"/>
      <c r="B178" s="175"/>
      <c r="C178" s="175"/>
      <c r="D178" s="175"/>
      <c r="E178" s="175"/>
      <c r="F178" s="175"/>
      <c r="G178" s="175"/>
      <c r="H178" s="175"/>
      <c r="I178" s="175"/>
      <c r="J178" s="175"/>
      <c r="K178" s="175"/>
      <c r="L178" s="175"/>
      <c r="M178" s="176"/>
      <c r="N178" s="57"/>
      <c r="O178" s="57"/>
      <c r="P178" s="56"/>
      <c r="Q178" s="24"/>
      <c r="R178" s="34"/>
      <c r="S178" s="31"/>
    </row>
    <row r="179" spans="1:19" ht="12.75">
      <c r="A179" s="169" t="s">
        <v>34</v>
      </c>
      <c r="B179" s="169"/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64"/>
      <c r="R179" s="34"/>
      <c r="S179" s="31"/>
    </row>
    <row r="180" spans="1:19" ht="12.75">
      <c r="A180" s="32" t="s">
        <v>3</v>
      </c>
      <c r="B180" s="32"/>
      <c r="C180" s="33" t="s">
        <v>68</v>
      </c>
      <c r="D180" s="34">
        <f aca="true" t="shared" si="90" ref="D180:K180">D181+D183+D184+D185+D186+D188+D190+D189+D187+D182</f>
        <v>21981</v>
      </c>
      <c r="E180" s="34">
        <f t="shared" si="90"/>
        <v>22398.6</v>
      </c>
      <c r="F180" s="34">
        <f t="shared" si="90"/>
        <v>10570.6</v>
      </c>
      <c r="G180" s="34">
        <f t="shared" si="90"/>
        <v>4860</v>
      </c>
      <c r="H180" s="34">
        <f t="shared" si="90"/>
        <v>5710.6</v>
      </c>
      <c r="I180" s="34">
        <f t="shared" si="90"/>
        <v>5410.5</v>
      </c>
      <c r="J180" s="34">
        <f t="shared" si="90"/>
        <v>6417.5</v>
      </c>
      <c r="K180" s="34">
        <f t="shared" si="90"/>
        <v>13687.400000000001</v>
      </c>
      <c r="L180" s="34" t="e">
        <f>K180/#REF!*100</f>
        <v>#REF!</v>
      </c>
      <c r="M180" s="34">
        <f>K180/I180*100</f>
        <v>252.9784677941041</v>
      </c>
      <c r="N180" s="57"/>
      <c r="O180" s="57"/>
      <c r="P180" s="34">
        <f t="shared" si="78"/>
        <v>213.282430853136</v>
      </c>
      <c r="Q180" s="43">
        <f>K180*100/F180</f>
        <v>129.48555427317277</v>
      </c>
      <c r="R180" s="43">
        <f>K180*100/D180</f>
        <v>62.26923251899369</v>
      </c>
      <c r="S180" s="31">
        <f>K180*100/E180</f>
        <v>61.10828355343639</v>
      </c>
    </row>
    <row r="181" spans="1:19" ht="12.75">
      <c r="A181" s="28" t="s">
        <v>23</v>
      </c>
      <c r="B181" s="28"/>
      <c r="C181" s="35" t="s">
        <v>22</v>
      </c>
      <c r="D181" s="60">
        <v>16150</v>
      </c>
      <c r="E181" s="44">
        <f>G181+H181+I181+J181</f>
        <v>16150</v>
      </c>
      <c r="F181" s="61">
        <f aca="true" t="shared" si="91" ref="F181:F192">G181+H181</f>
        <v>7728</v>
      </c>
      <c r="G181" s="44">
        <v>3619</v>
      </c>
      <c r="H181" s="44">
        <v>4109</v>
      </c>
      <c r="I181" s="24">
        <v>4209</v>
      </c>
      <c r="J181" s="25">
        <v>4213</v>
      </c>
      <c r="K181" s="25">
        <v>10315.2</v>
      </c>
      <c r="L181" s="27" t="e">
        <f>K181/#REF!*100</f>
        <v>#REF!</v>
      </c>
      <c r="M181" s="27">
        <f>K181/I181*100</f>
        <v>245.07483962936564</v>
      </c>
      <c r="N181" s="57"/>
      <c r="O181" s="57"/>
      <c r="P181" s="24">
        <f t="shared" si="78"/>
        <v>244.84215523380016</v>
      </c>
      <c r="Q181" s="24">
        <f aca="true" t="shared" si="92" ref="Q181:Q193">K181*100/F181</f>
        <v>133.47826086956522</v>
      </c>
      <c r="R181" s="24">
        <f aca="true" t="shared" si="93" ref="R181:R193">K181*100/D181</f>
        <v>63.87120743034056</v>
      </c>
      <c r="S181" s="25">
        <f aca="true" t="shared" si="94" ref="S181:S193">K181*100/E181</f>
        <v>63.87120743034056</v>
      </c>
    </row>
    <row r="182" spans="1:19" ht="12.75">
      <c r="A182" s="19" t="s">
        <v>70</v>
      </c>
      <c r="B182" s="19"/>
      <c r="C182" s="35" t="s">
        <v>71</v>
      </c>
      <c r="D182" s="60">
        <v>3484</v>
      </c>
      <c r="E182" s="44">
        <f>G182+H182+I182+J182</f>
        <v>3484</v>
      </c>
      <c r="F182" s="61">
        <f t="shared" si="91"/>
        <v>1692</v>
      </c>
      <c r="G182" s="44">
        <v>846</v>
      </c>
      <c r="H182" s="44">
        <v>846</v>
      </c>
      <c r="I182" s="24">
        <v>846</v>
      </c>
      <c r="J182" s="25">
        <v>946</v>
      </c>
      <c r="K182" s="25">
        <v>1561.8</v>
      </c>
      <c r="L182" s="27"/>
      <c r="M182" s="27"/>
      <c r="N182" s="57"/>
      <c r="O182" s="57"/>
      <c r="P182" s="24"/>
      <c r="Q182" s="24">
        <f t="shared" si="92"/>
        <v>92.30496453900709</v>
      </c>
      <c r="R182" s="24">
        <f t="shared" si="93"/>
        <v>44.827784156142364</v>
      </c>
      <c r="S182" s="25">
        <f t="shared" si="94"/>
        <v>44.827784156142364</v>
      </c>
    </row>
    <row r="183" spans="1:19" ht="13.5" customHeight="1" hidden="1">
      <c r="A183" s="19" t="s">
        <v>8</v>
      </c>
      <c r="B183" s="19"/>
      <c r="C183" s="35" t="s">
        <v>5</v>
      </c>
      <c r="D183" s="60"/>
      <c r="E183" s="44">
        <f aca="true" t="shared" si="95" ref="E183:E192">G183+H183+I183+J183</f>
        <v>0</v>
      </c>
      <c r="F183" s="61">
        <f t="shared" si="91"/>
        <v>0</v>
      </c>
      <c r="G183" s="44"/>
      <c r="H183" s="44"/>
      <c r="I183" s="24"/>
      <c r="J183" s="25"/>
      <c r="K183" s="25"/>
      <c r="L183" s="27"/>
      <c r="M183" s="27"/>
      <c r="N183" s="57"/>
      <c r="O183" s="57"/>
      <c r="P183" s="24" t="e">
        <f t="shared" si="78"/>
        <v>#DIV/0!</v>
      </c>
      <c r="Q183" s="24" t="e">
        <f t="shared" si="92"/>
        <v>#DIV/0!</v>
      </c>
      <c r="R183" s="24" t="e">
        <f t="shared" si="93"/>
        <v>#DIV/0!</v>
      </c>
      <c r="S183" s="25" t="e">
        <f t="shared" si="94"/>
        <v>#DIV/0!</v>
      </c>
    </row>
    <row r="184" spans="1:19" ht="12.75">
      <c r="A184" s="19" t="s">
        <v>9</v>
      </c>
      <c r="B184" s="19"/>
      <c r="C184" s="35" t="s">
        <v>6</v>
      </c>
      <c r="D184" s="60">
        <v>1780</v>
      </c>
      <c r="E184" s="44">
        <f t="shared" si="95"/>
        <v>1780</v>
      </c>
      <c r="F184" s="61">
        <f t="shared" si="91"/>
        <v>480</v>
      </c>
      <c r="G184" s="44">
        <v>240</v>
      </c>
      <c r="H184" s="44">
        <v>240</v>
      </c>
      <c r="I184" s="24">
        <v>240</v>
      </c>
      <c r="J184" s="25">
        <v>1060</v>
      </c>
      <c r="K184" s="25">
        <v>903.6</v>
      </c>
      <c r="L184" s="27" t="e">
        <f>K184/#REF!*100</f>
        <v>#REF!</v>
      </c>
      <c r="M184" s="27">
        <f aca="true" t="shared" si="96" ref="M184:M190">K184/I184*100</f>
        <v>376.5</v>
      </c>
      <c r="N184" s="57"/>
      <c r="O184" s="57"/>
      <c r="P184" s="24">
        <f t="shared" si="78"/>
        <v>85.24528301886792</v>
      </c>
      <c r="Q184" s="24">
        <f t="shared" si="92"/>
        <v>188.25</v>
      </c>
      <c r="R184" s="24">
        <f t="shared" si="93"/>
        <v>50.764044943820224</v>
      </c>
      <c r="S184" s="25">
        <f t="shared" si="94"/>
        <v>50.764044943820224</v>
      </c>
    </row>
    <row r="185" spans="1:19" ht="12.75">
      <c r="A185" s="19" t="s">
        <v>10</v>
      </c>
      <c r="B185" s="19"/>
      <c r="C185" s="35" t="s">
        <v>21</v>
      </c>
      <c r="D185" s="60">
        <v>116</v>
      </c>
      <c r="E185" s="44">
        <f t="shared" si="95"/>
        <v>133.6</v>
      </c>
      <c r="F185" s="61">
        <f t="shared" si="91"/>
        <v>71.6</v>
      </c>
      <c r="G185" s="44">
        <f>27+16</f>
        <v>43</v>
      </c>
      <c r="H185" s="44">
        <v>28.6</v>
      </c>
      <c r="I185" s="24">
        <v>27</v>
      </c>
      <c r="J185" s="25">
        <v>35</v>
      </c>
      <c r="K185" s="25">
        <v>92.7</v>
      </c>
      <c r="L185" s="27" t="e">
        <f>K185/#REF!*100</f>
        <v>#REF!</v>
      </c>
      <c r="M185" s="27">
        <f t="shared" si="96"/>
        <v>343.33333333333337</v>
      </c>
      <c r="N185" s="57"/>
      <c r="O185" s="57"/>
      <c r="P185" s="24">
        <f t="shared" si="78"/>
        <v>264.85714285714283</v>
      </c>
      <c r="Q185" s="24">
        <f t="shared" si="92"/>
        <v>129.46927374301677</v>
      </c>
      <c r="R185" s="24">
        <f t="shared" si="93"/>
        <v>79.91379310344827</v>
      </c>
      <c r="S185" s="25">
        <f t="shared" si="94"/>
        <v>69.38622754491018</v>
      </c>
    </row>
    <row r="186" spans="1:19" ht="24">
      <c r="A186" s="20" t="s">
        <v>11</v>
      </c>
      <c r="B186" s="20"/>
      <c r="C186" s="35" t="s">
        <v>17</v>
      </c>
      <c r="D186" s="60">
        <v>341</v>
      </c>
      <c r="E186" s="44">
        <f t="shared" si="95"/>
        <v>341</v>
      </c>
      <c r="F186" s="61">
        <f t="shared" si="91"/>
        <v>149</v>
      </c>
      <c r="G186" s="44">
        <v>82</v>
      </c>
      <c r="H186" s="44">
        <v>67</v>
      </c>
      <c r="I186" s="24">
        <v>78.5</v>
      </c>
      <c r="J186" s="25">
        <v>113.5</v>
      </c>
      <c r="K186" s="25">
        <v>132.7</v>
      </c>
      <c r="L186" s="27" t="e">
        <f>K186/#REF!*100</f>
        <v>#REF!</v>
      </c>
      <c r="M186" s="27">
        <f t="shared" si="96"/>
        <v>169.04458598726114</v>
      </c>
      <c r="N186" s="57"/>
      <c r="O186" s="57"/>
      <c r="P186" s="24">
        <f t="shared" si="78"/>
        <v>116.91629955947135</v>
      </c>
      <c r="Q186" s="24">
        <f t="shared" si="92"/>
        <v>89.06040268456374</v>
      </c>
      <c r="R186" s="24">
        <f t="shared" si="93"/>
        <v>38.9149560117302</v>
      </c>
      <c r="S186" s="25">
        <f t="shared" si="94"/>
        <v>38.9149560117302</v>
      </c>
    </row>
    <row r="187" spans="1:19" ht="24" customHeight="1">
      <c r="A187" s="36" t="s">
        <v>42</v>
      </c>
      <c r="B187" s="37"/>
      <c r="C187" s="35" t="s">
        <v>43</v>
      </c>
      <c r="D187" s="60">
        <v>110</v>
      </c>
      <c r="E187" s="44">
        <f t="shared" si="95"/>
        <v>110</v>
      </c>
      <c r="F187" s="61">
        <f t="shared" si="91"/>
        <v>50</v>
      </c>
      <c r="G187" s="44">
        <v>30</v>
      </c>
      <c r="H187" s="44">
        <v>20</v>
      </c>
      <c r="I187" s="24">
        <v>10</v>
      </c>
      <c r="J187" s="25">
        <v>50</v>
      </c>
      <c r="K187" s="25">
        <v>62.5</v>
      </c>
      <c r="L187" s="27" t="e">
        <f>K187/#REF!*100</f>
        <v>#REF!</v>
      </c>
      <c r="M187" s="27">
        <f t="shared" si="96"/>
        <v>625</v>
      </c>
      <c r="N187" s="57"/>
      <c r="O187" s="57"/>
      <c r="P187" s="24">
        <f t="shared" si="78"/>
        <v>125</v>
      </c>
      <c r="Q187" s="24">
        <f t="shared" si="92"/>
        <v>125</v>
      </c>
      <c r="R187" s="24">
        <f t="shared" si="93"/>
        <v>56.81818181818182</v>
      </c>
      <c r="S187" s="25">
        <f t="shared" si="94"/>
        <v>56.81818181818182</v>
      </c>
    </row>
    <row r="188" spans="1:19" ht="18.75" customHeight="1">
      <c r="A188" s="36" t="s">
        <v>18</v>
      </c>
      <c r="B188" s="37"/>
      <c r="C188" s="35" t="s">
        <v>15</v>
      </c>
      <c r="D188" s="60">
        <v>0</v>
      </c>
      <c r="E188" s="44">
        <f t="shared" si="95"/>
        <v>0</v>
      </c>
      <c r="F188" s="61">
        <f t="shared" si="91"/>
        <v>0</v>
      </c>
      <c r="G188" s="44"/>
      <c r="H188" s="44"/>
      <c r="I188" s="24"/>
      <c r="J188" s="25"/>
      <c r="K188" s="25">
        <v>218.1</v>
      </c>
      <c r="L188" s="27" t="e">
        <f>K188/#REF!*100</f>
        <v>#REF!</v>
      </c>
      <c r="M188" s="27" t="e">
        <f t="shared" si="96"/>
        <v>#DIV/0!</v>
      </c>
      <c r="N188" s="57"/>
      <c r="O188" s="57"/>
      <c r="P188" s="24" t="e">
        <f t="shared" si="78"/>
        <v>#DIV/0!</v>
      </c>
      <c r="Q188" s="24" t="e">
        <f t="shared" si="92"/>
        <v>#DIV/0!</v>
      </c>
      <c r="R188" s="24"/>
      <c r="S188" s="25"/>
    </row>
    <row r="189" spans="1:19" ht="16.5" customHeight="1">
      <c r="A189" s="28" t="s">
        <v>12</v>
      </c>
      <c r="B189" s="28"/>
      <c r="C189" s="35" t="s">
        <v>7</v>
      </c>
      <c r="D189" s="60">
        <v>0</v>
      </c>
      <c r="E189" s="44">
        <f t="shared" si="95"/>
        <v>400</v>
      </c>
      <c r="F189" s="61">
        <f t="shared" si="91"/>
        <v>400</v>
      </c>
      <c r="G189" s="44"/>
      <c r="H189" s="44">
        <v>400</v>
      </c>
      <c r="I189" s="24"/>
      <c r="J189" s="25"/>
      <c r="K189" s="25">
        <v>400.8</v>
      </c>
      <c r="L189" s="27" t="e">
        <f>K189/#REF!*100</f>
        <v>#REF!</v>
      </c>
      <c r="M189" s="27" t="e">
        <f t="shared" si="96"/>
        <v>#DIV/0!</v>
      </c>
      <c r="N189" s="57"/>
      <c r="O189" s="57"/>
      <c r="P189" s="24" t="e">
        <f t="shared" si="78"/>
        <v>#DIV/0!</v>
      </c>
      <c r="Q189" s="24">
        <f t="shared" si="92"/>
        <v>100.2</v>
      </c>
      <c r="R189" s="24"/>
      <c r="S189" s="25">
        <f t="shared" si="94"/>
        <v>100.2</v>
      </c>
    </row>
    <row r="190" spans="1:19" ht="15" customHeight="1">
      <c r="A190" s="81" t="s">
        <v>39</v>
      </c>
      <c r="B190" s="74"/>
      <c r="C190" s="23" t="s">
        <v>40</v>
      </c>
      <c r="D190" s="66">
        <v>0</v>
      </c>
      <c r="E190" s="44">
        <f t="shared" si="95"/>
        <v>0</v>
      </c>
      <c r="F190" s="61">
        <f t="shared" si="91"/>
        <v>0</v>
      </c>
      <c r="G190" s="93"/>
      <c r="H190" s="93"/>
      <c r="I190" s="24"/>
      <c r="J190" s="25"/>
      <c r="K190" s="25"/>
      <c r="L190" s="27" t="e">
        <f>K190/#REF!*100</f>
        <v>#REF!</v>
      </c>
      <c r="M190" s="27" t="e">
        <f t="shared" si="96"/>
        <v>#DIV/0!</v>
      </c>
      <c r="N190" s="57"/>
      <c r="O190" s="57"/>
      <c r="P190" s="24" t="e">
        <f t="shared" si="78"/>
        <v>#DIV/0!</v>
      </c>
      <c r="Q190" s="24"/>
      <c r="R190" s="24"/>
      <c r="S190" s="25"/>
    </row>
    <row r="191" spans="1:19" ht="12.75">
      <c r="A191" s="69" t="s">
        <v>1</v>
      </c>
      <c r="B191" s="32"/>
      <c r="C191" s="39" t="s">
        <v>0</v>
      </c>
      <c r="D191" s="43">
        <f aca="true" t="shared" si="97" ref="D191:K191">D192</f>
        <v>29025.6</v>
      </c>
      <c r="E191" s="43">
        <f t="shared" si="97"/>
        <v>31613.3</v>
      </c>
      <c r="F191" s="43">
        <f t="shared" si="97"/>
        <v>15053.8</v>
      </c>
      <c r="G191" s="43">
        <f t="shared" si="97"/>
        <v>6861.8</v>
      </c>
      <c r="H191" s="43">
        <f t="shared" si="97"/>
        <v>8192</v>
      </c>
      <c r="I191" s="43">
        <f t="shared" si="97"/>
        <v>10444.7</v>
      </c>
      <c r="J191" s="43">
        <f t="shared" si="97"/>
        <v>6114.8</v>
      </c>
      <c r="K191" s="43">
        <f t="shared" si="97"/>
        <v>16922.2</v>
      </c>
      <c r="L191" s="34" t="e">
        <f>K191/#REF!*100</f>
        <v>#REF!</v>
      </c>
      <c r="M191" s="34">
        <f>K191/I191*100</f>
        <v>162.01709958160598</v>
      </c>
      <c r="N191" s="57"/>
      <c r="O191" s="57"/>
      <c r="P191" s="43">
        <f t="shared" si="78"/>
        <v>276.74167593379997</v>
      </c>
      <c r="Q191" s="43">
        <f t="shared" si="92"/>
        <v>112.41148414353852</v>
      </c>
      <c r="R191" s="43">
        <f t="shared" si="93"/>
        <v>58.3009481285486</v>
      </c>
      <c r="S191" s="31">
        <f t="shared" si="94"/>
        <v>53.528736323003294</v>
      </c>
    </row>
    <row r="192" spans="1:19" ht="24">
      <c r="A192" s="94" t="s">
        <v>67</v>
      </c>
      <c r="B192" s="19"/>
      <c r="C192" s="41" t="s">
        <v>20</v>
      </c>
      <c r="D192" s="44">
        <v>29025.6</v>
      </c>
      <c r="E192" s="44">
        <f t="shared" si="95"/>
        <v>31613.3</v>
      </c>
      <c r="F192" s="61">
        <f t="shared" si="91"/>
        <v>15053.8</v>
      </c>
      <c r="G192" s="44">
        <v>6861.8</v>
      </c>
      <c r="H192" s="44">
        <v>8192</v>
      </c>
      <c r="I192" s="24">
        <f>9377.6+1067.1</f>
        <v>10444.7</v>
      </c>
      <c r="J192" s="25">
        <v>6114.8</v>
      </c>
      <c r="K192" s="25">
        <v>16922.2</v>
      </c>
      <c r="L192" s="27" t="e">
        <f>K192/#REF!*100</f>
        <v>#REF!</v>
      </c>
      <c r="M192" s="27">
        <f>K192/I192*100</f>
        <v>162.01709958160598</v>
      </c>
      <c r="N192" s="57"/>
      <c r="O192" s="57"/>
      <c r="P192" s="24">
        <f t="shared" si="78"/>
        <v>276.74167593379997</v>
      </c>
      <c r="Q192" s="24">
        <f t="shared" si="92"/>
        <v>112.41148414353852</v>
      </c>
      <c r="R192" s="24">
        <f t="shared" si="93"/>
        <v>58.3009481285486</v>
      </c>
      <c r="S192" s="25">
        <f t="shared" si="94"/>
        <v>53.528736323003294</v>
      </c>
    </row>
    <row r="193" spans="1:19" ht="12.75">
      <c r="A193" s="28"/>
      <c r="B193" s="29"/>
      <c r="C193" s="30" t="s">
        <v>4</v>
      </c>
      <c r="D193" s="31">
        <f aca="true" t="shared" si="98" ref="D193:K193">D191+D180</f>
        <v>51006.6</v>
      </c>
      <c r="E193" s="31">
        <f t="shared" si="98"/>
        <v>54011.899999999994</v>
      </c>
      <c r="F193" s="31">
        <f t="shared" si="98"/>
        <v>25624.4</v>
      </c>
      <c r="G193" s="31">
        <f t="shared" si="98"/>
        <v>11721.8</v>
      </c>
      <c r="H193" s="31">
        <f t="shared" si="98"/>
        <v>13902.6</v>
      </c>
      <c r="I193" s="31">
        <f t="shared" si="98"/>
        <v>15855.2</v>
      </c>
      <c r="J193" s="31">
        <f t="shared" si="98"/>
        <v>12532.3</v>
      </c>
      <c r="K193" s="31">
        <f t="shared" si="98"/>
        <v>30609.600000000002</v>
      </c>
      <c r="L193" s="34" t="e">
        <f>K193/#REF!*100</f>
        <v>#REF!</v>
      </c>
      <c r="M193" s="34">
        <f>K193/I193*100</f>
        <v>193.05716736465007</v>
      </c>
      <c r="N193" s="57"/>
      <c r="O193" s="58" t="e">
        <f>J193+#REF!+#REF!</f>
        <v>#REF!</v>
      </c>
      <c r="P193" s="43">
        <f t="shared" si="78"/>
        <v>244.24566919081096</v>
      </c>
      <c r="Q193" s="43">
        <f t="shared" si="92"/>
        <v>119.45489455362856</v>
      </c>
      <c r="R193" s="43">
        <f t="shared" si="93"/>
        <v>60.01105739257273</v>
      </c>
      <c r="S193" s="31">
        <f t="shared" si="94"/>
        <v>56.67195562459385</v>
      </c>
    </row>
    <row r="194" spans="1:19" ht="12.75">
      <c r="A194" s="174"/>
      <c r="B194" s="175"/>
      <c r="C194" s="175"/>
      <c r="D194" s="175"/>
      <c r="E194" s="175"/>
      <c r="F194" s="175"/>
      <c r="G194" s="175"/>
      <c r="H194" s="175"/>
      <c r="I194" s="175"/>
      <c r="J194" s="175"/>
      <c r="K194" s="175"/>
      <c r="L194" s="175"/>
      <c r="M194" s="176"/>
      <c r="N194" s="57"/>
      <c r="O194" s="57"/>
      <c r="P194" s="56"/>
      <c r="Q194" s="24"/>
      <c r="R194" s="34"/>
      <c r="S194" s="31"/>
    </row>
    <row r="195" spans="1:19" ht="12.75">
      <c r="A195" s="169" t="s">
        <v>35</v>
      </c>
      <c r="B195" s="169"/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64"/>
      <c r="R195" s="34"/>
      <c r="S195" s="31"/>
    </row>
    <row r="196" spans="1:19" ht="12.75">
      <c r="A196" s="32" t="s">
        <v>3</v>
      </c>
      <c r="B196" s="32"/>
      <c r="C196" s="33" t="s">
        <v>68</v>
      </c>
      <c r="D196" s="34">
        <f>D197+D200+D202+D203+D201+D204+D205+D199+D198</f>
        <v>5234.5</v>
      </c>
      <c r="E196" s="34">
        <f>E197+E200+E202+E203+E201+E204+E205+E199+E198</f>
        <v>5234.5</v>
      </c>
      <c r="F196" s="34">
        <f>F197+F200+F202+F203+F201+F204+F205+F199+F198</f>
        <v>2042</v>
      </c>
      <c r="G196" s="34">
        <f aca="true" t="shared" si="99" ref="G196:P196">G197+G200+G202+G203+G201+G204+G205+G199+G198</f>
        <v>702.4000000000001</v>
      </c>
      <c r="H196" s="34">
        <f t="shared" si="99"/>
        <v>1339.6</v>
      </c>
      <c r="I196" s="34">
        <f t="shared" si="99"/>
        <v>1269.1</v>
      </c>
      <c r="J196" s="34">
        <f t="shared" si="99"/>
        <v>1923.4</v>
      </c>
      <c r="K196" s="34">
        <f t="shared" si="99"/>
        <v>2551.5</v>
      </c>
      <c r="L196" s="34" t="e">
        <f t="shared" si="99"/>
        <v>#REF!</v>
      </c>
      <c r="M196" s="34" t="e">
        <f t="shared" si="99"/>
        <v>#DIV/0!</v>
      </c>
      <c r="N196" s="34">
        <f t="shared" si="99"/>
        <v>0</v>
      </c>
      <c r="O196" s="34">
        <f t="shared" si="99"/>
        <v>0</v>
      </c>
      <c r="P196" s="34" t="e">
        <f t="shared" si="99"/>
        <v>#DIV/0!</v>
      </c>
      <c r="Q196" s="43">
        <f>K196*100/F196</f>
        <v>124.95102840352595</v>
      </c>
      <c r="R196" s="43">
        <f>K196*100/D196</f>
        <v>48.74391059317986</v>
      </c>
      <c r="S196" s="31">
        <f>K196*100/E196</f>
        <v>48.74391059317986</v>
      </c>
    </row>
    <row r="197" spans="1:19" ht="12.75">
      <c r="A197" s="28" t="s">
        <v>23</v>
      </c>
      <c r="B197" s="28"/>
      <c r="C197" s="35" t="s">
        <v>22</v>
      </c>
      <c r="D197" s="95">
        <v>1155</v>
      </c>
      <c r="E197" s="44">
        <f>G197+H197+I197+J197</f>
        <v>1155</v>
      </c>
      <c r="F197" s="61">
        <f aca="true" t="shared" si="100" ref="F197:F207">G197+H197</f>
        <v>520</v>
      </c>
      <c r="G197" s="44">
        <v>190</v>
      </c>
      <c r="H197" s="44">
        <v>330</v>
      </c>
      <c r="I197" s="24">
        <v>270</v>
      </c>
      <c r="J197" s="24">
        <v>365</v>
      </c>
      <c r="K197" s="25">
        <v>627.4</v>
      </c>
      <c r="L197" s="27" t="e">
        <f>K197/#REF!*100</f>
        <v>#REF!</v>
      </c>
      <c r="M197" s="27">
        <f aca="true" t="shared" si="101" ref="M197:M203">K197/I197*100</f>
        <v>232.37037037037038</v>
      </c>
      <c r="N197" s="57"/>
      <c r="O197" s="57"/>
      <c r="P197" s="24">
        <f t="shared" si="78"/>
        <v>171.8904109589041</v>
      </c>
      <c r="Q197" s="24">
        <f aca="true" t="shared" si="102" ref="Q197:Q208">K197*100/F197</f>
        <v>120.65384615384616</v>
      </c>
      <c r="R197" s="24">
        <f aca="true" t="shared" si="103" ref="R197:R208">K197*100/D197</f>
        <v>54.32034632034632</v>
      </c>
      <c r="S197" s="25">
        <f aca="true" t="shared" si="104" ref="S197:S208">K197*100/E197</f>
        <v>54.32034632034632</v>
      </c>
    </row>
    <row r="198" spans="1:19" ht="12.75">
      <c r="A198" s="19" t="s">
        <v>70</v>
      </c>
      <c r="B198" s="19"/>
      <c r="C198" s="35" t="s">
        <v>71</v>
      </c>
      <c r="D198" s="60">
        <v>3813</v>
      </c>
      <c r="E198" s="44">
        <f>G198+H198+I198+J198</f>
        <v>3813</v>
      </c>
      <c r="F198" s="61">
        <f t="shared" si="100"/>
        <v>1431.5</v>
      </c>
      <c r="G198" s="44">
        <v>478.3</v>
      </c>
      <c r="H198" s="44">
        <v>953.2</v>
      </c>
      <c r="I198" s="24">
        <v>953.3</v>
      </c>
      <c r="J198" s="24">
        <v>1428.2</v>
      </c>
      <c r="K198" s="25">
        <v>1709.3</v>
      </c>
      <c r="L198" s="27"/>
      <c r="M198" s="27"/>
      <c r="N198" s="57"/>
      <c r="O198" s="57"/>
      <c r="P198" s="24"/>
      <c r="Q198" s="24">
        <f t="shared" si="102"/>
        <v>119.40621725462802</v>
      </c>
      <c r="R198" s="24">
        <f t="shared" si="103"/>
        <v>44.828219249934435</v>
      </c>
      <c r="S198" s="25">
        <f t="shared" si="104"/>
        <v>44.828219249934435</v>
      </c>
    </row>
    <row r="199" spans="1:19" ht="12.75">
      <c r="A199" s="19" t="s">
        <v>8</v>
      </c>
      <c r="B199" s="47" t="s">
        <v>55</v>
      </c>
      <c r="C199" s="35" t="s">
        <v>5</v>
      </c>
      <c r="D199" s="60">
        <v>4.5</v>
      </c>
      <c r="E199" s="44">
        <f aca="true" t="shared" si="105" ref="E199:E207">G199+H199+I199+J199</f>
        <v>15.8</v>
      </c>
      <c r="F199" s="61">
        <f t="shared" si="100"/>
        <v>15.8</v>
      </c>
      <c r="G199" s="44">
        <v>11.3</v>
      </c>
      <c r="H199" s="44">
        <v>4.5</v>
      </c>
      <c r="I199" s="24"/>
      <c r="J199" s="24"/>
      <c r="K199" s="25">
        <v>15.8</v>
      </c>
      <c r="L199" s="27" t="e">
        <f>K199/#REF!*100</f>
        <v>#REF!</v>
      </c>
      <c r="M199" s="27"/>
      <c r="N199" s="57"/>
      <c r="O199" s="57"/>
      <c r="P199" s="24" t="e">
        <f t="shared" si="78"/>
        <v>#DIV/0!</v>
      </c>
      <c r="Q199" s="24">
        <f t="shared" si="102"/>
        <v>100</v>
      </c>
      <c r="R199" s="24">
        <f t="shared" si="103"/>
        <v>351.1111111111111</v>
      </c>
      <c r="S199" s="25">
        <f t="shared" si="104"/>
        <v>100</v>
      </c>
    </row>
    <row r="200" spans="1:19" ht="12.75">
      <c r="A200" s="19" t="s">
        <v>9</v>
      </c>
      <c r="B200" s="19"/>
      <c r="C200" s="35" t="s">
        <v>6</v>
      </c>
      <c r="D200" s="60">
        <v>162</v>
      </c>
      <c r="E200" s="44">
        <f t="shared" si="105"/>
        <v>162</v>
      </c>
      <c r="F200" s="61">
        <f t="shared" si="100"/>
        <v>35</v>
      </c>
      <c r="G200" s="44">
        <v>5</v>
      </c>
      <c r="H200" s="44">
        <v>30</v>
      </c>
      <c r="I200" s="24">
        <v>28</v>
      </c>
      <c r="J200" s="24">
        <v>99</v>
      </c>
      <c r="K200" s="25">
        <v>145.5</v>
      </c>
      <c r="L200" s="27" t="e">
        <f>K200/#REF!*100</f>
        <v>#REF!</v>
      </c>
      <c r="M200" s="27">
        <f t="shared" si="101"/>
        <v>519.6428571428571</v>
      </c>
      <c r="N200" s="57"/>
      <c r="O200" s="57"/>
      <c r="P200" s="24">
        <f t="shared" si="78"/>
        <v>146.96969696969697</v>
      </c>
      <c r="Q200" s="24">
        <f t="shared" si="102"/>
        <v>415.7142857142857</v>
      </c>
      <c r="R200" s="24">
        <f t="shared" si="103"/>
        <v>89.81481481481481</v>
      </c>
      <c r="S200" s="25">
        <f t="shared" si="104"/>
        <v>89.81481481481481</v>
      </c>
    </row>
    <row r="201" spans="1:19" ht="12.75">
      <c r="A201" s="19" t="s">
        <v>10</v>
      </c>
      <c r="B201" s="19"/>
      <c r="C201" s="35" t="s">
        <v>21</v>
      </c>
      <c r="D201" s="60">
        <v>35</v>
      </c>
      <c r="E201" s="44">
        <f t="shared" si="105"/>
        <v>23.699999999999996</v>
      </c>
      <c r="F201" s="61">
        <f t="shared" si="100"/>
        <v>11.7</v>
      </c>
      <c r="G201" s="44">
        <v>2</v>
      </c>
      <c r="H201" s="44">
        <v>9.7</v>
      </c>
      <c r="I201" s="24">
        <v>5.6</v>
      </c>
      <c r="J201" s="24">
        <v>6.4</v>
      </c>
      <c r="K201" s="25">
        <v>13.7</v>
      </c>
      <c r="L201" s="27" t="e">
        <f>K201/#REF!*100</f>
        <v>#REF!</v>
      </c>
      <c r="M201" s="27">
        <f t="shared" si="101"/>
        <v>244.64285714285717</v>
      </c>
      <c r="N201" s="57"/>
      <c r="O201" s="57"/>
      <c r="P201" s="24">
        <f t="shared" si="78"/>
        <v>214.0625</v>
      </c>
      <c r="Q201" s="24">
        <f t="shared" si="102"/>
        <v>117.0940170940171</v>
      </c>
      <c r="R201" s="24">
        <f t="shared" si="103"/>
        <v>39.142857142857146</v>
      </c>
      <c r="S201" s="25">
        <f t="shared" si="104"/>
        <v>57.80590717299579</v>
      </c>
    </row>
    <row r="202" spans="1:19" ht="24">
      <c r="A202" s="20" t="s">
        <v>11</v>
      </c>
      <c r="B202" s="20"/>
      <c r="C202" s="35" t="s">
        <v>17</v>
      </c>
      <c r="D202" s="60">
        <v>65</v>
      </c>
      <c r="E202" s="44">
        <f t="shared" si="105"/>
        <v>65</v>
      </c>
      <c r="F202" s="61">
        <f t="shared" si="100"/>
        <v>28</v>
      </c>
      <c r="G202" s="44">
        <v>15.8</v>
      </c>
      <c r="H202" s="44">
        <v>12.2</v>
      </c>
      <c r="I202" s="24">
        <v>12.2</v>
      </c>
      <c r="J202" s="24">
        <v>24.8</v>
      </c>
      <c r="K202" s="25">
        <v>39.8</v>
      </c>
      <c r="L202" s="27" t="e">
        <f>K202/#REF!*100</f>
        <v>#REF!</v>
      </c>
      <c r="M202" s="27">
        <f t="shared" si="101"/>
        <v>326.22950819672127</v>
      </c>
      <c r="N202" s="57"/>
      <c r="O202" s="57"/>
      <c r="P202" s="24">
        <f t="shared" si="78"/>
        <v>160.48387096774192</v>
      </c>
      <c r="Q202" s="24">
        <f t="shared" si="102"/>
        <v>142.14285714285714</v>
      </c>
      <c r="R202" s="24">
        <f t="shared" si="103"/>
        <v>61.230769230769226</v>
      </c>
      <c r="S202" s="25">
        <f t="shared" si="104"/>
        <v>61.230769230769226</v>
      </c>
    </row>
    <row r="203" spans="1:19" ht="12.75" hidden="1">
      <c r="A203" s="36" t="s">
        <v>18</v>
      </c>
      <c r="B203" s="36"/>
      <c r="C203" s="35" t="s">
        <v>15</v>
      </c>
      <c r="D203" s="60"/>
      <c r="E203" s="44">
        <f t="shared" si="105"/>
        <v>0</v>
      </c>
      <c r="F203" s="61">
        <f t="shared" si="100"/>
        <v>0</v>
      </c>
      <c r="G203" s="44"/>
      <c r="H203" s="44"/>
      <c r="I203" s="24"/>
      <c r="J203" s="24"/>
      <c r="K203" s="25"/>
      <c r="L203" s="27" t="e">
        <f>K203/#REF!*100</f>
        <v>#REF!</v>
      </c>
      <c r="M203" s="27" t="e">
        <f t="shared" si="101"/>
        <v>#DIV/0!</v>
      </c>
      <c r="N203" s="57"/>
      <c r="O203" s="57"/>
      <c r="P203" s="24" t="e">
        <f t="shared" si="78"/>
        <v>#DIV/0!</v>
      </c>
      <c r="Q203" s="24" t="e">
        <f t="shared" si="102"/>
        <v>#DIV/0!</v>
      </c>
      <c r="R203" s="24" t="e">
        <f t="shared" si="103"/>
        <v>#DIV/0!</v>
      </c>
      <c r="S203" s="25" t="e">
        <f t="shared" si="104"/>
        <v>#DIV/0!</v>
      </c>
    </row>
    <row r="204" spans="1:19" ht="15.75" customHeight="1" hidden="1">
      <c r="A204" s="36" t="s">
        <v>12</v>
      </c>
      <c r="B204" s="92"/>
      <c r="C204" s="35" t="s">
        <v>7</v>
      </c>
      <c r="D204" s="60"/>
      <c r="E204" s="44">
        <f t="shared" si="105"/>
        <v>0</v>
      </c>
      <c r="F204" s="61">
        <f t="shared" si="100"/>
        <v>0</v>
      </c>
      <c r="G204" s="44"/>
      <c r="H204" s="44"/>
      <c r="I204" s="24"/>
      <c r="J204" s="24"/>
      <c r="K204" s="25"/>
      <c r="L204" s="27" t="e">
        <f>K204/#REF!*100</f>
        <v>#REF!</v>
      </c>
      <c r="M204" s="27"/>
      <c r="N204" s="57"/>
      <c r="O204" s="57"/>
      <c r="P204" s="24" t="e">
        <f t="shared" si="78"/>
        <v>#DIV/0!</v>
      </c>
      <c r="Q204" s="24" t="e">
        <f t="shared" si="102"/>
        <v>#DIV/0!</v>
      </c>
      <c r="R204" s="24" t="e">
        <f t="shared" si="103"/>
        <v>#DIV/0!</v>
      </c>
      <c r="S204" s="25" t="e">
        <f t="shared" si="104"/>
        <v>#DIV/0!</v>
      </c>
    </row>
    <row r="205" spans="1:19" ht="13.5" customHeight="1">
      <c r="A205" s="81" t="s">
        <v>39</v>
      </c>
      <c r="B205" s="74"/>
      <c r="C205" s="23" t="s">
        <v>40</v>
      </c>
      <c r="D205" s="66">
        <v>0</v>
      </c>
      <c r="E205" s="44">
        <f t="shared" si="105"/>
        <v>0</v>
      </c>
      <c r="F205" s="61">
        <f t="shared" si="100"/>
        <v>0</v>
      </c>
      <c r="G205" s="44"/>
      <c r="H205" s="44"/>
      <c r="I205" s="24"/>
      <c r="J205" s="24"/>
      <c r="K205" s="25"/>
      <c r="L205" s="27" t="e">
        <f>K205/#REF!*100</f>
        <v>#REF!</v>
      </c>
      <c r="M205" s="27"/>
      <c r="N205" s="57"/>
      <c r="O205" s="57"/>
      <c r="P205" s="24"/>
      <c r="Q205" s="24"/>
      <c r="R205" s="24"/>
      <c r="S205" s="25"/>
    </row>
    <row r="206" spans="1:19" ht="12.75">
      <c r="A206" s="32" t="s">
        <v>1</v>
      </c>
      <c r="B206" s="32"/>
      <c r="C206" s="39" t="s">
        <v>0</v>
      </c>
      <c r="D206" s="40">
        <f aca="true" t="shared" si="106" ref="D206:K206">D207</f>
        <v>19499.2</v>
      </c>
      <c r="E206" s="40">
        <f t="shared" si="106"/>
        <v>20849.3</v>
      </c>
      <c r="F206" s="40">
        <f t="shared" si="106"/>
        <v>10794.7</v>
      </c>
      <c r="G206" s="40">
        <f t="shared" si="106"/>
        <v>4409.9</v>
      </c>
      <c r="H206" s="40">
        <f t="shared" si="106"/>
        <v>6384.8</v>
      </c>
      <c r="I206" s="40">
        <f t="shared" si="106"/>
        <v>5555.9</v>
      </c>
      <c r="J206" s="40">
        <f t="shared" si="106"/>
        <v>4498.7</v>
      </c>
      <c r="K206" s="40">
        <f t="shared" si="106"/>
        <v>10995.6</v>
      </c>
      <c r="L206" s="34" t="e">
        <f>K206/#REF!*100</f>
        <v>#REF!</v>
      </c>
      <c r="M206" s="34">
        <f>K206/I206*100</f>
        <v>197.9085296711604</v>
      </c>
      <c r="N206" s="57"/>
      <c r="O206" s="57"/>
      <c r="P206" s="43">
        <f t="shared" si="78"/>
        <v>244.41727610198504</v>
      </c>
      <c r="Q206" s="43">
        <f t="shared" si="102"/>
        <v>101.86109850204267</v>
      </c>
      <c r="R206" s="43">
        <f t="shared" si="103"/>
        <v>56.390005743825384</v>
      </c>
      <c r="S206" s="31">
        <f t="shared" si="104"/>
        <v>52.738461243303135</v>
      </c>
    </row>
    <row r="207" spans="1:19" ht="24">
      <c r="A207" s="21" t="s">
        <v>67</v>
      </c>
      <c r="B207" s="19"/>
      <c r="C207" s="41" t="s">
        <v>20</v>
      </c>
      <c r="D207" s="44">
        <v>19499.2</v>
      </c>
      <c r="E207" s="44">
        <f t="shared" si="105"/>
        <v>20849.3</v>
      </c>
      <c r="F207" s="61">
        <f t="shared" si="100"/>
        <v>10794.7</v>
      </c>
      <c r="G207" s="44">
        <f>4271.5+138.4</f>
        <v>4409.9</v>
      </c>
      <c r="H207" s="44">
        <f>6326+58.8</f>
        <v>6384.8</v>
      </c>
      <c r="I207" s="24">
        <f>5173.4+382.5</f>
        <v>5555.9</v>
      </c>
      <c r="J207" s="24">
        <v>4498.7</v>
      </c>
      <c r="K207" s="25">
        <v>10995.6</v>
      </c>
      <c r="L207" s="27" t="e">
        <f>K207/#REF!*100</f>
        <v>#REF!</v>
      </c>
      <c r="M207" s="27">
        <f>K207/I207*100</f>
        <v>197.9085296711604</v>
      </c>
      <c r="N207" s="57"/>
      <c r="O207" s="57"/>
      <c r="P207" s="24">
        <f t="shared" si="78"/>
        <v>244.41727610198504</v>
      </c>
      <c r="Q207" s="24">
        <f t="shared" si="102"/>
        <v>101.86109850204267</v>
      </c>
      <c r="R207" s="24">
        <f t="shared" si="103"/>
        <v>56.390005743825384</v>
      </c>
      <c r="S207" s="25">
        <f t="shared" si="104"/>
        <v>52.738461243303135</v>
      </c>
    </row>
    <row r="208" spans="1:19" ht="12.75">
      <c r="A208" s="28"/>
      <c r="B208" s="29"/>
      <c r="C208" s="30" t="s">
        <v>4</v>
      </c>
      <c r="D208" s="31">
        <f aca="true" t="shared" si="107" ref="D208:K208">D206+D196</f>
        <v>24733.7</v>
      </c>
      <c r="E208" s="31">
        <f t="shared" si="107"/>
        <v>26083.8</v>
      </c>
      <c r="F208" s="31">
        <f t="shared" si="107"/>
        <v>12836.7</v>
      </c>
      <c r="G208" s="43">
        <f t="shared" si="107"/>
        <v>5112.299999999999</v>
      </c>
      <c r="H208" s="43">
        <f t="shared" si="107"/>
        <v>7724.4</v>
      </c>
      <c r="I208" s="43">
        <f t="shared" si="107"/>
        <v>6825</v>
      </c>
      <c r="J208" s="43">
        <f t="shared" si="107"/>
        <v>6422.1</v>
      </c>
      <c r="K208" s="31">
        <f t="shared" si="107"/>
        <v>13547.1</v>
      </c>
      <c r="L208" s="34" t="e">
        <f>K208/#REF!*100</f>
        <v>#REF!</v>
      </c>
      <c r="M208" s="34">
        <f>K208/I208*100</f>
        <v>198.4923076923077</v>
      </c>
      <c r="N208" s="57"/>
      <c r="O208" s="58" t="e">
        <f>J208+#REF!+#REF!</f>
        <v>#REF!</v>
      </c>
      <c r="P208" s="43">
        <f t="shared" si="78"/>
        <v>210.9450179847713</v>
      </c>
      <c r="Q208" s="43">
        <f t="shared" si="102"/>
        <v>105.53413260417396</v>
      </c>
      <c r="R208" s="43">
        <f t="shared" si="103"/>
        <v>54.77182952813368</v>
      </c>
      <c r="S208" s="31">
        <f t="shared" si="104"/>
        <v>51.93683435695719</v>
      </c>
    </row>
    <row r="209" spans="1:19" ht="12.75">
      <c r="A209" s="174"/>
      <c r="B209" s="175"/>
      <c r="C209" s="175"/>
      <c r="D209" s="175"/>
      <c r="E209" s="175"/>
      <c r="F209" s="175"/>
      <c r="G209" s="175"/>
      <c r="H209" s="175"/>
      <c r="I209" s="175"/>
      <c r="J209" s="175"/>
      <c r="K209" s="175"/>
      <c r="L209" s="175"/>
      <c r="M209" s="176"/>
      <c r="N209" s="57"/>
      <c r="O209" s="57"/>
      <c r="P209" s="56"/>
      <c r="Q209" s="65"/>
      <c r="R209" s="34"/>
      <c r="S209" s="31"/>
    </row>
    <row r="210" spans="1:19" ht="12.75">
      <c r="A210" s="185" t="s">
        <v>36</v>
      </c>
      <c r="B210" s="186"/>
      <c r="C210" s="186"/>
      <c r="D210" s="186"/>
      <c r="E210" s="186"/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  <c r="S210" s="187"/>
    </row>
    <row r="211" spans="1:19" ht="12.75">
      <c r="A211" s="32" t="s">
        <v>3</v>
      </c>
      <c r="B211" s="48"/>
      <c r="C211" s="33" t="s">
        <v>68</v>
      </c>
      <c r="D211" s="34">
        <f aca="true" t="shared" si="108" ref="D211:K211">D212+D214+D215+D216+D218+D219+D221+D223+D220+D217+D224+D222+D213</f>
        <v>905046.1</v>
      </c>
      <c r="E211" s="34">
        <f t="shared" si="108"/>
        <v>939627.2000000002</v>
      </c>
      <c r="F211" s="34">
        <f t="shared" si="108"/>
        <v>500288.29999999993</v>
      </c>
      <c r="G211" s="34">
        <f t="shared" si="108"/>
        <v>250819.8</v>
      </c>
      <c r="H211" s="34">
        <f t="shared" si="108"/>
        <v>249468.5</v>
      </c>
      <c r="I211" s="34">
        <f t="shared" si="108"/>
        <v>207452.2</v>
      </c>
      <c r="J211" s="34">
        <f t="shared" si="108"/>
        <v>231851.59999999998</v>
      </c>
      <c r="K211" s="34">
        <f t="shared" si="108"/>
        <v>589905.6</v>
      </c>
      <c r="L211" s="34" t="e">
        <f>K211/#REF!*100</f>
        <v>#REF!</v>
      </c>
      <c r="M211" s="34">
        <f aca="true" t="shared" si="109" ref="M211:M222">K211/I211*100</f>
        <v>284.35736039434624</v>
      </c>
      <c r="N211" s="57"/>
      <c r="O211" s="57"/>
      <c r="P211" s="34">
        <f t="shared" si="78"/>
        <v>254.43240417577454</v>
      </c>
      <c r="Q211" s="43">
        <f>K211*100/F211</f>
        <v>117.91313128849907</v>
      </c>
      <c r="R211" s="43">
        <f>K211*100/D211</f>
        <v>65.17961902714127</v>
      </c>
      <c r="S211" s="31">
        <f>K211*100/E211</f>
        <v>62.78081349709756</v>
      </c>
    </row>
    <row r="212" spans="1:19" ht="12.75">
      <c r="A212" s="28" t="s">
        <v>23</v>
      </c>
      <c r="B212" s="49" t="s">
        <v>54</v>
      </c>
      <c r="C212" s="35" t="s">
        <v>22</v>
      </c>
      <c r="D212" s="25">
        <f>D9+D31+D46+D63+D80+D98+D114+D131+D147+D164+D181+D197</f>
        <v>642590.8</v>
      </c>
      <c r="E212" s="44">
        <f>G212+H212+I212+J212</f>
        <v>643361.7</v>
      </c>
      <c r="F212" s="61">
        <f aca="true" t="shared" si="110" ref="F212:F228">G212+H212</f>
        <v>330177.89999999997</v>
      </c>
      <c r="G212" s="25">
        <f>G9+G31+G46+G63+G80+G98+G114+G131+G147+G164+G181+G197</f>
        <v>154855.09999999998</v>
      </c>
      <c r="H212" s="25">
        <f>H9+H31+H46+H63+H80+H98+H114+H131+H147+H164+H181+H197</f>
        <v>175322.8</v>
      </c>
      <c r="I212" s="25">
        <f>I9+I31+I46+I63+I80+I98+I114+I131+I147+I164+I181+I197</f>
        <v>146560.2</v>
      </c>
      <c r="J212" s="25">
        <f>J9+J31+J46+J63+J80+J98+J114+J131+J147+J164+J181+J197</f>
        <v>166623.59999999998</v>
      </c>
      <c r="K212" s="25">
        <f>K9+K31+K46+K63+K80+K98+K114+K131+K147+K164+K181+K197</f>
        <v>403588.19999999995</v>
      </c>
      <c r="L212" s="27" t="e">
        <f>K212/#REF!*100</f>
        <v>#REF!</v>
      </c>
      <c r="M212" s="27">
        <f t="shared" si="109"/>
        <v>275.37366897698</v>
      </c>
      <c r="N212" s="57"/>
      <c r="O212" s="57"/>
      <c r="P212" s="24">
        <f t="shared" si="78"/>
        <v>242.21550848739312</v>
      </c>
      <c r="Q212" s="24">
        <f aca="true" t="shared" si="111" ref="Q212:Q229">K212*100/F212</f>
        <v>122.23355954471816</v>
      </c>
      <c r="R212" s="24">
        <f aca="true" t="shared" si="112" ref="R212:R229">K212*100/D212</f>
        <v>62.806408059374625</v>
      </c>
      <c r="S212" s="25">
        <f aca="true" t="shared" si="113" ref="S212:S229">K212*100/E212</f>
        <v>62.73115107722452</v>
      </c>
    </row>
    <row r="213" spans="1:19" ht="12.75">
      <c r="A213" s="19" t="s">
        <v>70</v>
      </c>
      <c r="B213" s="19"/>
      <c r="C213" s="35" t="s">
        <v>71</v>
      </c>
      <c r="D213" s="25">
        <f>D10+D32+D47+D64+D81+D99+D116+D132+D148+D165+D182+D198</f>
        <v>51911.1</v>
      </c>
      <c r="E213" s="44">
        <f aca="true" t="shared" si="114" ref="E213:E227">G213+H213+I213+J213</f>
        <v>51511.1</v>
      </c>
      <c r="F213" s="61">
        <f t="shared" si="110"/>
        <v>24713.199999999997</v>
      </c>
      <c r="G213" s="25">
        <f>G10+G32+G47+G64+G81+G99+G116+G132+G148+G165+G182+G198</f>
        <v>11844.099999999999</v>
      </c>
      <c r="H213" s="25">
        <f>H10+H32+H47+H64+H81+H99+H116+H132+H148+H165+H182+H198</f>
        <v>12869.1</v>
      </c>
      <c r="I213" s="25">
        <f>I10+I32+I47+I64+I81+I99+I116+I132+I148+I165+I182+I198</f>
        <v>13252.9</v>
      </c>
      <c r="J213" s="25">
        <f>J10+J32+J47+J64+J81+J99+J116+J132+J148+J165+J182+J198</f>
        <v>13545</v>
      </c>
      <c r="K213" s="25">
        <f>K10+K32+K47+K64+K81+K99+K116+K132+K148+K165+K182+K198</f>
        <v>23271.5</v>
      </c>
      <c r="L213" s="25">
        <f>L10</f>
        <v>0</v>
      </c>
      <c r="M213" s="25">
        <f>M10</f>
        <v>0</v>
      </c>
      <c r="N213" s="25">
        <f>N10</f>
        <v>0</v>
      </c>
      <c r="O213" s="25">
        <f>O10</f>
        <v>0</v>
      </c>
      <c r="P213" s="25">
        <f>P10</f>
        <v>0</v>
      </c>
      <c r="Q213" s="24">
        <f t="shared" si="111"/>
        <v>94.1662755126815</v>
      </c>
      <c r="R213" s="24">
        <f t="shared" si="112"/>
        <v>44.82952586248413</v>
      </c>
      <c r="S213" s="25">
        <f t="shared" si="113"/>
        <v>45.17764132390883</v>
      </c>
    </row>
    <row r="214" spans="1:19" ht="12.75">
      <c r="A214" s="19" t="s">
        <v>8</v>
      </c>
      <c r="B214" s="47" t="s">
        <v>55</v>
      </c>
      <c r="C214" s="35" t="s">
        <v>5</v>
      </c>
      <c r="D214" s="25">
        <f>D11+D48+D65+D199+D149+D115+D183+D82+D100+D166</f>
        <v>36219</v>
      </c>
      <c r="E214" s="44">
        <f t="shared" si="114"/>
        <v>36425.8</v>
      </c>
      <c r="F214" s="61">
        <f t="shared" si="110"/>
        <v>20487.5</v>
      </c>
      <c r="G214" s="25">
        <f>G11+G48+G65+G199+G149+G115+G183+G82+G100+G166</f>
        <v>10205.5</v>
      </c>
      <c r="H214" s="25">
        <f>H11+H48+H65+H199+H149+H115+H183+H82+H100+H166</f>
        <v>10282</v>
      </c>
      <c r="I214" s="25">
        <f>I11+I48+I65+I199+I149+I115+I183+I82+I100+I166</f>
        <v>8124.2</v>
      </c>
      <c r="J214" s="25">
        <f>J11+J48+J65+J199+J149+J115+J183+J82+J100+J166</f>
        <v>7814.099999999999</v>
      </c>
      <c r="K214" s="25">
        <f>K11+K48+K65+K199+K149+K115+K183+K82+K100+K166+K117</f>
        <v>32872.3</v>
      </c>
      <c r="L214" s="27" t="e">
        <f>K214/#REF!*100</f>
        <v>#REF!</v>
      </c>
      <c r="M214" s="27">
        <f t="shared" si="109"/>
        <v>404.6219935501342</v>
      </c>
      <c r="N214" s="57"/>
      <c r="O214" s="57"/>
      <c r="P214" s="24">
        <f t="shared" si="78"/>
        <v>420.67928488245616</v>
      </c>
      <c r="Q214" s="24">
        <f t="shared" si="111"/>
        <v>160.45051860890788</v>
      </c>
      <c r="R214" s="24">
        <f t="shared" si="112"/>
        <v>90.75982219277176</v>
      </c>
      <c r="S214" s="25">
        <f t="shared" si="113"/>
        <v>90.2445519384612</v>
      </c>
    </row>
    <row r="215" spans="1:19" ht="12.75">
      <c r="A215" s="19" t="s">
        <v>9</v>
      </c>
      <c r="B215" s="47" t="s">
        <v>56</v>
      </c>
      <c r="C215" s="35" t="s">
        <v>6</v>
      </c>
      <c r="D215" s="25">
        <f>D12+D33+D49+D66+D83+D101+D118+D133+D150+D167+D184+D200</f>
        <v>19478</v>
      </c>
      <c r="E215" s="44">
        <f t="shared" si="114"/>
        <v>22494.300000000003</v>
      </c>
      <c r="F215" s="61">
        <f t="shared" si="110"/>
        <v>10882.7</v>
      </c>
      <c r="G215" s="25">
        <f>G12+G33+G49+G66+G83+G101+G118+G133+G150+G167+G184+G200</f>
        <v>4064.5</v>
      </c>
      <c r="H215" s="25">
        <f>H12+H33+H49+H66+H83+H101+H118+H133+H150+H167+H184+H200</f>
        <v>6818.2</v>
      </c>
      <c r="I215" s="25">
        <f>I12+I33+I49+I66+I83+I101+I118+I133+I150+I167+I184+I200</f>
        <v>3589</v>
      </c>
      <c r="J215" s="25">
        <f>J12+J33+J49+J66+J83+J101+J118+J133+J150+J167+J184+J200</f>
        <v>8022.6</v>
      </c>
      <c r="K215" s="25">
        <f>K12+K33+K49+K66+K83+K101+K118+K133+K150+K167+K184+K200+0.1</f>
        <v>14726.9</v>
      </c>
      <c r="L215" s="27" t="e">
        <f>K215/#REF!*100</f>
        <v>#REF!</v>
      </c>
      <c r="M215" s="27">
        <f t="shared" si="109"/>
        <v>410.33435497353025</v>
      </c>
      <c r="N215" s="57"/>
      <c r="O215" s="57"/>
      <c r="P215" s="24">
        <f t="shared" si="78"/>
        <v>183.567671328497</v>
      </c>
      <c r="Q215" s="24">
        <f t="shared" si="111"/>
        <v>135.3239545333419</v>
      </c>
      <c r="R215" s="24">
        <f t="shared" si="112"/>
        <v>75.60786528391006</v>
      </c>
      <c r="S215" s="25">
        <f t="shared" si="113"/>
        <v>65.46947448909279</v>
      </c>
    </row>
    <row r="216" spans="1:19" ht="12.75">
      <c r="A216" s="19" t="s">
        <v>10</v>
      </c>
      <c r="B216" s="47" t="s">
        <v>49</v>
      </c>
      <c r="C216" s="35" t="s">
        <v>21</v>
      </c>
      <c r="D216" s="25">
        <f>D13+D34+D50+D67+D84+D102+D119+D134+D151+D168+D185+D201</f>
        <v>3776</v>
      </c>
      <c r="E216" s="44">
        <f t="shared" si="114"/>
        <v>3785.3</v>
      </c>
      <c r="F216" s="61">
        <f t="shared" si="110"/>
        <v>1907.8000000000002</v>
      </c>
      <c r="G216" s="25">
        <f>G13+G34+G67+G84+G102+G119+G134+G151+G168+G185+G201</f>
        <v>948</v>
      </c>
      <c r="H216" s="25">
        <f>H13+H34+H67+H84+H102+H119+H134+H151+H168+H185+H201</f>
        <v>959.8000000000001</v>
      </c>
      <c r="I216" s="25">
        <f>I13+I34+I67+I84+I102+I119+I134+I151+I168+I185+I201</f>
        <v>927.8000000000001</v>
      </c>
      <c r="J216" s="25">
        <f>J13+J34+J67+J84+J102+J119+J134+J151+J168+J185+J201</f>
        <v>949.6999999999999</v>
      </c>
      <c r="K216" s="25">
        <f>K13+K34+K50+K67+K84+K102+K119+K134+K151+K168+K185+K201</f>
        <v>2400</v>
      </c>
      <c r="L216" s="27" t="e">
        <f>K216/#REF!*100</f>
        <v>#REF!</v>
      </c>
      <c r="M216" s="27">
        <f t="shared" si="109"/>
        <v>258.6764388876913</v>
      </c>
      <c r="N216" s="57"/>
      <c r="O216" s="57"/>
      <c r="P216" s="24">
        <f t="shared" si="78"/>
        <v>252.71138254185533</v>
      </c>
      <c r="Q216" s="24">
        <f t="shared" si="111"/>
        <v>125.79935003669146</v>
      </c>
      <c r="R216" s="24">
        <f t="shared" si="112"/>
        <v>63.559322033898304</v>
      </c>
      <c r="S216" s="25">
        <f t="shared" si="113"/>
        <v>63.403164874646656</v>
      </c>
    </row>
    <row r="217" spans="1:19" ht="24" hidden="1">
      <c r="A217" s="19" t="s">
        <v>37</v>
      </c>
      <c r="B217" s="47" t="s">
        <v>57</v>
      </c>
      <c r="C217" s="35" t="s">
        <v>38</v>
      </c>
      <c r="D217" s="35"/>
      <c r="E217" s="44">
        <f t="shared" si="114"/>
        <v>0</v>
      </c>
      <c r="F217" s="61">
        <f t="shared" si="110"/>
        <v>0</v>
      </c>
      <c r="G217" s="50">
        <f>G14</f>
        <v>0</v>
      </c>
      <c r="H217" s="50">
        <f>H14</f>
        <v>0</v>
      </c>
      <c r="I217" s="50">
        <f>I14</f>
        <v>0</v>
      </c>
      <c r="J217" s="50">
        <f>J14</f>
        <v>0</v>
      </c>
      <c r="K217" s="50">
        <f>K14</f>
        <v>0</v>
      </c>
      <c r="L217" s="27" t="e">
        <f>K217/#REF!*100</f>
        <v>#REF!</v>
      </c>
      <c r="M217" s="27"/>
      <c r="N217" s="57"/>
      <c r="O217" s="57"/>
      <c r="P217" s="24" t="e">
        <f t="shared" si="78"/>
        <v>#DIV/0!</v>
      </c>
      <c r="Q217" s="24" t="e">
        <f t="shared" si="111"/>
        <v>#DIV/0!</v>
      </c>
      <c r="R217" s="24" t="e">
        <f t="shared" si="112"/>
        <v>#DIV/0!</v>
      </c>
      <c r="S217" s="25" t="e">
        <f t="shared" si="113"/>
        <v>#DIV/0!</v>
      </c>
    </row>
    <row r="218" spans="1:19" ht="24">
      <c r="A218" s="20" t="s">
        <v>11</v>
      </c>
      <c r="B218" s="51" t="s">
        <v>48</v>
      </c>
      <c r="C218" s="35" t="s">
        <v>17</v>
      </c>
      <c r="D218" s="25">
        <f>D15+D35+D51+D68+D85+D103+D120+D135+D152+D169+D186+D202</f>
        <v>100788.6</v>
      </c>
      <c r="E218" s="44">
        <f t="shared" si="114"/>
        <v>101528.79999999999</v>
      </c>
      <c r="F218" s="61">
        <f t="shared" si="110"/>
        <v>50853.29999999999</v>
      </c>
      <c r="G218" s="25">
        <f>G15+G35+G51+G68+G85+G103+G120+G135+G152+G169+G186+G202</f>
        <v>25227.799999999992</v>
      </c>
      <c r="H218" s="25">
        <f>H15+H35+H51+H68+H85+H103+H120+H135+H152+H169+H186+H202</f>
        <v>25625.5</v>
      </c>
      <c r="I218" s="25">
        <f>I15+I35+I51+I68+I85+I103+I120+I135+I152+I169+I186+I202</f>
        <v>25548.999999999996</v>
      </c>
      <c r="J218" s="25">
        <f>J15+J35+J51+J68+J85+J103+J120+J135+J152+J169+J186+J202</f>
        <v>25126.5</v>
      </c>
      <c r="K218" s="25">
        <f>K15+K35+K51+K68+K85+K103+K120+K135+K152+K169+K186+K202+0.1</f>
        <v>65834.1</v>
      </c>
      <c r="L218" s="27" t="e">
        <f>K218/#REF!*100</f>
        <v>#REF!</v>
      </c>
      <c r="M218" s="27">
        <f t="shared" si="109"/>
        <v>257.67779560843877</v>
      </c>
      <c r="N218" s="57"/>
      <c r="O218" s="57"/>
      <c r="P218" s="24">
        <f t="shared" si="78"/>
        <v>262.01062623126984</v>
      </c>
      <c r="Q218" s="24">
        <f t="shared" si="111"/>
        <v>129.45885517754016</v>
      </c>
      <c r="R218" s="24">
        <f t="shared" si="112"/>
        <v>65.3189944100821</v>
      </c>
      <c r="S218" s="25">
        <f t="shared" si="113"/>
        <v>64.84278352546274</v>
      </c>
    </row>
    <row r="219" spans="1:19" ht="12.75">
      <c r="A219" s="36" t="s">
        <v>14</v>
      </c>
      <c r="B219" s="52" t="s">
        <v>47</v>
      </c>
      <c r="C219" s="35" t="s">
        <v>13</v>
      </c>
      <c r="D219" s="25">
        <f>D16</f>
        <v>12245.1</v>
      </c>
      <c r="E219" s="44">
        <f t="shared" si="114"/>
        <v>7888.4</v>
      </c>
      <c r="F219" s="61">
        <f t="shared" si="110"/>
        <v>4256.5</v>
      </c>
      <c r="G219" s="25">
        <f>G16</f>
        <v>1658.6</v>
      </c>
      <c r="H219" s="25">
        <f>H16</f>
        <v>2597.9</v>
      </c>
      <c r="I219" s="25">
        <f>I16</f>
        <v>1816</v>
      </c>
      <c r="J219" s="25">
        <f>J16</f>
        <v>1815.9</v>
      </c>
      <c r="K219" s="25">
        <f>K16</f>
        <v>4389.9</v>
      </c>
      <c r="L219" s="27" t="e">
        <f>K219/#REF!*100</f>
        <v>#REF!</v>
      </c>
      <c r="M219" s="27">
        <f t="shared" si="109"/>
        <v>241.7345814977973</v>
      </c>
      <c r="N219" s="57"/>
      <c r="O219" s="57"/>
      <c r="P219" s="24">
        <f t="shared" si="78"/>
        <v>241.74789360647608</v>
      </c>
      <c r="Q219" s="24">
        <f t="shared" si="111"/>
        <v>103.1340303065899</v>
      </c>
      <c r="R219" s="24">
        <f t="shared" si="112"/>
        <v>35.85025847073523</v>
      </c>
      <c r="S219" s="25">
        <f t="shared" si="113"/>
        <v>55.6500684549465</v>
      </c>
    </row>
    <row r="220" spans="1:19" ht="24">
      <c r="A220" s="37" t="s">
        <v>42</v>
      </c>
      <c r="B220" s="53" t="s">
        <v>58</v>
      </c>
      <c r="C220" s="35" t="s">
        <v>43</v>
      </c>
      <c r="D220" s="54">
        <f>D17+D86+D104+D136+D153+D170+D187+D121+D69+D36</f>
        <v>11283</v>
      </c>
      <c r="E220" s="44">
        <f t="shared" si="114"/>
        <v>12461.3</v>
      </c>
      <c r="F220" s="61">
        <f t="shared" si="110"/>
        <v>6673</v>
      </c>
      <c r="G220" s="54">
        <f>G17+G86+G104+G136+G153+G170+G187+G121+G69+G36</f>
        <v>3800.5</v>
      </c>
      <c r="H220" s="54">
        <f>H17+H86+H104+H136+H153+H170+H187+H121+H69+H36</f>
        <v>2872.5</v>
      </c>
      <c r="I220" s="54">
        <f>I17+I86+I104+I136+I153+I170+I187+I121+I69+I36</f>
        <v>2685.7999999999997</v>
      </c>
      <c r="J220" s="54">
        <f>J17+J86+J104+J136+J153+J170+J187+J121+J69+J36</f>
        <v>3102.5</v>
      </c>
      <c r="K220" s="54">
        <f>K17+K86+K104+K136+K153+K170+K187+K121+K69+K36-0.1</f>
        <v>10742</v>
      </c>
      <c r="L220" s="27" t="e">
        <f>K220/#REF!*100</f>
        <v>#REF!</v>
      </c>
      <c r="M220" s="27">
        <f t="shared" si="109"/>
        <v>399.9553205748753</v>
      </c>
      <c r="N220" s="57"/>
      <c r="O220" s="57"/>
      <c r="P220" s="24">
        <f t="shared" si="78"/>
        <v>346.2369057211926</v>
      </c>
      <c r="Q220" s="24">
        <f t="shared" si="111"/>
        <v>160.9770717818073</v>
      </c>
      <c r="R220" s="24">
        <f t="shared" si="112"/>
        <v>95.20517592838785</v>
      </c>
      <c r="S220" s="25">
        <f t="shared" si="113"/>
        <v>86.2028841292642</v>
      </c>
    </row>
    <row r="221" spans="1:19" ht="12.75">
      <c r="A221" s="37" t="s">
        <v>18</v>
      </c>
      <c r="B221" s="53" t="s">
        <v>53</v>
      </c>
      <c r="C221" s="35" t="s">
        <v>15</v>
      </c>
      <c r="D221" s="25">
        <f>D18+D37+D52+D70+D87+D105+D122+D154+D171+D188+D203+D137</f>
        <v>22707</v>
      </c>
      <c r="E221" s="44">
        <f t="shared" si="114"/>
        <v>47676.8</v>
      </c>
      <c r="F221" s="61">
        <f t="shared" si="110"/>
        <v>39526.3</v>
      </c>
      <c r="G221" s="25">
        <f>G18+G37+G52+G70+G87+G105+G122+G154+G171+G188+G203+G137</f>
        <v>30345.1</v>
      </c>
      <c r="H221" s="25">
        <f>H18+H37+H52+H70+H87+H105+H122+H154+H171+H188+H203+H137</f>
        <v>9181.2</v>
      </c>
      <c r="I221" s="25">
        <f>I18+I37+I52+I70+I87+I105+I122+I154+I171+I188+I203+I137</f>
        <v>4127.6</v>
      </c>
      <c r="J221" s="25">
        <f>J18+J37+J52+J70+J87+J105+J122+J154+J171+J188+J203+J137</f>
        <v>4022.8999999999996</v>
      </c>
      <c r="K221" s="25">
        <f>K18+K37+K52+K70+K87+K105+K122+K154+K171+K188+K203+K137+0.1</f>
        <v>18571.799999999996</v>
      </c>
      <c r="L221" s="27" t="e">
        <f>K221/#REF!*100</f>
        <v>#REF!</v>
      </c>
      <c r="M221" s="27">
        <f t="shared" si="109"/>
        <v>449.94185483089433</v>
      </c>
      <c r="N221" s="57"/>
      <c r="O221" s="57"/>
      <c r="P221" s="24">
        <f aca="true" t="shared" si="115" ref="P221:P229">K221*100/J221</f>
        <v>461.65204205921094</v>
      </c>
      <c r="Q221" s="24">
        <f t="shared" si="111"/>
        <v>46.98593088652364</v>
      </c>
      <c r="R221" s="24">
        <f t="shared" si="112"/>
        <v>81.78887567710396</v>
      </c>
      <c r="S221" s="25">
        <f t="shared" si="113"/>
        <v>38.95353715014429</v>
      </c>
    </row>
    <row r="222" spans="1:19" ht="12.75">
      <c r="A222" s="37" t="s">
        <v>60</v>
      </c>
      <c r="B222" s="37"/>
      <c r="C222" s="35" t="s">
        <v>61</v>
      </c>
      <c r="D222" s="25">
        <f>D19</f>
        <v>5</v>
      </c>
      <c r="E222" s="44">
        <f t="shared" si="114"/>
        <v>5.2</v>
      </c>
      <c r="F222" s="61">
        <f t="shared" si="110"/>
        <v>5.2</v>
      </c>
      <c r="G222" s="25">
        <f>G19</f>
        <v>4.2</v>
      </c>
      <c r="H222" s="25">
        <f>H19</f>
        <v>1</v>
      </c>
      <c r="I222" s="25">
        <f>I19</f>
        <v>0</v>
      </c>
      <c r="J222" s="25">
        <f>J19</f>
        <v>0</v>
      </c>
      <c r="K222" s="25">
        <f>K19</f>
        <v>6.2</v>
      </c>
      <c r="L222" s="27" t="e">
        <f>K222/#REF!*100</f>
        <v>#REF!</v>
      </c>
      <c r="M222" s="27" t="e">
        <f t="shared" si="109"/>
        <v>#DIV/0!</v>
      </c>
      <c r="N222" s="57"/>
      <c r="O222" s="57"/>
      <c r="P222" s="24" t="e">
        <f t="shared" si="115"/>
        <v>#DIV/0!</v>
      </c>
      <c r="Q222" s="24">
        <f t="shared" si="111"/>
        <v>119.23076923076923</v>
      </c>
      <c r="R222" s="24">
        <f t="shared" si="112"/>
        <v>124</v>
      </c>
      <c r="S222" s="25">
        <f t="shared" si="113"/>
        <v>119.23076923076923</v>
      </c>
    </row>
    <row r="223" spans="1:19" ht="12.75">
      <c r="A223" s="28" t="s">
        <v>12</v>
      </c>
      <c r="B223" s="49" t="s">
        <v>50</v>
      </c>
      <c r="C223" s="35" t="s">
        <v>7</v>
      </c>
      <c r="D223" s="25">
        <f>D20+D189+D204+D71+D138+D53+D155+D88</f>
        <v>4042.5</v>
      </c>
      <c r="E223" s="44">
        <f t="shared" si="114"/>
        <v>12451.499999999998</v>
      </c>
      <c r="F223" s="61">
        <f t="shared" si="110"/>
        <v>10803.099999999999</v>
      </c>
      <c r="G223" s="25">
        <f aca="true" t="shared" si="116" ref="G223:P223">G20+G189+G204+G71+G138+G53+G155+G88</f>
        <v>7866.4</v>
      </c>
      <c r="H223" s="25">
        <f t="shared" si="116"/>
        <v>2936.7</v>
      </c>
      <c r="I223" s="25">
        <f t="shared" si="116"/>
        <v>819.6</v>
      </c>
      <c r="J223" s="25">
        <f t="shared" si="116"/>
        <v>828.8</v>
      </c>
      <c r="K223" s="25">
        <f>K20+K189+K204+K71+K138+K53+K155+K88</f>
        <v>13163.7</v>
      </c>
      <c r="L223" s="25" t="e">
        <f t="shared" si="116"/>
        <v>#REF!</v>
      </c>
      <c r="M223" s="25" t="e">
        <f t="shared" si="116"/>
        <v>#DIV/0!</v>
      </c>
      <c r="N223" s="25">
        <f t="shared" si="116"/>
        <v>0</v>
      </c>
      <c r="O223" s="25">
        <f t="shared" si="116"/>
        <v>0</v>
      </c>
      <c r="P223" s="25" t="e">
        <f t="shared" si="116"/>
        <v>#DIV/0!</v>
      </c>
      <c r="Q223" s="24">
        <f t="shared" si="111"/>
        <v>121.85113532226862</v>
      </c>
      <c r="R223" s="24">
        <f t="shared" si="112"/>
        <v>325.6326530612245</v>
      </c>
      <c r="S223" s="25">
        <f t="shared" si="113"/>
        <v>105.71979279604868</v>
      </c>
    </row>
    <row r="224" spans="1:19" ht="12.75">
      <c r="A224" s="38" t="s">
        <v>39</v>
      </c>
      <c r="B224" s="55" t="s">
        <v>57</v>
      </c>
      <c r="C224" s="23" t="s">
        <v>40</v>
      </c>
      <c r="D224" s="25">
        <f>D21+D38+D54+D72+D89+D106+D124+D139+D156+D173+D190+D205</f>
        <v>0</v>
      </c>
      <c r="E224" s="44">
        <f>G224+H224+I224+J224+E124</f>
        <v>37</v>
      </c>
      <c r="F224" s="61">
        <f t="shared" si="110"/>
        <v>1.8</v>
      </c>
      <c r="G224" s="25">
        <f>G21+G38+G54+G72+G89+G106+G124+G139+G156+G173+G190+G205</f>
        <v>0</v>
      </c>
      <c r="H224" s="25">
        <f>H21+H38+H54+H72+H89+H106+H124+H139+H156+H173+H190+H205</f>
        <v>1.8</v>
      </c>
      <c r="I224" s="25">
        <f>I21+I38+I54+I72+I89+I106+I124+I139+I156+I173+I190+I205</f>
        <v>0.1</v>
      </c>
      <c r="J224" s="25">
        <f>J21+J38+J54+J72+J89+J106+J124+J139+J156+J173+J190+J205</f>
        <v>0</v>
      </c>
      <c r="K224" s="25">
        <f>K21+K38+K54+K72+K89+K106+K124+K139+K156+K173+K190+K205+0.1</f>
        <v>339.00000000000006</v>
      </c>
      <c r="L224" s="27"/>
      <c r="M224" s="27"/>
      <c r="N224" s="57"/>
      <c r="O224" s="57"/>
      <c r="P224" s="24" t="e">
        <f t="shared" si="115"/>
        <v>#DIV/0!</v>
      </c>
      <c r="Q224" s="24">
        <f t="shared" si="111"/>
        <v>18833.333333333336</v>
      </c>
      <c r="R224" s="24"/>
      <c r="S224" s="25">
        <f t="shared" si="113"/>
        <v>916.2162162162164</v>
      </c>
    </row>
    <row r="225" spans="1:19" ht="12.75">
      <c r="A225" s="32" t="s">
        <v>1</v>
      </c>
      <c r="B225" s="48"/>
      <c r="C225" s="39" t="s">
        <v>0</v>
      </c>
      <c r="D225" s="40">
        <f aca="true" t="shared" si="117" ref="D225:J225">D226+D227+D228</f>
        <v>2614355.8</v>
      </c>
      <c r="E225" s="40">
        <f t="shared" si="117"/>
        <v>2743199.9</v>
      </c>
      <c r="F225" s="40">
        <f t="shared" si="117"/>
        <v>1510880.8</v>
      </c>
      <c r="G225" s="40">
        <f t="shared" si="117"/>
        <v>637162.2000000001</v>
      </c>
      <c r="H225" s="40">
        <f t="shared" si="117"/>
        <v>873718.6</v>
      </c>
      <c r="I225" s="40">
        <f t="shared" si="117"/>
        <v>628376.6</v>
      </c>
      <c r="J225" s="40">
        <f t="shared" si="117"/>
        <v>603942.5</v>
      </c>
      <c r="K225" s="40">
        <f>K226+K227+K228-0.1</f>
        <v>1407884.6999999997</v>
      </c>
      <c r="L225" s="34" t="e">
        <f>K225/#REF!*100</f>
        <v>#REF!</v>
      </c>
      <c r="M225" s="34">
        <f>K225/I225*100</f>
        <v>224.05110247580825</v>
      </c>
      <c r="N225" s="57"/>
      <c r="O225" s="57"/>
      <c r="P225" s="43">
        <f t="shared" si="115"/>
        <v>233.11568568199783</v>
      </c>
      <c r="Q225" s="43">
        <f t="shared" si="111"/>
        <v>93.18304263314482</v>
      </c>
      <c r="R225" s="43">
        <f t="shared" si="112"/>
        <v>53.85206940845618</v>
      </c>
      <c r="S225" s="31">
        <f t="shared" si="113"/>
        <v>51.322716219113296</v>
      </c>
    </row>
    <row r="226" spans="1:19" ht="24">
      <c r="A226" s="21" t="s">
        <v>67</v>
      </c>
      <c r="B226" s="47" t="s">
        <v>51</v>
      </c>
      <c r="C226" s="41" t="s">
        <v>20</v>
      </c>
      <c r="D226" s="24">
        <f>D23</f>
        <v>2594355.8</v>
      </c>
      <c r="E226" s="44">
        <f t="shared" si="114"/>
        <v>2663273</v>
      </c>
      <c r="F226" s="61">
        <f t="shared" si="110"/>
        <v>1493947.6</v>
      </c>
      <c r="G226" s="24">
        <f>G23</f>
        <v>663793.4</v>
      </c>
      <c r="H226" s="24">
        <f>H23</f>
        <v>830154.2</v>
      </c>
      <c r="I226" s="24">
        <f>I23</f>
        <v>588382.9</v>
      </c>
      <c r="J226" s="24">
        <f>J23-76.3-153.1-18.7-34.6</f>
        <v>580942.5</v>
      </c>
      <c r="K226" s="24">
        <f>K23-11.3</f>
        <v>1393966.5999999999</v>
      </c>
      <c r="L226" s="27" t="e">
        <f>K226/#REF!*100</f>
        <v>#REF!</v>
      </c>
      <c r="M226" s="27">
        <f>K226/I226*100</f>
        <v>236.9148729509304</v>
      </c>
      <c r="N226" s="57"/>
      <c r="O226" s="57"/>
      <c r="P226" s="24">
        <f t="shared" si="115"/>
        <v>239.9491515941767</v>
      </c>
      <c r="Q226" s="24">
        <f t="shared" si="111"/>
        <v>93.30759659843491</v>
      </c>
      <c r="R226" s="24">
        <f t="shared" si="112"/>
        <v>53.73074117281832</v>
      </c>
      <c r="S226" s="25">
        <f t="shared" si="113"/>
        <v>52.34035714701422</v>
      </c>
    </row>
    <row r="227" spans="1:19" ht="12.75">
      <c r="A227" s="21" t="s">
        <v>2</v>
      </c>
      <c r="B227" s="21" t="s">
        <v>52</v>
      </c>
      <c r="C227" s="42" t="s">
        <v>19</v>
      </c>
      <c r="D227" s="25">
        <f>D24+D93+D109+D176+D142+D57+D41+D159+D75</f>
        <v>20000</v>
      </c>
      <c r="E227" s="44">
        <f t="shared" si="114"/>
        <v>83262.9</v>
      </c>
      <c r="F227" s="61">
        <f t="shared" si="110"/>
        <v>40262.9</v>
      </c>
      <c r="G227" s="25">
        <f>G24+G93+G109+G176+G142+G57+G159+G75</f>
        <v>20005</v>
      </c>
      <c r="H227" s="25">
        <f>H24+H93+H109+H176+H142+H57+H159+H75</f>
        <v>20257.9</v>
      </c>
      <c r="I227" s="25">
        <f>I24+I93+I109+I176+I142+I57+I159+I75</f>
        <v>20000</v>
      </c>
      <c r="J227" s="25">
        <f>J24+J93+J109+J176+J142+J57+J159+J75</f>
        <v>23000</v>
      </c>
      <c r="K227" s="25">
        <f>K24+K93+K109+K176+K142+K57+K159+K75</f>
        <v>46614.3</v>
      </c>
      <c r="L227" s="27" t="e">
        <f>K227/#REF!*100</f>
        <v>#REF!</v>
      </c>
      <c r="M227" s="27">
        <f>K227/I227*100</f>
        <v>233.07150000000001</v>
      </c>
      <c r="N227" s="57"/>
      <c r="O227" s="57"/>
      <c r="P227" s="24">
        <f t="shared" si="115"/>
        <v>202.6708695652174</v>
      </c>
      <c r="Q227" s="24">
        <f t="shared" si="111"/>
        <v>115.77481999557905</v>
      </c>
      <c r="R227" s="24">
        <f t="shared" si="112"/>
        <v>233.0715</v>
      </c>
      <c r="S227" s="25">
        <f t="shared" si="113"/>
        <v>55.984478080873956</v>
      </c>
    </row>
    <row r="228" spans="1:19" ht="24">
      <c r="A228" s="21" t="s">
        <v>66</v>
      </c>
      <c r="B228" s="22"/>
      <c r="C228" s="26" t="s">
        <v>63</v>
      </c>
      <c r="D228" s="25">
        <f>D26+D41</f>
        <v>0</v>
      </c>
      <c r="E228" s="25">
        <f>E26+E41</f>
        <v>-3335.9999999999973</v>
      </c>
      <c r="F228" s="61">
        <f t="shared" si="110"/>
        <v>-23329.699999999997</v>
      </c>
      <c r="G228" s="25">
        <f>G26+G41</f>
        <v>-46636.2</v>
      </c>
      <c r="H228" s="25">
        <f>H26+H41</f>
        <v>23306.5</v>
      </c>
      <c r="I228" s="25">
        <f>I26+I41</f>
        <v>19993.7</v>
      </c>
      <c r="J228" s="25">
        <f>J26+J41</f>
        <v>0</v>
      </c>
      <c r="K228" s="25">
        <f>K26+K41</f>
        <v>-32696.1</v>
      </c>
      <c r="L228" s="27" t="e">
        <f>K228/#REF!*100</f>
        <v>#REF!</v>
      </c>
      <c r="M228" s="27"/>
      <c r="N228" s="57"/>
      <c r="O228" s="57"/>
      <c r="P228" s="24" t="e">
        <f t="shared" si="115"/>
        <v>#DIV/0!</v>
      </c>
      <c r="Q228" s="24">
        <f t="shared" si="111"/>
        <v>140.14796589754692</v>
      </c>
      <c r="R228" s="24"/>
      <c r="S228" s="25">
        <f t="shared" si="113"/>
        <v>980.0989208633101</v>
      </c>
    </row>
    <row r="229" spans="1:19" ht="12.75">
      <c r="A229" s="28"/>
      <c r="B229" s="29"/>
      <c r="C229" s="30" t="s">
        <v>4</v>
      </c>
      <c r="D229" s="31">
        <f aca="true" t="shared" si="118" ref="D229:K229">D225+D211</f>
        <v>3519401.9</v>
      </c>
      <c r="E229" s="31">
        <f t="shared" si="118"/>
        <v>3682827.1</v>
      </c>
      <c r="F229" s="31">
        <f t="shared" si="118"/>
        <v>2011169.1</v>
      </c>
      <c r="G229" s="31">
        <f t="shared" si="118"/>
        <v>887982</v>
      </c>
      <c r="H229" s="31">
        <f t="shared" si="118"/>
        <v>1123187.1</v>
      </c>
      <c r="I229" s="31">
        <f t="shared" si="118"/>
        <v>835828.8</v>
      </c>
      <c r="J229" s="31">
        <f t="shared" si="118"/>
        <v>835794.1</v>
      </c>
      <c r="K229" s="31">
        <f t="shared" si="118"/>
        <v>1997790.2999999998</v>
      </c>
      <c r="L229" s="34" t="e">
        <f>K229/#REF!*100</f>
        <v>#REF!</v>
      </c>
      <c r="M229" s="34">
        <f>K229/I229*100</f>
        <v>239.01907902670976</v>
      </c>
      <c r="N229" s="57"/>
      <c r="O229" s="58" t="e">
        <f>J229+#REF!+#REF!</f>
        <v>#REF!</v>
      </c>
      <c r="P229" s="43">
        <f t="shared" si="115"/>
        <v>239.02900247800264</v>
      </c>
      <c r="Q229" s="43">
        <f t="shared" si="111"/>
        <v>99.33477498237217</v>
      </c>
      <c r="R229" s="43">
        <f t="shared" si="112"/>
        <v>56.76505147081951</v>
      </c>
      <c r="S229" s="31">
        <f t="shared" si="113"/>
        <v>54.246106204659995</v>
      </c>
    </row>
    <row r="230" spans="3:9" ht="12.75">
      <c r="C230" s="8"/>
      <c r="D230" s="8"/>
      <c r="E230" s="8"/>
      <c r="F230" s="8"/>
      <c r="G230" s="8"/>
      <c r="H230" s="8"/>
      <c r="I230" s="2"/>
    </row>
    <row r="231" spans="3:12" ht="12.75">
      <c r="C231" s="9" t="s">
        <v>59</v>
      </c>
      <c r="D231" s="9"/>
      <c r="E231" s="9"/>
      <c r="F231" s="9"/>
      <c r="G231" s="9"/>
      <c r="H231" s="9"/>
      <c r="I231" s="3"/>
      <c r="J231" s="3"/>
      <c r="K231" s="5"/>
      <c r="L231" s="5"/>
    </row>
    <row r="232" spans="3:13" ht="12.75" hidden="1">
      <c r="C232" s="9"/>
      <c r="D232" s="9"/>
      <c r="E232" s="9"/>
      <c r="F232" s="9"/>
      <c r="G232" s="9"/>
      <c r="H232" s="9"/>
      <c r="I232" s="3" t="s">
        <v>62</v>
      </c>
      <c r="J232" s="3">
        <f>J231-J211</f>
        <v>-231851.59999999998</v>
      </c>
      <c r="K232" s="4"/>
      <c r="L232" s="5"/>
      <c r="M232" s="2" t="e">
        <f>O27+O42+O59+O76+O94+O110+O127+O143+O160+O177+O193+O208-#REF!-#REF!-#REF!-#REF!-#REF!-#REF!-#REF!-#REF!-#REF!-#REF!-#REF!-#REF!-5301.3-7951.9-535.1-7243.1</f>
        <v>#REF!</v>
      </c>
    </row>
    <row r="233" spans="1:13" ht="12.75" hidden="1">
      <c r="A233" s="2"/>
      <c r="C233" s="9"/>
      <c r="D233" s="9"/>
      <c r="E233" s="9"/>
      <c r="F233" s="9"/>
      <c r="G233" s="9"/>
      <c r="H233" s="9"/>
      <c r="I233" s="6"/>
      <c r="J233" s="3"/>
      <c r="K233" s="5"/>
      <c r="L233" s="5"/>
      <c r="M233" s="2" t="e">
        <f>O229-M232</f>
        <v>#REF!</v>
      </c>
    </row>
    <row r="234" spans="3:12" ht="12.75" hidden="1">
      <c r="C234" s="10"/>
      <c r="D234" s="10"/>
      <c r="E234" s="10"/>
      <c r="F234" s="10"/>
      <c r="G234" s="10"/>
      <c r="H234" s="10"/>
      <c r="I234" s="3"/>
      <c r="J234" s="3">
        <f>J233-J225</f>
        <v>-603942.5</v>
      </c>
      <c r="K234" s="5"/>
      <c r="L234" s="5"/>
    </row>
    <row r="235" spans="3:12" ht="12.75" hidden="1">
      <c r="C235" s="10"/>
      <c r="D235" s="10"/>
      <c r="E235" s="10"/>
      <c r="F235" s="10"/>
      <c r="G235" s="10"/>
      <c r="H235" s="10"/>
      <c r="I235" s="6"/>
      <c r="J235" s="3" t="e">
        <f>#REF!+#REF!+#REF!+#REF!+#REF!+#REF!+#REF!+#REF!+#REF!+#REF!</f>
        <v>#REF!</v>
      </c>
      <c r="K235" s="5"/>
      <c r="L235" s="5"/>
    </row>
    <row r="236" spans="1:12" ht="12.75" hidden="1">
      <c r="A236" s="2">
        <f>J211+J225</f>
        <v>835794.1</v>
      </c>
      <c r="C236" s="18"/>
      <c r="D236" s="18"/>
      <c r="E236" s="18"/>
      <c r="F236" s="18"/>
      <c r="G236" s="18"/>
      <c r="H236" s="18"/>
      <c r="I236" s="6"/>
      <c r="J236" s="3" t="e">
        <f>J235-#REF!</f>
        <v>#REF!</v>
      </c>
      <c r="K236" s="5"/>
      <c r="L236" s="5"/>
    </row>
    <row r="237" spans="1:12" ht="12.75" hidden="1">
      <c r="A237" s="2" t="e">
        <f>#REF!+#REF!</f>
        <v>#REF!</v>
      </c>
      <c r="C237" s="10"/>
      <c r="D237" s="10"/>
      <c r="E237" s="10"/>
      <c r="F237" s="10"/>
      <c r="G237" s="10"/>
      <c r="H237" s="10"/>
      <c r="I237" s="6"/>
      <c r="J237" s="3" t="e">
        <f>J231+J233+J235</f>
        <v>#REF!</v>
      </c>
      <c r="K237" s="5"/>
      <c r="L237" s="5"/>
    </row>
    <row r="238" spans="1:12" ht="12.75" hidden="1">
      <c r="A238" s="2" t="e">
        <f>J211+#REF!</f>
        <v>#REF!</v>
      </c>
      <c r="C238" s="9"/>
      <c r="D238" s="9"/>
      <c r="E238" s="9"/>
      <c r="F238" s="9"/>
      <c r="G238" s="9"/>
      <c r="H238" s="9"/>
      <c r="I238" s="6"/>
      <c r="J238" s="3">
        <f>J27+J42+J59+J76+J94+J110+J127+J143+J160+J177+J193+J208-J206-J191-J174-J157-J140-J125-J107-J91-J73-J39-J55</f>
        <v>836076.7999999997</v>
      </c>
      <c r="K238" s="5"/>
      <c r="L238" s="5"/>
    </row>
    <row r="239" spans="1:12" ht="12.75" hidden="1">
      <c r="A239" s="2" t="e">
        <f>J225+#REF!</f>
        <v>#REF!</v>
      </c>
      <c r="C239" s="9"/>
      <c r="D239" s="9"/>
      <c r="E239" s="9"/>
      <c r="F239" s="9"/>
      <c r="G239" s="9"/>
      <c r="H239" s="9"/>
      <c r="I239" s="6"/>
      <c r="J239" s="3">
        <f>J238-J229</f>
        <v>282.6999999997206</v>
      </c>
      <c r="K239" s="5"/>
      <c r="L239" s="5"/>
    </row>
    <row r="240" spans="3:12" ht="12.75" hidden="1">
      <c r="C240" s="9"/>
      <c r="D240" s="9"/>
      <c r="E240" s="9"/>
      <c r="F240" s="9"/>
      <c r="G240" s="9"/>
      <c r="H240" s="9"/>
      <c r="I240" s="6"/>
      <c r="J240" s="3"/>
      <c r="K240" s="5"/>
      <c r="L240" s="5"/>
    </row>
    <row r="241" spans="3:12" ht="12.75" hidden="1">
      <c r="C241" s="8"/>
      <c r="D241" s="8"/>
      <c r="E241" s="8"/>
      <c r="F241" s="8"/>
      <c r="G241" s="8"/>
      <c r="H241" s="8"/>
      <c r="I241" s="5"/>
      <c r="J241" s="4"/>
      <c r="K241" s="5"/>
      <c r="L241" s="5"/>
    </row>
    <row r="242" spans="3:12" ht="12.75">
      <c r="C242" s="8"/>
      <c r="D242" s="8"/>
      <c r="E242" s="8"/>
      <c r="F242" s="8"/>
      <c r="G242" s="63"/>
      <c r="H242" s="63"/>
      <c r="I242" s="63"/>
      <c r="J242" s="63"/>
      <c r="K242" s="63"/>
      <c r="L242" s="5"/>
    </row>
    <row r="243" spans="3:16" ht="12.75">
      <c r="C243" s="8"/>
      <c r="D243" s="67"/>
      <c r="E243" s="67"/>
      <c r="F243" s="67"/>
      <c r="G243" s="67"/>
      <c r="H243" s="67"/>
      <c r="I243" s="67"/>
      <c r="J243" s="67"/>
      <c r="K243" s="67"/>
      <c r="L243" s="67" t="e">
        <f>L40+L56+L74+L92+L108+L126+L141+L158+L175+L192+L207</f>
        <v>#REF!</v>
      </c>
      <c r="M243" s="67">
        <f>M40+M56+M74+M92+M108+M126+M141+M158+M175+M192+M207</f>
        <v>2389.599257848837</v>
      </c>
      <c r="N243" s="67">
        <f>N40+N56+N74+N92+N108+N126+N141+N158+N175+N192+N207</f>
        <v>0.1</v>
      </c>
      <c r="O243" s="67">
        <f>O40+O56+O74+O92+O108+O126+O141+O158+O175+O192+O207</f>
        <v>0</v>
      </c>
      <c r="P243" s="67">
        <f>P40+P56+P74+P92+P108+P126+P141+P158+P175+P192+P207</f>
        <v>2989.6475557411272</v>
      </c>
    </row>
    <row r="244" spans="3:12" ht="12.75">
      <c r="C244" s="8"/>
      <c r="D244" s="8"/>
      <c r="E244" s="8"/>
      <c r="F244" s="8"/>
      <c r="G244" s="63"/>
      <c r="H244" s="63"/>
      <c r="I244" s="63"/>
      <c r="J244" s="63"/>
      <c r="K244" s="63"/>
      <c r="L244" s="5"/>
    </row>
    <row r="245" spans="9:12" ht="12.75">
      <c r="I245" s="5"/>
      <c r="J245" s="4"/>
      <c r="K245" s="5"/>
      <c r="L245" s="5"/>
    </row>
    <row r="246" spans="9:12" ht="12.75">
      <c r="I246" s="5"/>
      <c r="J246" s="4"/>
      <c r="K246" s="5"/>
      <c r="L246" s="5"/>
    </row>
    <row r="247" spans="9:12" ht="12.75">
      <c r="I247" s="5"/>
      <c r="J247" s="4"/>
      <c r="K247" s="5"/>
      <c r="L247" s="5"/>
    </row>
    <row r="248" spans="3:12" ht="12.75">
      <c r="C248" s="8"/>
      <c r="D248" s="8"/>
      <c r="E248" s="8"/>
      <c r="F248" s="8"/>
      <c r="G248" s="8"/>
      <c r="H248" s="8"/>
      <c r="I248" s="5"/>
      <c r="J248" s="4"/>
      <c r="K248" s="5"/>
      <c r="L248" s="5"/>
    </row>
    <row r="249" spans="3:12" ht="12.75">
      <c r="C249" s="8"/>
      <c r="D249" s="8"/>
      <c r="E249" s="8"/>
      <c r="F249" s="8"/>
      <c r="G249" s="8"/>
      <c r="H249" s="8"/>
      <c r="I249" s="5"/>
      <c r="J249" s="4"/>
      <c r="K249" s="5"/>
      <c r="L249" s="5"/>
    </row>
    <row r="250" spans="3:12" ht="12.75">
      <c r="C250" s="8"/>
      <c r="D250" s="8"/>
      <c r="E250" s="8"/>
      <c r="F250" s="8"/>
      <c r="G250" s="8"/>
      <c r="H250" s="8"/>
      <c r="I250" s="5"/>
      <c r="J250" s="4"/>
      <c r="K250" s="5"/>
      <c r="L250" s="5"/>
    </row>
    <row r="251" spans="3:12" ht="12.75">
      <c r="C251" s="8"/>
      <c r="D251" s="8"/>
      <c r="E251" s="8"/>
      <c r="F251" s="8"/>
      <c r="G251" s="8"/>
      <c r="H251" s="8"/>
      <c r="I251" s="5"/>
      <c r="J251" s="4"/>
      <c r="K251" s="5"/>
      <c r="L251" s="5"/>
    </row>
    <row r="252" spans="3:12" ht="12.75">
      <c r="C252" s="8"/>
      <c r="D252" s="8"/>
      <c r="E252" s="8"/>
      <c r="F252" s="8"/>
      <c r="G252" s="8"/>
      <c r="H252" s="8"/>
      <c r="I252" s="4"/>
      <c r="J252" s="4"/>
      <c r="K252" s="4"/>
      <c r="L252" s="5"/>
    </row>
    <row r="253" spans="3:12" ht="12.75">
      <c r="C253" s="8"/>
      <c r="D253" s="8"/>
      <c r="E253" s="8"/>
      <c r="F253" s="8"/>
      <c r="G253" s="8"/>
      <c r="H253" s="8"/>
      <c r="I253" s="5"/>
      <c r="J253" s="5"/>
      <c r="K253" s="5"/>
      <c r="L253" s="5"/>
    </row>
    <row r="254" spans="3:12" ht="12.75">
      <c r="C254" s="8"/>
      <c r="D254" s="8"/>
      <c r="E254" s="8"/>
      <c r="F254" s="8"/>
      <c r="G254" s="8"/>
      <c r="H254" s="8"/>
      <c r="I254" s="7"/>
      <c r="J254" s="4"/>
      <c r="K254" s="5"/>
      <c r="L254" s="5"/>
    </row>
  </sheetData>
  <sheetProtection/>
  <mergeCells count="43">
    <mergeCell ref="A1:S1"/>
    <mergeCell ref="A210:S210"/>
    <mergeCell ref="R4:R6"/>
    <mergeCell ref="K4:K6"/>
    <mergeCell ref="L4:L6"/>
    <mergeCell ref="M4:M6"/>
    <mergeCell ref="N4:N6"/>
    <mergeCell ref="O4:O6"/>
    <mergeCell ref="P4:P6"/>
    <mergeCell ref="S4:S6"/>
    <mergeCell ref="Q4:Q6"/>
    <mergeCell ref="E4:E6"/>
    <mergeCell ref="F4:F6"/>
    <mergeCell ref="G4:G6"/>
    <mergeCell ref="H4:H6"/>
    <mergeCell ref="A128:M128"/>
    <mergeCell ref="I4:I6"/>
    <mergeCell ref="J4:J6"/>
    <mergeCell ref="A78:P78"/>
    <mergeCell ref="A96:P96"/>
    <mergeCell ref="A209:M209"/>
    <mergeCell ref="A194:M194"/>
    <mergeCell ref="A161:M161"/>
    <mergeCell ref="A178:M178"/>
    <mergeCell ref="A179:P179"/>
    <mergeCell ref="A195:P195"/>
    <mergeCell ref="A2:M2"/>
    <mergeCell ref="A95:M95"/>
    <mergeCell ref="A111:M111"/>
    <mergeCell ref="A29:P29"/>
    <mergeCell ref="A44:P44"/>
    <mergeCell ref="D4:D6"/>
    <mergeCell ref="A7:P7"/>
    <mergeCell ref="A28:M28"/>
    <mergeCell ref="A60:M60"/>
    <mergeCell ref="A77:M77"/>
    <mergeCell ref="C43:M43"/>
    <mergeCell ref="A61:P61"/>
    <mergeCell ref="A162:P162"/>
    <mergeCell ref="A145:P145"/>
    <mergeCell ref="A144:M144"/>
    <mergeCell ref="A112:P112"/>
    <mergeCell ref="A129:P129"/>
  </mergeCells>
  <printOptions/>
  <pageMargins left="0" right="0" top="0.15748031496062992" bottom="0.15748031496062992" header="0.15748031496062992" footer="0.1968503937007874"/>
  <pageSetup fitToHeight="7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13.75390625" style="0" customWidth="1"/>
    <col min="2" max="2" width="61.75390625" style="0" customWidth="1"/>
    <col min="3" max="3" width="15.00390625" style="0" customWidth="1"/>
    <col min="4" max="4" width="15.125" style="0" customWidth="1"/>
    <col min="5" max="5" width="10.25390625" style="0" customWidth="1"/>
    <col min="6" max="6" width="13.875" style="0" customWidth="1"/>
    <col min="7" max="7" width="13.125" style="0" customWidth="1"/>
    <col min="8" max="8" width="8.00390625" style="0" customWidth="1"/>
    <col min="9" max="9" width="14.00390625" style="0" customWidth="1"/>
    <col min="10" max="10" width="14.25390625" style="0" customWidth="1"/>
    <col min="11" max="11" width="8.125" style="0" customWidth="1"/>
    <col min="12" max="12" width="8.75390625" style="0" customWidth="1"/>
    <col min="13" max="13" width="8.875" style="0" customWidth="1"/>
  </cols>
  <sheetData>
    <row r="1" spans="1:11" ht="15.75">
      <c r="A1" s="206" t="s">
        <v>89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3.5" thickBot="1">
      <c r="A2" s="96"/>
      <c r="B2" s="97"/>
      <c r="C2" s="98"/>
      <c r="D2" s="99"/>
      <c r="E2" s="100"/>
      <c r="F2" s="101"/>
      <c r="G2" s="102"/>
      <c r="H2" s="102"/>
      <c r="I2" s="103"/>
      <c r="J2" s="104"/>
      <c r="K2" s="104"/>
    </row>
    <row r="3" spans="1:11" ht="27.75" customHeight="1">
      <c r="A3" s="207" t="s">
        <v>90</v>
      </c>
      <c r="B3" s="209" t="s">
        <v>91</v>
      </c>
      <c r="C3" s="211" t="s">
        <v>92</v>
      </c>
      <c r="D3" s="211"/>
      <c r="E3" s="211"/>
      <c r="F3" s="212" t="s">
        <v>93</v>
      </c>
      <c r="G3" s="212"/>
      <c r="H3" s="212"/>
      <c r="I3" s="213" t="s">
        <v>94</v>
      </c>
      <c r="J3" s="213"/>
      <c r="K3" s="214"/>
    </row>
    <row r="4" spans="1:11" ht="12.75">
      <c r="A4" s="208"/>
      <c r="B4" s="210"/>
      <c r="C4" s="198" t="s">
        <v>95</v>
      </c>
      <c r="D4" s="198" t="s">
        <v>96</v>
      </c>
      <c r="E4" s="198" t="s">
        <v>97</v>
      </c>
      <c r="F4" s="198" t="s">
        <v>95</v>
      </c>
      <c r="G4" s="200" t="s">
        <v>96</v>
      </c>
      <c r="H4" s="200" t="s">
        <v>97</v>
      </c>
      <c r="I4" s="201" t="s">
        <v>95</v>
      </c>
      <c r="J4" s="203" t="s">
        <v>98</v>
      </c>
      <c r="K4" s="204" t="s">
        <v>97</v>
      </c>
    </row>
    <row r="5" spans="1:11" ht="42" customHeight="1">
      <c r="A5" s="208"/>
      <c r="B5" s="210"/>
      <c r="C5" s="199"/>
      <c r="D5" s="198"/>
      <c r="E5" s="215"/>
      <c r="F5" s="199"/>
      <c r="G5" s="200"/>
      <c r="H5" s="199"/>
      <c r="I5" s="202"/>
      <c r="J5" s="203"/>
      <c r="K5" s="205"/>
    </row>
    <row r="6" spans="1:11" ht="12.75">
      <c r="A6" s="208"/>
      <c r="B6" s="194" t="s">
        <v>99</v>
      </c>
      <c r="C6" s="194"/>
      <c r="D6" s="194"/>
      <c r="E6" s="194"/>
      <c r="F6" s="194"/>
      <c r="G6" s="194"/>
      <c r="H6" s="194"/>
      <c r="I6" s="194"/>
      <c r="J6" s="194"/>
      <c r="K6" s="195"/>
    </row>
    <row r="7" spans="1:11" ht="12.75">
      <c r="A7" s="208"/>
      <c r="B7" s="194"/>
      <c r="C7" s="194"/>
      <c r="D7" s="194"/>
      <c r="E7" s="194"/>
      <c r="F7" s="194"/>
      <c r="G7" s="194"/>
      <c r="H7" s="194"/>
      <c r="I7" s="194"/>
      <c r="J7" s="194"/>
      <c r="K7" s="195"/>
    </row>
    <row r="8" spans="1:11" ht="12.75">
      <c r="A8" s="208"/>
      <c r="B8" s="194"/>
      <c r="C8" s="194"/>
      <c r="D8" s="194"/>
      <c r="E8" s="194"/>
      <c r="F8" s="194"/>
      <c r="G8" s="194"/>
      <c r="H8" s="194"/>
      <c r="I8" s="194"/>
      <c r="J8" s="194"/>
      <c r="K8" s="195"/>
    </row>
    <row r="9" spans="1:11" ht="15">
      <c r="A9" s="107" t="s">
        <v>100</v>
      </c>
      <c r="B9" s="108" t="s">
        <v>101</v>
      </c>
      <c r="C9" s="109">
        <f>SUM(C10:C16)</f>
        <v>281803</v>
      </c>
      <c r="D9" s="109">
        <f>SUM(D10:D16)</f>
        <v>148241.8</v>
      </c>
      <c r="E9" s="109">
        <f>D9/C9*100</f>
        <v>52.604762901743406</v>
      </c>
      <c r="F9" s="109">
        <f>F10+F11+F12+F13+F14+F15+F16</f>
        <v>190506.30000000002</v>
      </c>
      <c r="G9" s="109">
        <f>SUM(G10:G16)</f>
        <v>118520.80000000002</v>
      </c>
      <c r="H9" s="110">
        <f>G9/F9*100</f>
        <v>62.21358558745826</v>
      </c>
      <c r="I9" s="109">
        <f>SUM(I10:I16)</f>
        <v>471956.6</v>
      </c>
      <c r="J9" s="109">
        <f>SUM(J10:J16)</f>
        <v>266681.3</v>
      </c>
      <c r="K9" s="111">
        <f>J9/I9*100</f>
        <v>56.505471053906234</v>
      </c>
    </row>
    <row r="10" spans="1:11" ht="15">
      <c r="A10" s="112" t="s">
        <v>102</v>
      </c>
      <c r="B10" s="113" t="s">
        <v>103</v>
      </c>
      <c r="C10" s="105">
        <v>4117</v>
      </c>
      <c r="D10" s="105">
        <v>2450.2</v>
      </c>
      <c r="E10" s="105">
        <f>D10/C10*100</f>
        <v>59.514209375759044</v>
      </c>
      <c r="F10" s="114">
        <v>39715.9</v>
      </c>
      <c r="G10" s="114">
        <v>25749.4</v>
      </c>
      <c r="H10" s="114">
        <f>G10/F10*100</f>
        <v>64.83398336686315</v>
      </c>
      <c r="I10" s="115">
        <f aca="true" t="shared" si="0" ref="I10:J75">C10+F10</f>
        <v>43832.9</v>
      </c>
      <c r="J10" s="106">
        <f t="shared" si="0"/>
        <v>28199.600000000002</v>
      </c>
      <c r="K10" s="116">
        <f aca="true" t="shared" si="1" ref="K10:K78">J10/I10*100</f>
        <v>64.33432421765387</v>
      </c>
    </row>
    <row r="11" spans="1:11" ht="30">
      <c r="A11" s="112" t="s">
        <v>104</v>
      </c>
      <c r="B11" s="113" t="s">
        <v>105</v>
      </c>
      <c r="C11" s="105">
        <v>7231</v>
      </c>
      <c r="D11" s="105">
        <v>4920.3</v>
      </c>
      <c r="E11" s="105">
        <f aca="true" t="shared" si="2" ref="E11:E18">D11/C11*100</f>
        <v>68.04453049370765</v>
      </c>
      <c r="F11" s="114">
        <v>0</v>
      </c>
      <c r="G11" s="114"/>
      <c r="H11" s="114">
        <v>0</v>
      </c>
      <c r="I11" s="115">
        <f t="shared" si="0"/>
        <v>7231</v>
      </c>
      <c r="J11" s="106">
        <f t="shared" si="0"/>
        <v>4920.3</v>
      </c>
      <c r="K11" s="116">
        <f t="shared" si="1"/>
        <v>68.04453049370765</v>
      </c>
    </row>
    <row r="12" spans="1:11" ht="15">
      <c r="A12" s="112" t="s">
        <v>106</v>
      </c>
      <c r="B12" s="113" t="s">
        <v>107</v>
      </c>
      <c r="C12" s="105">
        <v>127927.5</v>
      </c>
      <c r="D12" s="105">
        <v>85836.5</v>
      </c>
      <c r="E12" s="105">
        <f t="shared" si="2"/>
        <v>67.09777022141448</v>
      </c>
      <c r="F12" s="114">
        <v>119049.8</v>
      </c>
      <c r="G12" s="114">
        <v>75344.3</v>
      </c>
      <c r="H12" s="114">
        <f aca="true" t="shared" si="3" ref="H12:H18">G12/F12*100</f>
        <v>63.28805256287705</v>
      </c>
      <c r="I12" s="115">
        <f t="shared" si="0"/>
        <v>246977.3</v>
      </c>
      <c r="J12" s="106">
        <f t="shared" si="0"/>
        <v>161180.8</v>
      </c>
      <c r="K12" s="116">
        <f t="shared" si="1"/>
        <v>65.26138232137123</v>
      </c>
    </row>
    <row r="13" spans="1:11" ht="15">
      <c r="A13" s="112" t="s">
        <v>108</v>
      </c>
      <c r="B13" s="113" t="s">
        <v>109</v>
      </c>
      <c r="C13" s="105">
        <v>12</v>
      </c>
      <c r="D13" s="105"/>
      <c r="E13" s="105">
        <f t="shared" si="2"/>
        <v>0</v>
      </c>
      <c r="F13" s="114">
        <v>0</v>
      </c>
      <c r="G13" s="114"/>
      <c r="H13" s="114">
        <v>0</v>
      </c>
      <c r="I13" s="115">
        <f t="shared" si="0"/>
        <v>12</v>
      </c>
      <c r="J13" s="106">
        <f t="shared" si="0"/>
        <v>0</v>
      </c>
      <c r="K13" s="117"/>
    </row>
    <row r="14" spans="1:11" ht="15">
      <c r="A14" s="112" t="s">
        <v>110</v>
      </c>
      <c r="B14" s="113" t="s">
        <v>111</v>
      </c>
      <c r="C14" s="105">
        <v>28765.1</v>
      </c>
      <c r="D14" s="105">
        <v>18929.7</v>
      </c>
      <c r="E14" s="105">
        <f t="shared" si="2"/>
        <v>65.80787134409405</v>
      </c>
      <c r="F14" s="114">
        <v>0</v>
      </c>
      <c r="G14" s="114"/>
      <c r="H14" s="114">
        <v>0</v>
      </c>
      <c r="I14" s="115">
        <f>C14+F14</f>
        <v>28765.1</v>
      </c>
      <c r="J14" s="106">
        <f>D14+G14</f>
        <v>18929.7</v>
      </c>
      <c r="K14" s="116">
        <f t="shared" si="1"/>
        <v>65.80787134409405</v>
      </c>
    </row>
    <row r="15" spans="1:11" ht="15">
      <c r="A15" s="118" t="s">
        <v>112</v>
      </c>
      <c r="B15" s="113" t="s">
        <v>113</v>
      </c>
      <c r="C15" s="105">
        <v>4036</v>
      </c>
      <c r="D15" s="105"/>
      <c r="E15" s="105">
        <f t="shared" si="2"/>
        <v>0</v>
      </c>
      <c r="F15" s="114">
        <v>924.7</v>
      </c>
      <c r="G15" s="114"/>
      <c r="H15" s="114">
        <f t="shared" si="3"/>
        <v>0</v>
      </c>
      <c r="I15" s="115">
        <f t="shared" si="0"/>
        <v>4960.7</v>
      </c>
      <c r="J15" s="106">
        <f t="shared" si="0"/>
        <v>0</v>
      </c>
      <c r="K15" s="116">
        <f t="shared" si="1"/>
        <v>0</v>
      </c>
    </row>
    <row r="16" spans="1:11" ht="15">
      <c r="A16" s="112" t="s">
        <v>114</v>
      </c>
      <c r="B16" s="113" t="s">
        <v>115</v>
      </c>
      <c r="C16" s="105">
        <v>109714.4</v>
      </c>
      <c r="D16" s="105">
        <v>36105.1</v>
      </c>
      <c r="E16" s="105">
        <f t="shared" si="2"/>
        <v>32.908259991395845</v>
      </c>
      <c r="F16" s="114">
        <v>30815.9</v>
      </c>
      <c r="G16" s="114">
        <v>17427.1</v>
      </c>
      <c r="H16" s="114">
        <f>G16/F16*100</f>
        <v>56.55229930003666</v>
      </c>
      <c r="I16" s="115">
        <f>C16+F16-352.7</f>
        <v>140177.59999999998</v>
      </c>
      <c r="J16" s="106">
        <f>D16+G16-81.3</f>
        <v>53450.899999999994</v>
      </c>
      <c r="K16" s="116">
        <f t="shared" si="1"/>
        <v>38.13084258825947</v>
      </c>
    </row>
    <row r="17" spans="1:11" ht="15">
      <c r="A17" s="107" t="s">
        <v>116</v>
      </c>
      <c r="B17" s="108" t="s">
        <v>117</v>
      </c>
      <c r="C17" s="109">
        <f aca="true" t="shared" si="4" ref="C17:J17">C18</f>
        <v>3043.8</v>
      </c>
      <c r="D17" s="109">
        <f t="shared" si="4"/>
        <v>2507</v>
      </c>
      <c r="E17" s="109">
        <f t="shared" si="4"/>
        <v>82.36415007556343</v>
      </c>
      <c r="F17" s="109">
        <f t="shared" si="4"/>
        <v>3043.8</v>
      </c>
      <c r="G17" s="109">
        <f t="shared" si="4"/>
        <v>1560.3</v>
      </c>
      <c r="H17" s="119">
        <f t="shared" si="4"/>
        <v>51.2615809185886</v>
      </c>
      <c r="I17" s="109">
        <f t="shared" si="4"/>
        <v>3043.8</v>
      </c>
      <c r="J17" s="109">
        <f t="shared" si="4"/>
        <v>1560.3000000000002</v>
      </c>
      <c r="K17" s="120">
        <f t="shared" si="1"/>
        <v>51.26158091858861</v>
      </c>
    </row>
    <row r="18" spans="1:11" ht="15">
      <c r="A18" s="112" t="s">
        <v>118</v>
      </c>
      <c r="B18" s="113" t="s">
        <v>119</v>
      </c>
      <c r="C18" s="105">
        <v>3043.8</v>
      </c>
      <c r="D18" s="105">
        <v>2507</v>
      </c>
      <c r="E18" s="105">
        <f t="shared" si="2"/>
        <v>82.36415007556343</v>
      </c>
      <c r="F18" s="114">
        <v>3043.8</v>
      </c>
      <c r="G18" s="114">
        <v>1560.3</v>
      </c>
      <c r="H18" s="114">
        <f t="shared" si="3"/>
        <v>51.2615809185886</v>
      </c>
      <c r="I18" s="115">
        <f>C18+F18-3043.8</f>
        <v>3043.8</v>
      </c>
      <c r="J18" s="106">
        <f>D18+G18-2507</f>
        <v>1560.3000000000002</v>
      </c>
      <c r="K18" s="116">
        <f t="shared" si="1"/>
        <v>51.26158091858861</v>
      </c>
    </row>
    <row r="19" spans="1:11" ht="12.75">
      <c r="A19" s="196" t="s">
        <v>120</v>
      </c>
      <c r="B19" s="197" t="s">
        <v>121</v>
      </c>
      <c r="C19" s="191">
        <f>C22+C23+C21</f>
        <v>15605.8</v>
      </c>
      <c r="D19" s="191">
        <f>D22+D23+D21</f>
        <v>7769.200000000001</v>
      </c>
      <c r="E19" s="191">
        <f>D19/C19*100</f>
        <v>49.78405464634944</v>
      </c>
      <c r="F19" s="191">
        <f>F22+F23+F21</f>
        <v>8067.3</v>
      </c>
      <c r="G19" s="191">
        <f>G22+G23+G21</f>
        <v>2635.2</v>
      </c>
      <c r="H19" s="191">
        <f>G19/F19*100</f>
        <v>32.665203971589</v>
      </c>
      <c r="I19" s="191">
        <f>I22+I23+I21</f>
        <v>20953.6</v>
      </c>
      <c r="J19" s="191">
        <f>SUM(J21:J23)</f>
        <v>9345.400000000001</v>
      </c>
      <c r="K19" s="191">
        <f>J19/I19*100</f>
        <v>44.60045051924253</v>
      </c>
    </row>
    <row r="20" spans="1:11" ht="12.75">
      <c r="A20" s="196"/>
      <c r="B20" s="197"/>
      <c r="C20" s="191"/>
      <c r="D20" s="191"/>
      <c r="E20" s="191"/>
      <c r="F20" s="191"/>
      <c r="G20" s="191"/>
      <c r="H20" s="191"/>
      <c r="I20" s="191"/>
      <c r="J20" s="191"/>
      <c r="K20" s="191"/>
    </row>
    <row r="21" spans="1:11" ht="15">
      <c r="A21" s="118" t="s">
        <v>122</v>
      </c>
      <c r="B21" s="113" t="s">
        <v>123</v>
      </c>
      <c r="C21" s="105">
        <v>6151.7</v>
      </c>
      <c r="D21" s="105">
        <v>2859.6</v>
      </c>
      <c r="E21" s="105">
        <f aca="true" t="shared" si="5" ref="E21:E89">D21/C21*100</f>
        <v>46.484711543150674</v>
      </c>
      <c r="F21" s="114">
        <v>761</v>
      </c>
      <c r="G21" s="114">
        <v>281.7</v>
      </c>
      <c r="H21" s="114">
        <f>G21/F21*100</f>
        <v>37.01708278580815</v>
      </c>
      <c r="I21" s="115">
        <f>C21+F21-761</f>
        <v>6151.7</v>
      </c>
      <c r="J21" s="106">
        <f>D21+G21-438.8</f>
        <v>2702.4999999999995</v>
      </c>
      <c r="K21" s="116">
        <f>J21/I21*100</f>
        <v>43.930945917388684</v>
      </c>
    </row>
    <row r="22" spans="1:11" ht="15">
      <c r="A22" s="112" t="s">
        <v>124</v>
      </c>
      <c r="B22" s="113" t="s">
        <v>125</v>
      </c>
      <c r="C22" s="105">
        <v>7460.4</v>
      </c>
      <c r="D22" s="105">
        <v>4617.3</v>
      </c>
      <c r="E22" s="105">
        <f t="shared" si="5"/>
        <v>61.89078333601417</v>
      </c>
      <c r="F22" s="114">
        <v>6914.3</v>
      </c>
      <c r="G22" s="114">
        <v>2298.9</v>
      </c>
      <c r="H22" s="114">
        <f>G22/F22*100</f>
        <v>33.248485023791275</v>
      </c>
      <c r="I22" s="115">
        <f>C22+F22-1666.2</f>
        <v>12708.5</v>
      </c>
      <c r="J22" s="106">
        <f>D22+G22-327.9</f>
        <v>6588.300000000001</v>
      </c>
      <c r="K22" s="116">
        <f>J22/I22*100</f>
        <v>51.84168076484244</v>
      </c>
    </row>
    <row r="23" spans="1:11" ht="30">
      <c r="A23" s="118" t="s">
        <v>126</v>
      </c>
      <c r="B23" s="113" t="s">
        <v>127</v>
      </c>
      <c r="C23" s="105">
        <v>1993.7</v>
      </c>
      <c r="D23" s="105">
        <v>292.3</v>
      </c>
      <c r="E23" s="105">
        <f t="shared" si="5"/>
        <v>14.661182725585595</v>
      </c>
      <c r="F23" s="114">
        <v>392</v>
      </c>
      <c r="G23" s="114">
        <v>54.6</v>
      </c>
      <c r="H23" s="114">
        <f>G23/F23*100</f>
        <v>13.928571428571429</v>
      </c>
      <c r="I23" s="115">
        <f>C23+F23-292.3</f>
        <v>2093.3999999999996</v>
      </c>
      <c r="J23" s="115">
        <f>D23+G23-292.3</f>
        <v>54.60000000000002</v>
      </c>
      <c r="K23" s="116">
        <f>J23/I23*100</f>
        <v>2.6081971911722572</v>
      </c>
    </row>
    <row r="24" spans="1:11" ht="15">
      <c r="A24" s="107" t="s">
        <v>128</v>
      </c>
      <c r="B24" s="108" t="s">
        <v>129</v>
      </c>
      <c r="C24" s="109">
        <f>SUM(C25:C43)</f>
        <v>252225.69999999998</v>
      </c>
      <c r="D24" s="109">
        <f>SUM(D25:D43)</f>
        <v>94026.79999999999</v>
      </c>
      <c r="E24" s="109">
        <f>D24/C24*100</f>
        <v>37.278833996694225</v>
      </c>
      <c r="F24" s="109">
        <f>SUM(F25:F43)</f>
        <v>110476</v>
      </c>
      <c r="G24" s="109">
        <f>SUM(G25:G43)</f>
        <v>45466.7</v>
      </c>
      <c r="H24" s="110">
        <f>G24/F24*100</f>
        <v>41.15527354357507</v>
      </c>
      <c r="I24" s="109">
        <f>SUM(I25:I43)</f>
        <v>330096</v>
      </c>
      <c r="J24" s="109">
        <f>SUM(J25:J43)</f>
        <v>127060.80000000002</v>
      </c>
      <c r="K24" s="111">
        <f t="shared" si="1"/>
        <v>38.49207503271776</v>
      </c>
    </row>
    <row r="25" spans="1:11" ht="45">
      <c r="A25" s="118" t="s">
        <v>130</v>
      </c>
      <c r="B25" s="121" t="s">
        <v>131</v>
      </c>
      <c r="C25" s="105">
        <v>14595.8</v>
      </c>
      <c r="D25" s="105">
        <v>4758.9</v>
      </c>
      <c r="E25" s="105">
        <f t="shared" si="5"/>
        <v>32.60458488058208</v>
      </c>
      <c r="F25" s="105">
        <v>9315.9</v>
      </c>
      <c r="G25" s="114">
        <v>7142.3</v>
      </c>
      <c r="H25" s="114">
        <f>G25/F25*100</f>
        <v>76.66784744361792</v>
      </c>
      <c r="I25" s="115">
        <f>C25+F25-4217.5</f>
        <v>19694.199999999997</v>
      </c>
      <c r="J25" s="115">
        <f>D25+G25-4126.5</f>
        <v>7774.700000000001</v>
      </c>
      <c r="K25" s="116">
        <f t="shared" si="1"/>
        <v>39.477104934447716</v>
      </c>
    </row>
    <row r="26" spans="1:11" ht="15">
      <c r="A26" s="112" t="s">
        <v>132</v>
      </c>
      <c r="B26" s="113" t="s">
        <v>133</v>
      </c>
      <c r="C26" s="105">
        <v>33035</v>
      </c>
      <c r="D26" s="105">
        <v>30327.1</v>
      </c>
      <c r="E26" s="105">
        <f t="shared" si="5"/>
        <v>91.80293627970335</v>
      </c>
      <c r="F26" s="114">
        <v>0</v>
      </c>
      <c r="G26" s="114">
        <v>0</v>
      </c>
      <c r="H26" s="114">
        <v>0</v>
      </c>
      <c r="I26" s="115">
        <f t="shared" si="0"/>
        <v>33035</v>
      </c>
      <c r="J26" s="106">
        <f t="shared" si="0"/>
        <v>30327.1</v>
      </c>
      <c r="K26" s="116">
        <f t="shared" si="1"/>
        <v>91.80293627970335</v>
      </c>
    </row>
    <row r="27" spans="1:11" ht="15">
      <c r="A27" s="112" t="s">
        <v>134</v>
      </c>
      <c r="B27" s="113" t="s">
        <v>135</v>
      </c>
      <c r="C27" s="105">
        <v>10150</v>
      </c>
      <c r="D27" s="105">
        <v>146.8</v>
      </c>
      <c r="E27" s="105">
        <f t="shared" si="5"/>
        <v>1.446305418719212</v>
      </c>
      <c r="F27" s="114">
        <v>0</v>
      </c>
      <c r="G27" s="114">
        <v>0</v>
      </c>
      <c r="H27" s="114">
        <v>0</v>
      </c>
      <c r="I27" s="115">
        <f t="shared" si="0"/>
        <v>10150</v>
      </c>
      <c r="J27" s="106">
        <f t="shared" si="0"/>
        <v>146.8</v>
      </c>
      <c r="K27" s="116">
        <f t="shared" si="1"/>
        <v>1.446305418719212</v>
      </c>
    </row>
    <row r="28" spans="1:11" ht="30">
      <c r="A28" s="112" t="s">
        <v>134</v>
      </c>
      <c r="B28" s="113" t="s">
        <v>136</v>
      </c>
      <c r="C28" s="105">
        <v>17096</v>
      </c>
      <c r="D28" s="105">
        <v>12236.9</v>
      </c>
      <c r="E28" s="105">
        <f t="shared" si="5"/>
        <v>71.57756200280767</v>
      </c>
      <c r="F28" s="114">
        <v>12993.8</v>
      </c>
      <c r="G28" s="114">
        <v>5554.9</v>
      </c>
      <c r="H28" s="114">
        <f>G28/F28*100</f>
        <v>42.750388646893136</v>
      </c>
      <c r="I28" s="115">
        <f t="shared" si="0"/>
        <v>30089.8</v>
      </c>
      <c r="J28" s="106">
        <f t="shared" si="0"/>
        <v>17791.8</v>
      </c>
      <c r="K28" s="116">
        <f t="shared" si="1"/>
        <v>59.129007171865545</v>
      </c>
    </row>
    <row r="29" spans="1:11" ht="15">
      <c r="A29" s="112" t="s">
        <v>134</v>
      </c>
      <c r="B29" s="113" t="s">
        <v>137</v>
      </c>
      <c r="C29" s="105">
        <v>12931</v>
      </c>
      <c r="D29" s="105">
        <v>3565.4</v>
      </c>
      <c r="E29" s="105">
        <f t="shared" si="5"/>
        <v>27.57250019333385</v>
      </c>
      <c r="F29" s="114">
        <v>0</v>
      </c>
      <c r="G29" s="114">
        <v>0</v>
      </c>
      <c r="H29" s="114">
        <v>0</v>
      </c>
      <c r="I29" s="115">
        <f t="shared" si="0"/>
        <v>12931</v>
      </c>
      <c r="J29" s="106">
        <f t="shared" si="0"/>
        <v>3565.4</v>
      </c>
      <c r="K29" s="116">
        <f t="shared" si="1"/>
        <v>27.57250019333385</v>
      </c>
    </row>
    <row r="30" spans="1:11" ht="45">
      <c r="A30" s="112" t="s">
        <v>138</v>
      </c>
      <c r="B30" s="122" t="s">
        <v>139</v>
      </c>
      <c r="C30" s="105">
        <v>5611.2</v>
      </c>
      <c r="D30" s="105">
        <v>300</v>
      </c>
      <c r="E30" s="105">
        <f t="shared" si="5"/>
        <v>5.3464499572284</v>
      </c>
      <c r="F30" s="114">
        <v>4149.2</v>
      </c>
      <c r="G30" s="114">
        <v>484.3</v>
      </c>
      <c r="H30" s="114">
        <f aca="true" t="shared" si="6" ref="H30:H36">G30/F30*100</f>
        <v>11.672129567145474</v>
      </c>
      <c r="I30" s="115">
        <f t="shared" si="0"/>
        <v>9760.4</v>
      </c>
      <c r="J30" s="106">
        <f t="shared" si="0"/>
        <v>784.3</v>
      </c>
      <c r="K30" s="116">
        <f t="shared" si="1"/>
        <v>8.035531330683169</v>
      </c>
    </row>
    <row r="31" spans="1:11" ht="45">
      <c r="A31" s="118" t="s">
        <v>138</v>
      </c>
      <c r="B31" s="122" t="s">
        <v>140</v>
      </c>
      <c r="C31" s="105">
        <v>92916.4</v>
      </c>
      <c r="D31" s="105">
        <v>6176.5</v>
      </c>
      <c r="E31" s="105">
        <f t="shared" si="5"/>
        <v>6.647373337753078</v>
      </c>
      <c r="F31" s="114">
        <v>15846.2</v>
      </c>
      <c r="G31" s="114">
        <v>1980</v>
      </c>
      <c r="H31" s="114">
        <f t="shared" si="6"/>
        <v>12.49510923754591</v>
      </c>
      <c r="I31" s="115">
        <f>C31+F31-15846.3</f>
        <v>92916.29999999999</v>
      </c>
      <c r="J31" s="106">
        <f>D31+G31-666.2</f>
        <v>7490.3</v>
      </c>
      <c r="K31" s="116">
        <f>J31/I31*100</f>
        <v>8.061341228611127</v>
      </c>
    </row>
    <row r="32" spans="1:11" ht="90">
      <c r="A32" s="118" t="s">
        <v>138</v>
      </c>
      <c r="B32" s="113" t="s">
        <v>141</v>
      </c>
      <c r="C32" s="105">
        <v>4000</v>
      </c>
      <c r="D32" s="105">
        <v>1309.2</v>
      </c>
      <c r="E32" s="105">
        <f t="shared" si="5"/>
        <v>32.730000000000004</v>
      </c>
      <c r="F32" s="114">
        <v>4000</v>
      </c>
      <c r="G32" s="114">
        <v>1309.2</v>
      </c>
      <c r="H32" s="114">
        <f t="shared" si="6"/>
        <v>32.730000000000004</v>
      </c>
      <c r="I32" s="115">
        <f>C32+F32-4000</f>
        <v>4000</v>
      </c>
      <c r="J32" s="106">
        <f>D32+G32-1309.2</f>
        <v>1309.2</v>
      </c>
      <c r="K32" s="116">
        <f>J32/I32*100</f>
        <v>32.730000000000004</v>
      </c>
    </row>
    <row r="33" spans="1:11" ht="30">
      <c r="A33" s="118" t="s">
        <v>138</v>
      </c>
      <c r="B33" s="113" t="s">
        <v>142</v>
      </c>
      <c r="C33" s="105">
        <v>9021.9</v>
      </c>
      <c r="D33" s="105">
        <v>6406.7</v>
      </c>
      <c r="E33" s="105">
        <f t="shared" si="5"/>
        <v>71.01275784479988</v>
      </c>
      <c r="F33" s="114">
        <v>6706.9</v>
      </c>
      <c r="G33" s="114">
        <v>6406.7</v>
      </c>
      <c r="H33" s="114">
        <f t="shared" si="6"/>
        <v>95.52401258405523</v>
      </c>
      <c r="I33" s="115">
        <f>C33+F33-6706.9</f>
        <v>9021.9</v>
      </c>
      <c r="J33" s="106">
        <f>D33+G33-5095.8</f>
        <v>7717.599999999999</v>
      </c>
      <c r="K33" s="116">
        <f>J33/I33*100</f>
        <v>85.54295658342478</v>
      </c>
    </row>
    <row r="34" spans="1:11" ht="30">
      <c r="A34" s="118" t="s">
        <v>138</v>
      </c>
      <c r="B34" s="113" t="s">
        <v>143</v>
      </c>
      <c r="C34" s="105"/>
      <c r="D34" s="105"/>
      <c r="E34" s="105"/>
      <c r="F34" s="114">
        <v>51574.7</v>
      </c>
      <c r="G34" s="114">
        <v>19966.6</v>
      </c>
      <c r="H34" s="114">
        <f t="shared" si="6"/>
        <v>38.71394307674112</v>
      </c>
      <c r="I34" s="115">
        <f>C34+F34</f>
        <v>51574.7</v>
      </c>
      <c r="J34" s="106">
        <f t="shared" si="0"/>
        <v>19966.6</v>
      </c>
      <c r="K34" s="116">
        <f t="shared" si="1"/>
        <v>38.71394307674112</v>
      </c>
    </row>
    <row r="35" spans="1:11" ht="15">
      <c r="A35" s="112" t="s">
        <v>144</v>
      </c>
      <c r="B35" s="113" t="s">
        <v>145</v>
      </c>
      <c r="C35" s="105">
        <v>3905</v>
      </c>
      <c r="D35" s="105">
        <v>2362.7</v>
      </c>
      <c r="E35" s="105">
        <f t="shared" si="5"/>
        <v>60.504481434058896</v>
      </c>
      <c r="F35" s="114">
        <v>4054.3</v>
      </c>
      <c r="G35" s="114">
        <v>2243</v>
      </c>
      <c r="H35" s="123">
        <f t="shared" si="6"/>
        <v>55.32397701206126</v>
      </c>
      <c r="I35" s="115">
        <f t="shared" si="0"/>
        <v>7959.3</v>
      </c>
      <c r="J35" s="106">
        <f t="shared" si="0"/>
        <v>4605.7</v>
      </c>
      <c r="K35" s="116">
        <f t="shared" si="1"/>
        <v>57.865641450881355</v>
      </c>
    </row>
    <row r="36" spans="1:11" ht="45">
      <c r="A36" s="112" t="s">
        <v>146</v>
      </c>
      <c r="B36" s="122" t="s">
        <v>147</v>
      </c>
      <c r="C36" s="105">
        <v>2584.3</v>
      </c>
      <c r="D36" s="105">
        <v>2009.9</v>
      </c>
      <c r="E36" s="124">
        <f t="shared" si="5"/>
        <v>77.77347831134156</v>
      </c>
      <c r="F36" s="114">
        <v>1235</v>
      </c>
      <c r="G36" s="114">
        <v>379.7</v>
      </c>
      <c r="H36" s="123">
        <f t="shared" si="6"/>
        <v>30.744939271255063</v>
      </c>
      <c r="I36" s="115">
        <f>C36+F36-1235</f>
        <v>2584.3</v>
      </c>
      <c r="J36" s="106">
        <f>D36+G36-1235</f>
        <v>1154.6</v>
      </c>
      <c r="K36" s="116">
        <f t="shared" si="1"/>
        <v>44.677475525287306</v>
      </c>
    </row>
    <row r="37" spans="1:11" ht="45">
      <c r="A37" s="112" t="s">
        <v>146</v>
      </c>
      <c r="B37" s="122" t="s">
        <v>148</v>
      </c>
      <c r="C37" s="105">
        <v>4500</v>
      </c>
      <c r="D37" s="114">
        <v>3632.5</v>
      </c>
      <c r="E37" s="105">
        <f t="shared" si="5"/>
        <v>80.72222222222221</v>
      </c>
      <c r="F37" s="114">
        <v>0</v>
      </c>
      <c r="G37" s="114">
        <v>0</v>
      </c>
      <c r="H37" s="123">
        <v>0</v>
      </c>
      <c r="I37" s="115">
        <f t="shared" si="0"/>
        <v>4500</v>
      </c>
      <c r="J37" s="106">
        <f t="shared" si="0"/>
        <v>3632.5</v>
      </c>
      <c r="K37" s="116">
        <f t="shared" si="1"/>
        <v>80.72222222222221</v>
      </c>
    </row>
    <row r="38" spans="1:11" ht="105">
      <c r="A38" s="112" t="s">
        <v>146</v>
      </c>
      <c r="B38" s="122" t="s">
        <v>149</v>
      </c>
      <c r="C38" s="105">
        <f>16874.2+958.7</f>
        <v>17832.9</v>
      </c>
      <c r="D38" s="114">
        <v>12214.4</v>
      </c>
      <c r="E38" s="124">
        <f t="shared" si="5"/>
        <v>68.49362694794452</v>
      </c>
      <c r="F38" s="114"/>
      <c r="G38" s="114"/>
      <c r="H38" s="123"/>
      <c r="I38" s="115">
        <f t="shared" si="0"/>
        <v>17832.9</v>
      </c>
      <c r="J38" s="106">
        <f t="shared" si="0"/>
        <v>12214.4</v>
      </c>
      <c r="K38" s="116">
        <f t="shared" si="1"/>
        <v>68.49362694794452</v>
      </c>
    </row>
    <row r="39" spans="1:11" ht="60">
      <c r="A39" s="118" t="s">
        <v>146</v>
      </c>
      <c r="B39" s="122" t="s">
        <v>150</v>
      </c>
      <c r="C39" s="105">
        <f>17547.9+1463.8</f>
        <v>19011.7</v>
      </c>
      <c r="D39" s="114">
        <v>7711.9</v>
      </c>
      <c r="E39" s="124">
        <f t="shared" si="5"/>
        <v>40.56396850360567</v>
      </c>
      <c r="F39" s="114"/>
      <c r="G39" s="114"/>
      <c r="H39" s="123"/>
      <c r="I39" s="115">
        <f t="shared" si="0"/>
        <v>19011.7</v>
      </c>
      <c r="J39" s="106">
        <f t="shared" si="0"/>
        <v>7711.9</v>
      </c>
      <c r="K39" s="116">
        <f t="shared" si="1"/>
        <v>40.56396850360567</v>
      </c>
    </row>
    <row r="40" spans="1:11" ht="75">
      <c r="A40" s="118" t="s">
        <v>146</v>
      </c>
      <c r="B40" s="122" t="s">
        <v>151</v>
      </c>
      <c r="C40" s="105">
        <v>2800</v>
      </c>
      <c r="D40" s="114">
        <v>0</v>
      </c>
      <c r="E40" s="124">
        <f t="shared" si="5"/>
        <v>0</v>
      </c>
      <c r="F40" s="114"/>
      <c r="G40" s="114"/>
      <c r="H40" s="123"/>
      <c r="I40" s="115">
        <f t="shared" si="0"/>
        <v>2800</v>
      </c>
      <c r="J40" s="106">
        <f t="shared" si="0"/>
        <v>0</v>
      </c>
      <c r="K40" s="116">
        <f t="shared" si="1"/>
        <v>0</v>
      </c>
    </row>
    <row r="41" spans="1:11" ht="30">
      <c r="A41" s="118" t="s">
        <v>146</v>
      </c>
      <c r="B41" s="122" t="s">
        <v>152</v>
      </c>
      <c r="C41" s="105">
        <v>1604</v>
      </c>
      <c r="D41" s="114">
        <v>857.6</v>
      </c>
      <c r="E41" s="124">
        <f t="shared" si="5"/>
        <v>53.466334164588524</v>
      </c>
      <c r="F41" s="114">
        <v>0</v>
      </c>
      <c r="G41" s="114">
        <v>0</v>
      </c>
      <c r="H41" s="123">
        <v>0</v>
      </c>
      <c r="I41" s="115">
        <f t="shared" si="0"/>
        <v>1604</v>
      </c>
      <c r="J41" s="106">
        <f t="shared" si="0"/>
        <v>857.6</v>
      </c>
      <c r="K41" s="116">
        <f t="shared" si="1"/>
        <v>53.466334164588524</v>
      </c>
    </row>
    <row r="42" spans="1:11" ht="30">
      <c r="A42" s="118" t="s">
        <v>146</v>
      </c>
      <c r="B42" s="122" t="s">
        <v>153</v>
      </c>
      <c r="C42" s="105">
        <v>30.5</v>
      </c>
      <c r="D42" s="114">
        <v>10.3</v>
      </c>
      <c r="E42" s="124">
        <f t="shared" si="5"/>
        <v>33.77049180327869</v>
      </c>
      <c r="F42" s="114"/>
      <c r="G42" s="114"/>
      <c r="H42" s="123">
        <v>0</v>
      </c>
      <c r="I42" s="115">
        <f t="shared" si="0"/>
        <v>30.5</v>
      </c>
      <c r="J42" s="106">
        <f t="shared" si="0"/>
        <v>10.3</v>
      </c>
      <c r="K42" s="116">
        <f t="shared" si="1"/>
        <v>33.77049180327869</v>
      </c>
    </row>
    <row r="43" spans="1:11" ht="60">
      <c r="A43" s="118" t="s">
        <v>146</v>
      </c>
      <c r="B43" s="122" t="s">
        <v>154</v>
      </c>
      <c r="C43" s="105">
        <v>600</v>
      </c>
      <c r="D43" s="114">
        <v>0</v>
      </c>
      <c r="E43" s="124">
        <f t="shared" si="5"/>
        <v>0</v>
      </c>
      <c r="F43" s="114">
        <v>600</v>
      </c>
      <c r="G43" s="114"/>
      <c r="H43" s="123">
        <f>G43/F43*100</f>
        <v>0</v>
      </c>
      <c r="I43" s="115">
        <f>C43+F43-600</f>
        <v>600</v>
      </c>
      <c r="J43" s="106">
        <f>D43+G43</f>
        <v>0</v>
      </c>
      <c r="K43" s="117">
        <f t="shared" si="1"/>
        <v>0</v>
      </c>
    </row>
    <row r="44" spans="1:11" ht="14.25">
      <c r="A44" s="107" t="s">
        <v>155</v>
      </c>
      <c r="B44" s="108" t="s">
        <v>156</v>
      </c>
      <c r="C44" s="125">
        <f>SUM(C45:C64)</f>
        <v>174519.80000000002</v>
      </c>
      <c r="D44" s="125">
        <f>SUM(D45:D64)</f>
        <v>98183.19999999998</v>
      </c>
      <c r="E44" s="109">
        <f t="shared" si="5"/>
        <v>56.259060576507636</v>
      </c>
      <c r="F44" s="126">
        <f>SUM(F45:F64)</f>
        <v>126205.9</v>
      </c>
      <c r="G44" s="126">
        <f>SUM(G45:G64)</f>
        <v>44224.8</v>
      </c>
      <c r="H44" s="126">
        <f>G44/F44*100</f>
        <v>35.04178489278235</v>
      </c>
      <c r="I44" s="125">
        <f>SUM(I45:I64)</f>
        <v>270032.7</v>
      </c>
      <c r="J44" s="125">
        <f>SUM(J45:J64)</f>
        <v>140520.3</v>
      </c>
      <c r="K44" s="111">
        <f t="shared" si="1"/>
        <v>52.038253144896885</v>
      </c>
    </row>
    <row r="45" spans="1:11" ht="75">
      <c r="A45" s="112" t="s">
        <v>157</v>
      </c>
      <c r="B45" s="113" t="s">
        <v>158</v>
      </c>
      <c r="C45" s="105">
        <f>41578+17527.3</f>
        <v>59105.3</v>
      </c>
      <c r="D45" s="105">
        <v>59020.8</v>
      </c>
      <c r="E45" s="105">
        <f t="shared" si="5"/>
        <v>99.8570348175206</v>
      </c>
      <c r="F45" s="114">
        <v>0</v>
      </c>
      <c r="G45" s="114">
        <v>0</v>
      </c>
      <c r="H45" s="114">
        <v>0</v>
      </c>
      <c r="I45" s="115">
        <f t="shared" si="0"/>
        <v>59105.3</v>
      </c>
      <c r="J45" s="106">
        <f t="shared" si="0"/>
        <v>59020.8</v>
      </c>
      <c r="K45" s="116">
        <f t="shared" si="1"/>
        <v>99.8570348175206</v>
      </c>
    </row>
    <row r="46" spans="1:11" ht="30">
      <c r="A46" s="112" t="s">
        <v>157</v>
      </c>
      <c r="B46" s="113" t="s">
        <v>159</v>
      </c>
      <c r="C46" s="105">
        <v>1172.2</v>
      </c>
      <c r="D46" s="105">
        <v>837.8</v>
      </c>
      <c r="E46" s="105">
        <f t="shared" si="5"/>
        <v>71.47244497526019</v>
      </c>
      <c r="F46" s="114"/>
      <c r="G46" s="114"/>
      <c r="H46" s="114"/>
      <c r="I46" s="115">
        <f t="shared" si="0"/>
        <v>1172.2</v>
      </c>
      <c r="J46" s="106">
        <f t="shared" si="0"/>
        <v>837.8</v>
      </c>
      <c r="K46" s="116">
        <f t="shared" si="1"/>
        <v>71.47244497526019</v>
      </c>
    </row>
    <row r="47" spans="1:11" ht="15">
      <c r="A47" s="118" t="s">
        <v>157</v>
      </c>
      <c r="B47" s="122" t="s">
        <v>160</v>
      </c>
      <c r="C47" s="105">
        <v>206.8</v>
      </c>
      <c r="D47" s="105"/>
      <c r="E47" s="105">
        <f t="shared" si="5"/>
        <v>0</v>
      </c>
      <c r="F47" s="114"/>
      <c r="G47" s="114"/>
      <c r="H47" s="114"/>
      <c r="I47" s="115">
        <f>C47+F47</f>
        <v>206.8</v>
      </c>
      <c r="J47" s="106">
        <f>D47+G47</f>
        <v>0</v>
      </c>
      <c r="K47" s="117">
        <f t="shared" si="1"/>
        <v>0</v>
      </c>
    </row>
    <row r="48" spans="1:11" ht="30">
      <c r="A48" s="118" t="s">
        <v>157</v>
      </c>
      <c r="B48" s="113" t="s">
        <v>161</v>
      </c>
      <c r="C48" s="105"/>
      <c r="D48" s="105"/>
      <c r="E48" s="105"/>
      <c r="F48" s="114">
        <v>31973</v>
      </c>
      <c r="G48" s="114">
        <v>11127.4</v>
      </c>
      <c r="H48" s="114">
        <f>G48/F48*100</f>
        <v>34.80248960060051</v>
      </c>
      <c r="I48" s="115">
        <f t="shared" si="0"/>
        <v>31973</v>
      </c>
      <c r="J48" s="106">
        <f t="shared" si="0"/>
        <v>11127.4</v>
      </c>
      <c r="K48" s="116">
        <f t="shared" si="1"/>
        <v>34.80248960060051</v>
      </c>
    </row>
    <row r="49" spans="1:11" ht="105">
      <c r="A49" s="112" t="s">
        <v>162</v>
      </c>
      <c r="B49" s="113" t="s">
        <v>163</v>
      </c>
      <c r="C49" s="105">
        <v>4443.4</v>
      </c>
      <c r="D49" s="105">
        <v>2929.2</v>
      </c>
      <c r="E49" s="105">
        <f t="shared" si="5"/>
        <v>65.92249178556962</v>
      </c>
      <c r="F49" s="114"/>
      <c r="G49" s="114"/>
      <c r="H49" s="114"/>
      <c r="I49" s="115">
        <f t="shared" si="0"/>
        <v>4443.4</v>
      </c>
      <c r="J49" s="106">
        <f t="shared" si="0"/>
        <v>2929.2</v>
      </c>
      <c r="K49" s="116">
        <f t="shared" si="1"/>
        <v>65.92249178556962</v>
      </c>
    </row>
    <row r="50" spans="1:11" ht="105">
      <c r="A50" s="112" t="s">
        <v>162</v>
      </c>
      <c r="B50" s="113" t="s">
        <v>164</v>
      </c>
      <c r="C50" s="105">
        <v>10165.9</v>
      </c>
      <c r="D50" s="127">
        <v>4869.8</v>
      </c>
      <c r="E50" s="105">
        <f t="shared" si="5"/>
        <v>47.90328450997944</v>
      </c>
      <c r="F50" s="114"/>
      <c r="G50" s="114"/>
      <c r="H50" s="114"/>
      <c r="I50" s="115">
        <f t="shared" si="0"/>
        <v>10165.9</v>
      </c>
      <c r="J50" s="106">
        <f t="shared" si="0"/>
        <v>4869.8</v>
      </c>
      <c r="K50" s="116">
        <f t="shared" si="1"/>
        <v>47.90328450997944</v>
      </c>
    </row>
    <row r="51" spans="1:11" ht="105">
      <c r="A51" s="118" t="s">
        <v>162</v>
      </c>
      <c r="B51" s="113" t="s">
        <v>165</v>
      </c>
      <c r="C51" s="105">
        <v>6250.4</v>
      </c>
      <c r="D51" s="127">
        <v>2817.9</v>
      </c>
      <c r="E51" s="105">
        <f t="shared" si="5"/>
        <v>45.08351465506208</v>
      </c>
      <c r="F51" s="114"/>
      <c r="G51" s="114"/>
      <c r="H51" s="114"/>
      <c r="I51" s="115">
        <f t="shared" si="0"/>
        <v>6250.4</v>
      </c>
      <c r="J51" s="106">
        <f t="shared" si="0"/>
        <v>2817.9</v>
      </c>
      <c r="K51" s="116">
        <f t="shared" si="1"/>
        <v>45.08351465506208</v>
      </c>
    </row>
    <row r="52" spans="1:11" ht="105">
      <c r="A52" s="118" t="s">
        <v>162</v>
      </c>
      <c r="B52" s="113" t="s">
        <v>166</v>
      </c>
      <c r="C52" s="105">
        <v>9375.6</v>
      </c>
      <c r="D52" s="127">
        <v>3598.4</v>
      </c>
      <c r="E52" s="105">
        <f t="shared" si="5"/>
        <v>38.380476982806435</v>
      </c>
      <c r="F52" s="114"/>
      <c r="G52" s="114"/>
      <c r="H52" s="114"/>
      <c r="I52" s="115">
        <f t="shared" si="0"/>
        <v>9375.6</v>
      </c>
      <c r="J52" s="106">
        <f t="shared" si="0"/>
        <v>3598.4</v>
      </c>
      <c r="K52" s="116">
        <f t="shared" si="1"/>
        <v>38.380476982806435</v>
      </c>
    </row>
    <row r="53" spans="1:11" ht="140.25">
      <c r="A53" s="112" t="s">
        <v>162</v>
      </c>
      <c r="B53" s="128" t="s">
        <v>167</v>
      </c>
      <c r="C53" s="105">
        <v>51757.9</v>
      </c>
      <c r="D53" s="127">
        <v>20899.2</v>
      </c>
      <c r="E53" s="105">
        <f>D53/C53*100</f>
        <v>40.3787634351471</v>
      </c>
      <c r="F53" s="114"/>
      <c r="G53" s="114"/>
      <c r="H53" s="114"/>
      <c r="I53" s="115">
        <f>C53+F53</f>
        <v>51757.9</v>
      </c>
      <c r="J53" s="106">
        <f>D53+G53</f>
        <v>20899.2</v>
      </c>
      <c r="K53" s="116">
        <f>J53/I53*100</f>
        <v>40.3787634351471</v>
      </c>
    </row>
    <row r="54" spans="1:11" ht="135">
      <c r="A54" s="118" t="s">
        <v>162</v>
      </c>
      <c r="B54" s="122" t="s">
        <v>168</v>
      </c>
      <c r="C54" s="105">
        <v>18193</v>
      </c>
      <c r="D54" s="127"/>
      <c r="E54" s="105">
        <f t="shared" si="5"/>
        <v>0</v>
      </c>
      <c r="F54" s="114">
        <v>19846.5</v>
      </c>
      <c r="G54" s="114">
        <v>3096.3</v>
      </c>
      <c r="H54" s="114">
        <f>G54/F54*100</f>
        <v>15.601239513264304</v>
      </c>
      <c r="I54" s="115">
        <f>C54+F54-18193</f>
        <v>19846.5</v>
      </c>
      <c r="J54" s="106">
        <f aca="true" t="shared" si="7" ref="J54:J59">D54+G54</f>
        <v>3096.3</v>
      </c>
      <c r="K54" s="116">
        <f t="shared" si="1"/>
        <v>15.601239513264304</v>
      </c>
    </row>
    <row r="55" spans="1:11" ht="45">
      <c r="A55" s="118" t="s">
        <v>162</v>
      </c>
      <c r="B55" s="122" t="s">
        <v>169</v>
      </c>
      <c r="C55" s="105"/>
      <c r="D55" s="127"/>
      <c r="E55" s="105"/>
      <c r="F55" s="114"/>
      <c r="G55" s="114"/>
      <c r="H55" s="114"/>
      <c r="I55" s="115">
        <f>C55+F55</f>
        <v>0</v>
      </c>
      <c r="J55" s="106">
        <f t="shared" si="7"/>
        <v>0</v>
      </c>
      <c r="K55" s="116" t="e">
        <f t="shared" si="1"/>
        <v>#DIV/0!</v>
      </c>
    </row>
    <row r="56" spans="1:11" ht="30">
      <c r="A56" s="118" t="s">
        <v>162</v>
      </c>
      <c r="B56" s="122" t="s">
        <v>170</v>
      </c>
      <c r="C56" s="105">
        <v>100.2</v>
      </c>
      <c r="D56" s="127">
        <v>100.2</v>
      </c>
      <c r="E56" s="105">
        <f t="shared" si="5"/>
        <v>100</v>
      </c>
      <c r="F56" s="114"/>
      <c r="G56" s="114"/>
      <c r="H56" s="114"/>
      <c r="I56" s="115">
        <f>C56+F56</f>
        <v>100.2</v>
      </c>
      <c r="J56" s="106">
        <f t="shared" si="7"/>
        <v>100.2</v>
      </c>
      <c r="K56" s="116">
        <f t="shared" si="1"/>
        <v>100</v>
      </c>
    </row>
    <row r="57" spans="1:11" ht="60">
      <c r="A57" s="118" t="s">
        <v>162</v>
      </c>
      <c r="B57" s="122" t="s">
        <v>171</v>
      </c>
      <c r="C57" s="105"/>
      <c r="D57" s="127"/>
      <c r="E57" s="105"/>
      <c r="F57" s="114">
        <v>5255.9</v>
      </c>
      <c r="G57" s="114">
        <v>2974.8</v>
      </c>
      <c r="H57" s="114">
        <f aca="true" t="shared" si="8" ref="H57:H63">G57/F57*100</f>
        <v>56.59925036625507</v>
      </c>
      <c r="I57" s="115">
        <f t="shared" si="0"/>
        <v>5255.9</v>
      </c>
      <c r="J57" s="106">
        <f t="shared" si="7"/>
        <v>2974.8</v>
      </c>
      <c r="K57" s="117">
        <f t="shared" si="1"/>
        <v>56.59925036625507</v>
      </c>
    </row>
    <row r="58" spans="1:11" ht="15">
      <c r="A58" s="118" t="s">
        <v>162</v>
      </c>
      <c r="B58" s="122" t="s">
        <v>172</v>
      </c>
      <c r="C58" s="105"/>
      <c r="D58" s="127"/>
      <c r="E58" s="105"/>
      <c r="F58" s="114">
        <v>9009.8</v>
      </c>
      <c r="G58" s="114">
        <v>1300.2</v>
      </c>
      <c r="H58" s="114">
        <f t="shared" si="8"/>
        <v>14.43095296232991</v>
      </c>
      <c r="I58" s="115">
        <f t="shared" si="0"/>
        <v>9009.8</v>
      </c>
      <c r="J58" s="106">
        <f t="shared" si="7"/>
        <v>1300.2</v>
      </c>
      <c r="K58" s="116">
        <f t="shared" si="1"/>
        <v>14.43095296232991</v>
      </c>
    </row>
    <row r="59" spans="1:11" ht="45">
      <c r="A59" s="118" t="s">
        <v>162</v>
      </c>
      <c r="B59" s="122" t="s">
        <v>173</v>
      </c>
      <c r="C59" s="105">
        <v>1222.2</v>
      </c>
      <c r="D59" s="127">
        <v>1222.2</v>
      </c>
      <c r="E59" s="105">
        <f>D59/C59*100</f>
        <v>100</v>
      </c>
      <c r="F59" s="114"/>
      <c r="G59" s="114"/>
      <c r="H59" s="114"/>
      <c r="I59" s="115">
        <f>C59+F59</f>
        <v>1222.2</v>
      </c>
      <c r="J59" s="106">
        <f t="shared" si="7"/>
        <v>1222.2</v>
      </c>
      <c r="K59" s="116">
        <f t="shared" si="1"/>
        <v>100</v>
      </c>
    </row>
    <row r="60" spans="1:11" ht="60">
      <c r="A60" s="118" t="s">
        <v>174</v>
      </c>
      <c r="B60" s="113" t="s">
        <v>175</v>
      </c>
      <c r="C60" s="105">
        <v>400</v>
      </c>
      <c r="D60" s="105">
        <v>289.3</v>
      </c>
      <c r="E60" s="105">
        <f t="shared" si="5"/>
        <v>72.325</v>
      </c>
      <c r="F60" s="105">
        <v>400</v>
      </c>
      <c r="G60" s="114">
        <v>289.3</v>
      </c>
      <c r="H60" s="114">
        <f t="shared" si="8"/>
        <v>72.325</v>
      </c>
      <c r="I60" s="115">
        <f>C60+F60-400</f>
        <v>400</v>
      </c>
      <c r="J60" s="106">
        <f>D60+G60-289.3</f>
        <v>289.3</v>
      </c>
      <c r="K60" s="116">
        <f t="shared" si="1"/>
        <v>72.325</v>
      </c>
    </row>
    <row r="61" spans="1:11" ht="60">
      <c r="A61" s="118" t="s">
        <v>174</v>
      </c>
      <c r="B61" s="113" t="s">
        <v>176</v>
      </c>
      <c r="C61" s="105">
        <f>2500+25.3</f>
        <v>2525.3</v>
      </c>
      <c r="D61" s="105">
        <v>1598.4</v>
      </c>
      <c r="E61" s="105">
        <f t="shared" si="5"/>
        <v>63.29545004553915</v>
      </c>
      <c r="F61" s="105">
        <v>4353.9</v>
      </c>
      <c r="G61" s="114">
        <v>1716.3</v>
      </c>
      <c r="H61" s="114">
        <f t="shared" si="8"/>
        <v>39.419830496795974</v>
      </c>
      <c r="I61" s="115">
        <f>C61+F61-2525.3</f>
        <v>4353.9</v>
      </c>
      <c r="J61" s="106">
        <f>D61+G61-1598.4</f>
        <v>1716.2999999999997</v>
      </c>
      <c r="K61" s="116">
        <f t="shared" si="1"/>
        <v>39.419830496795974</v>
      </c>
    </row>
    <row r="62" spans="1:11" ht="30">
      <c r="A62" s="118" t="s">
        <v>174</v>
      </c>
      <c r="B62" s="113" t="s">
        <v>177</v>
      </c>
      <c r="C62" s="105">
        <v>9574.7</v>
      </c>
      <c r="D62" s="105"/>
      <c r="E62" s="105">
        <f t="shared" si="5"/>
        <v>0</v>
      </c>
      <c r="F62" s="105">
        <f>9574.7+1023.5</f>
        <v>10598.2</v>
      </c>
      <c r="G62" s="114"/>
      <c r="H62" s="114">
        <f t="shared" si="8"/>
        <v>0</v>
      </c>
      <c r="I62" s="115">
        <f>C62+F62-9574.7</f>
        <v>10598.2</v>
      </c>
      <c r="J62" s="106">
        <f>D62+G62</f>
        <v>0</v>
      </c>
      <c r="K62" s="116">
        <f t="shared" si="1"/>
        <v>0</v>
      </c>
    </row>
    <row r="63" spans="1:11" ht="15">
      <c r="A63" s="112" t="s">
        <v>174</v>
      </c>
      <c r="B63" s="113" t="s">
        <v>178</v>
      </c>
      <c r="C63" s="105">
        <v>0</v>
      </c>
      <c r="D63" s="105"/>
      <c r="E63" s="124">
        <v>0</v>
      </c>
      <c r="F63" s="105">
        <v>44768.6</v>
      </c>
      <c r="G63" s="114">
        <v>23720.5</v>
      </c>
      <c r="H63" s="114">
        <f t="shared" si="8"/>
        <v>52.98468122746747</v>
      </c>
      <c r="I63" s="115">
        <f>C63+F63</f>
        <v>44768.6</v>
      </c>
      <c r="J63" s="106">
        <f>D63+G63</f>
        <v>23720.5</v>
      </c>
      <c r="K63" s="116">
        <f t="shared" si="1"/>
        <v>52.98468122746747</v>
      </c>
    </row>
    <row r="64" spans="1:11" ht="15">
      <c r="A64" s="118" t="s">
        <v>179</v>
      </c>
      <c r="B64" s="113" t="s">
        <v>180</v>
      </c>
      <c r="C64" s="105">
        <v>26.9</v>
      </c>
      <c r="D64" s="105"/>
      <c r="E64" s="105">
        <f>D64/C64*100</f>
        <v>0</v>
      </c>
      <c r="F64" s="105">
        <v>0</v>
      </c>
      <c r="G64" s="114">
        <v>0</v>
      </c>
      <c r="H64" s="114">
        <v>0</v>
      </c>
      <c r="I64" s="115">
        <f>C64+F64</f>
        <v>26.9</v>
      </c>
      <c r="J64" s="106">
        <f>D64+G64</f>
        <v>0</v>
      </c>
      <c r="K64" s="117">
        <f t="shared" si="1"/>
        <v>0</v>
      </c>
    </row>
    <row r="65" spans="1:11" ht="15">
      <c r="A65" s="129" t="s">
        <v>181</v>
      </c>
      <c r="B65" s="130" t="s">
        <v>182</v>
      </c>
      <c r="C65" s="126">
        <f aca="true" t="shared" si="9" ref="C65:H65">C66</f>
        <v>36.1</v>
      </c>
      <c r="D65" s="126">
        <f t="shared" si="9"/>
        <v>36.1</v>
      </c>
      <c r="E65" s="109">
        <v>0</v>
      </c>
      <c r="F65" s="126">
        <f t="shared" si="9"/>
        <v>0</v>
      </c>
      <c r="G65" s="126">
        <f t="shared" si="9"/>
        <v>0</v>
      </c>
      <c r="H65" s="110">
        <f t="shared" si="9"/>
        <v>0</v>
      </c>
      <c r="I65" s="126">
        <f t="shared" si="0"/>
        <v>36.1</v>
      </c>
      <c r="J65" s="126">
        <f t="shared" si="0"/>
        <v>36.1</v>
      </c>
      <c r="K65" s="111">
        <v>0</v>
      </c>
    </row>
    <row r="66" spans="1:11" ht="15">
      <c r="A66" s="118" t="s">
        <v>183</v>
      </c>
      <c r="B66" s="131" t="s">
        <v>184</v>
      </c>
      <c r="C66" s="114">
        <v>36.1</v>
      </c>
      <c r="D66" s="114">
        <v>36.1</v>
      </c>
      <c r="E66" s="105">
        <f t="shared" si="5"/>
        <v>100</v>
      </c>
      <c r="F66" s="114">
        <v>0</v>
      </c>
      <c r="G66" s="114">
        <v>0</v>
      </c>
      <c r="H66" s="114">
        <v>0</v>
      </c>
      <c r="I66" s="115">
        <f t="shared" si="0"/>
        <v>36.1</v>
      </c>
      <c r="J66" s="106">
        <f t="shared" si="0"/>
        <v>36.1</v>
      </c>
      <c r="K66" s="116">
        <f t="shared" si="1"/>
        <v>100</v>
      </c>
    </row>
    <row r="67" spans="1:11" ht="15">
      <c r="A67" s="107" t="s">
        <v>185</v>
      </c>
      <c r="B67" s="108" t="s">
        <v>186</v>
      </c>
      <c r="C67" s="109">
        <f>SUM(C68:C75)</f>
        <v>2056979.2000000002</v>
      </c>
      <c r="D67" s="109">
        <f>SUM(D68:D75)</f>
        <v>1104496.7000000002</v>
      </c>
      <c r="E67" s="109">
        <f>D67/C67*100</f>
        <v>53.695083547757804</v>
      </c>
      <c r="F67" s="126">
        <f>F68+F70+F71+F74+F75</f>
        <v>999.3</v>
      </c>
      <c r="G67" s="126">
        <f>SUM(G68:G75)</f>
        <v>497.5</v>
      </c>
      <c r="H67" s="110">
        <v>0</v>
      </c>
      <c r="I67" s="109">
        <f>SUM(I68:I75)</f>
        <v>2057119.2000000002</v>
      </c>
      <c r="J67" s="109">
        <f>SUM(J68:J75)</f>
        <v>1104134.9000000001</v>
      </c>
      <c r="K67" s="111">
        <f t="shared" si="1"/>
        <v>53.673841554733436</v>
      </c>
    </row>
    <row r="68" spans="1:11" ht="15">
      <c r="A68" s="112" t="s">
        <v>187</v>
      </c>
      <c r="B68" s="113" t="s">
        <v>188</v>
      </c>
      <c r="C68" s="105">
        <f>420087.6-C69</f>
        <v>352977.89999999997</v>
      </c>
      <c r="D68" s="105">
        <f>241047-D69</f>
        <v>240787.8</v>
      </c>
      <c r="E68" s="105">
        <f t="shared" si="5"/>
        <v>68.21611211353459</v>
      </c>
      <c r="F68" s="114">
        <v>0</v>
      </c>
      <c r="G68" s="114">
        <v>0</v>
      </c>
      <c r="H68" s="114">
        <v>0</v>
      </c>
      <c r="I68" s="115">
        <f t="shared" si="0"/>
        <v>352977.89999999997</v>
      </c>
      <c r="J68" s="106">
        <f t="shared" si="0"/>
        <v>240787.8</v>
      </c>
      <c r="K68" s="116">
        <f t="shared" si="1"/>
        <v>68.21611211353459</v>
      </c>
    </row>
    <row r="69" spans="1:11" ht="90">
      <c r="A69" s="112" t="s">
        <v>187</v>
      </c>
      <c r="B69" s="113" t="s">
        <v>189</v>
      </c>
      <c r="C69" s="105">
        <f>67109.7</f>
        <v>67109.7</v>
      </c>
      <c r="D69" s="105">
        <v>259.2</v>
      </c>
      <c r="E69" s="105">
        <f t="shared" si="5"/>
        <v>0.38623328669327983</v>
      </c>
      <c r="F69" s="114"/>
      <c r="G69" s="114"/>
      <c r="H69" s="114"/>
      <c r="I69" s="115">
        <f t="shared" si="0"/>
        <v>67109.7</v>
      </c>
      <c r="J69" s="106">
        <f t="shared" si="0"/>
        <v>259.2</v>
      </c>
      <c r="K69" s="116">
        <f t="shared" si="1"/>
        <v>0.38623328669327983</v>
      </c>
    </row>
    <row r="70" spans="1:11" ht="15">
      <c r="A70" s="112" t="s">
        <v>190</v>
      </c>
      <c r="B70" s="113" t="s">
        <v>191</v>
      </c>
      <c r="C70" s="105">
        <f>1357119.5-C71-C72</f>
        <v>1021001.8999999999</v>
      </c>
      <c r="D70" s="105">
        <f>687902.2-D71-D72</f>
        <v>605717.6</v>
      </c>
      <c r="E70" s="105">
        <f t="shared" si="5"/>
        <v>59.32580536823683</v>
      </c>
      <c r="F70" s="114">
        <v>0</v>
      </c>
      <c r="G70" s="114">
        <v>0</v>
      </c>
      <c r="H70" s="114">
        <v>0</v>
      </c>
      <c r="I70" s="115">
        <f t="shared" si="0"/>
        <v>1021001.8999999999</v>
      </c>
      <c r="J70" s="106">
        <f t="shared" si="0"/>
        <v>605717.6</v>
      </c>
      <c r="K70" s="116">
        <f t="shared" si="1"/>
        <v>59.32580536823683</v>
      </c>
    </row>
    <row r="71" spans="1:11" ht="15">
      <c r="A71" s="112" t="s">
        <v>190</v>
      </c>
      <c r="B71" s="113" t="s">
        <v>192</v>
      </c>
      <c r="C71" s="105">
        <f>24656+24196.5</f>
        <v>48852.5</v>
      </c>
      <c r="D71" s="105">
        <v>20389.6</v>
      </c>
      <c r="E71" s="105">
        <f t="shared" si="5"/>
        <v>41.737065656824115</v>
      </c>
      <c r="F71" s="114">
        <v>0</v>
      </c>
      <c r="G71" s="114">
        <v>0</v>
      </c>
      <c r="H71" s="114">
        <v>0</v>
      </c>
      <c r="I71" s="115">
        <f t="shared" si="0"/>
        <v>48852.5</v>
      </c>
      <c r="J71" s="106">
        <f t="shared" si="0"/>
        <v>20389.6</v>
      </c>
      <c r="K71" s="116">
        <f t="shared" si="1"/>
        <v>41.737065656824115</v>
      </c>
    </row>
    <row r="72" spans="1:11" ht="90">
      <c r="A72" s="112" t="s">
        <v>190</v>
      </c>
      <c r="B72" s="113" t="s">
        <v>193</v>
      </c>
      <c r="C72" s="105">
        <f>265618.7+21646.4</f>
        <v>287265.10000000003</v>
      </c>
      <c r="D72" s="105">
        <v>61795</v>
      </c>
      <c r="E72" s="105">
        <f t="shared" si="5"/>
        <v>21.511488865163223</v>
      </c>
      <c r="F72" s="114">
        <v>0</v>
      </c>
      <c r="G72" s="114">
        <v>0</v>
      </c>
      <c r="H72" s="114">
        <v>0</v>
      </c>
      <c r="I72" s="115">
        <f t="shared" si="0"/>
        <v>287265.10000000003</v>
      </c>
      <c r="J72" s="106">
        <f t="shared" si="0"/>
        <v>61795</v>
      </c>
      <c r="K72" s="116">
        <f t="shared" si="1"/>
        <v>21.511488865163223</v>
      </c>
    </row>
    <row r="73" spans="1:11" ht="15">
      <c r="A73" s="112" t="s">
        <v>194</v>
      </c>
      <c r="B73" s="113" t="s">
        <v>195</v>
      </c>
      <c r="C73" s="105">
        <v>181473.5</v>
      </c>
      <c r="D73" s="105">
        <v>124802.1</v>
      </c>
      <c r="E73" s="105">
        <f t="shared" si="5"/>
        <v>68.77152862539158</v>
      </c>
      <c r="F73" s="114"/>
      <c r="G73" s="114"/>
      <c r="H73" s="114"/>
      <c r="I73" s="115">
        <f t="shared" si="0"/>
        <v>181473.5</v>
      </c>
      <c r="J73" s="106">
        <f t="shared" si="0"/>
        <v>124802.1</v>
      </c>
      <c r="K73" s="116">
        <f t="shared" si="1"/>
        <v>68.77152862539158</v>
      </c>
    </row>
    <row r="74" spans="1:11" ht="15">
      <c r="A74" s="112" t="s">
        <v>196</v>
      </c>
      <c r="B74" s="113" t="s">
        <v>197</v>
      </c>
      <c r="C74" s="105">
        <v>24156</v>
      </c>
      <c r="D74" s="105">
        <v>21150.1</v>
      </c>
      <c r="E74" s="105">
        <f t="shared" si="5"/>
        <v>87.55630071203842</v>
      </c>
      <c r="F74" s="114">
        <v>999.3</v>
      </c>
      <c r="G74" s="114">
        <v>497.5</v>
      </c>
      <c r="H74" s="114">
        <f>G74/F74*100</f>
        <v>49.784849394576206</v>
      </c>
      <c r="I74" s="115">
        <f>C74+F74-859.3</f>
        <v>24296</v>
      </c>
      <c r="J74" s="106">
        <f>D74+G74-859.3</f>
        <v>20788.3</v>
      </c>
      <c r="K74" s="116">
        <f t="shared" si="1"/>
        <v>85.56264405663482</v>
      </c>
    </row>
    <row r="75" spans="1:11" ht="15">
      <c r="A75" s="112" t="s">
        <v>198</v>
      </c>
      <c r="B75" s="113" t="s">
        <v>199</v>
      </c>
      <c r="C75" s="105">
        <v>74142.6</v>
      </c>
      <c r="D75" s="105">
        <v>29595.3</v>
      </c>
      <c r="E75" s="105">
        <f t="shared" si="5"/>
        <v>39.916728034894916</v>
      </c>
      <c r="F75" s="114">
        <v>0</v>
      </c>
      <c r="G75" s="114">
        <v>0</v>
      </c>
      <c r="H75" s="114">
        <v>0</v>
      </c>
      <c r="I75" s="115">
        <f t="shared" si="0"/>
        <v>74142.6</v>
      </c>
      <c r="J75" s="106">
        <f t="shared" si="0"/>
        <v>29595.3</v>
      </c>
      <c r="K75" s="116">
        <f t="shared" si="1"/>
        <v>39.916728034894916</v>
      </c>
    </row>
    <row r="76" spans="1:11" ht="15">
      <c r="A76" s="107" t="s">
        <v>200</v>
      </c>
      <c r="B76" s="108" t="s">
        <v>201</v>
      </c>
      <c r="C76" s="109">
        <f>SUM(C77:C81)</f>
        <v>83180</v>
      </c>
      <c r="D76" s="109">
        <f>SUM(D77:D81)</f>
        <v>42472.399999999994</v>
      </c>
      <c r="E76" s="109">
        <f>D76/C76*100</f>
        <v>51.060831930752585</v>
      </c>
      <c r="F76" s="126">
        <f>SUM(F77:F81)</f>
        <v>98949.6</v>
      </c>
      <c r="G76" s="126">
        <f>SUM(G77:G81)</f>
        <v>56179.7</v>
      </c>
      <c r="H76" s="110">
        <f>G76/F76*100</f>
        <v>56.7760759012669</v>
      </c>
      <c r="I76" s="126">
        <f>SUM(I77:I81)</f>
        <v>181282</v>
      </c>
      <c r="J76" s="126">
        <f>SUM(J77:J81)</f>
        <v>98307.29999999999</v>
      </c>
      <c r="K76" s="111">
        <f t="shared" si="1"/>
        <v>54.22893613265519</v>
      </c>
    </row>
    <row r="77" spans="1:11" ht="15">
      <c r="A77" s="112" t="s">
        <v>202</v>
      </c>
      <c r="B77" s="113" t="s">
        <v>203</v>
      </c>
      <c r="C77" s="105">
        <f>71982.8-C79-C78</f>
        <v>53031.3</v>
      </c>
      <c r="D77" s="105">
        <f>35014.2-D79-D78</f>
        <v>25227.199999999993</v>
      </c>
      <c r="E77" s="105">
        <f t="shared" si="5"/>
        <v>47.57039710510584</v>
      </c>
      <c r="F77" s="114">
        <f>98502.6-F79</f>
        <v>98154.8</v>
      </c>
      <c r="G77" s="114">
        <f>55958-G79</f>
        <v>55796.8</v>
      </c>
      <c r="H77" s="114">
        <f>G77/F77*100</f>
        <v>56.845717173281386</v>
      </c>
      <c r="I77" s="115">
        <f>C77+F77-200</f>
        <v>150986.1</v>
      </c>
      <c r="J77" s="106">
        <f>D77+G77-200</f>
        <v>80824</v>
      </c>
      <c r="K77" s="116">
        <f t="shared" si="1"/>
        <v>53.53075548014022</v>
      </c>
    </row>
    <row r="78" spans="1:11" ht="60">
      <c r="A78" s="112" t="s">
        <v>202</v>
      </c>
      <c r="B78" s="132" t="s">
        <v>204</v>
      </c>
      <c r="C78" s="105">
        <f>17592.3+133.5</f>
        <v>17725.8</v>
      </c>
      <c r="D78" s="105">
        <v>9321.7</v>
      </c>
      <c r="E78" s="105">
        <f t="shared" si="5"/>
        <v>52.58831759356419</v>
      </c>
      <c r="F78" s="114"/>
      <c r="G78" s="114"/>
      <c r="H78" s="114"/>
      <c r="I78" s="115">
        <f>C78+F78</f>
        <v>17725.8</v>
      </c>
      <c r="J78" s="106">
        <f>D78+G78</f>
        <v>9321.7</v>
      </c>
      <c r="K78" s="116">
        <f t="shared" si="1"/>
        <v>52.58831759356419</v>
      </c>
    </row>
    <row r="79" spans="1:11" ht="15">
      <c r="A79" s="133" t="s">
        <v>202</v>
      </c>
      <c r="B79" s="132" t="s">
        <v>205</v>
      </c>
      <c r="C79" s="105">
        <v>1225.7</v>
      </c>
      <c r="D79" s="105">
        <v>465.3</v>
      </c>
      <c r="E79" s="105">
        <f t="shared" si="5"/>
        <v>37.961980908868405</v>
      </c>
      <c r="F79" s="114">
        <f>299+48.8</f>
        <v>347.8</v>
      </c>
      <c r="G79" s="114">
        <v>161.2</v>
      </c>
      <c r="H79" s="114">
        <f>G79/F79*100</f>
        <v>46.34847613571018</v>
      </c>
      <c r="I79" s="115">
        <f>C79+F79-512.6</f>
        <v>1060.9</v>
      </c>
      <c r="J79" s="106">
        <f>D79+G79-144.8</f>
        <v>481.7</v>
      </c>
      <c r="K79" s="116">
        <f>J79/I79*100</f>
        <v>45.40484494297294</v>
      </c>
    </row>
    <row r="80" spans="1:11" ht="15">
      <c r="A80" s="112" t="s">
        <v>206</v>
      </c>
      <c r="B80" s="113" t="s">
        <v>207</v>
      </c>
      <c r="C80" s="105">
        <v>180</v>
      </c>
      <c r="D80" s="105">
        <v>78</v>
      </c>
      <c r="E80" s="105">
        <f t="shared" si="5"/>
        <v>43.333333333333336</v>
      </c>
      <c r="F80" s="114">
        <v>312</v>
      </c>
      <c r="G80" s="114">
        <v>186.7</v>
      </c>
      <c r="H80" s="114">
        <f>G80/F80*100</f>
        <v>59.83974358974359</v>
      </c>
      <c r="I80" s="115">
        <f aca="true" t="shared" si="10" ref="I80:J90">C80+F80</f>
        <v>492</v>
      </c>
      <c r="J80" s="106">
        <f t="shared" si="10"/>
        <v>264.7</v>
      </c>
      <c r="K80" s="116">
        <f aca="true" t="shared" si="11" ref="K80:K104">J80/I80*100</f>
        <v>53.80081300813008</v>
      </c>
    </row>
    <row r="81" spans="1:11" ht="15">
      <c r="A81" s="112" t="s">
        <v>208</v>
      </c>
      <c r="B81" s="113" t="s">
        <v>209</v>
      </c>
      <c r="C81" s="105">
        <v>11017.2</v>
      </c>
      <c r="D81" s="105">
        <v>7380.2</v>
      </c>
      <c r="E81" s="105">
        <f t="shared" si="5"/>
        <v>66.98798242747704</v>
      </c>
      <c r="F81" s="114">
        <v>135</v>
      </c>
      <c r="G81" s="114">
        <v>35</v>
      </c>
      <c r="H81" s="114">
        <f>G81/F81*100</f>
        <v>25.925925925925924</v>
      </c>
      <c r="I81" s="115">
        <f>C81+F81-135</f>
        <v>11017.2</v>
      </c>
      <c r="J81" s="106">
        <f>D81+G81</f>
        <v>7415.2</v>
      </c>
      <c r="K81" s="116">
        <f t="shared" si="11"/>
        <v>67.30566750172457</v>
      </c>
    </row>
    <row r="82" spans="1:11" ht="15">
      <c r="A82" s="107" t="s">
        <v>210</v>
      </c>
      <c r="B82" s="108" t="s">
        <v>211</v>
      </c>
      <c r="C82" s="109">
        <f>C83</f>
        <v>160689.1</v>
      </c>
      <c r="D82" s="109">
        <f>D83</f>
        <v>54444.3</v>
      </c>
      <c r="E82" s="109">
        <f>D82/C82*100</f>
        <v>33.88176298205666</v>
      </c>
      <c r="F82" s="126">
        <v>0</v>
      </c>
      <c r="G82" s="126">
        <v>0</v>
      </c>
      <c r="H82" s="110"/>
      <c r="I82" s="126">
        <f>C82+F82</f>
        <v>160689.1</v>
      </c>
      <c r="J82" s="126">
        <f t="shared" si="10"/>
        <v>54444.3</v>
      </c>
      <c r="K82" s="111">
        <f t="shared" si="11"/>
        <v>33.88176298205666</v>
      </c>
    </row>
    <row r="83" spans="1:11" ht="30">
      <c r="A83" s="118" t="s">
        <v>212</v>
      </c>
      <c r="B83" s="132" t="s">
        <v>213</v>
      </c>
      <c r="C83" s="105">
        <v>160689.1</v>
      </c>
      <c r="D83" s="114">
        <v>54444.3</v>
      </c>
      <c r="E83" s="105">
        <f t="shared" si="5"/>
        <v>33.88176298205666</v>
      </c>
      <c r="F83" s="114">
        <v>0</v>
      </c>
      <c r="G83" s="114">
        <v>0</v>
      </c>
      <c r="H83" s="114">
        <v>0</v>
      </c>
      <c r="I83" s="115">
        <f t="shared" si="10"/>
        <v>160689.1</v>
      </c>
      <c r="J83" s="106">
        <f t="shared" si="10"/>
        <v>54444.3</v>
      </c>
      <c r="K83" s="116">
        <f t="shared" si="11"/>
        <v>33.88176298205666</v>
      </c>
    </row>
    <row r="84" spans="1:11" ht="15">
      <c r="A84" s="107">
        <v>10</v>
      </c>
      <c r="B84" s="108" t="s">
        <v>214</v>
      </c>
      <c r="C84" s="109">
        <f>SUM(C85:C92)</f>
        <v>152349</v>
      </c>
      <c r="D84" s="109">
        <f>SUM(D85:D92)</f>
        <v>75353.40000000001</v>
      </c>
      <c r="E84" s="109">
        <f>D84/C84*100</f>
        <v>49.46104011184846</v>
      </c>
      <c r="F84" s="109">
        <f>SUM(F85:F90)</f>
        <v>432.9</v>
      </c>
      <c r="G84" s="109">
        <f>SUM(G85:G90)</f>
        <v>225</v>
      </c>
      <c r="H84" s="110">
        <f>G84/F84*100</f>
        <v>51.975051975051976</v>
      </c>
      <c r="I84" s="109">
        <f>SUM(I85:I92)</f>
        <v>152781.9</v>
      </c>
      <c r="J84" s="109">
        <f>SUM(J85:J92)</f>
        <v>75578.40000000001</v>
      </c>
      <c r="K84" s="111">
        <f t="shared" si="11"/>
        <v>49.46816344082644</v>
      </c>
    </row>
    <row r="85" spans="1:11" ht="15">
      <c r="A85" s="118">
        <v>1001</v>
      </c>
      <c r="B85" s="113" t="s">
        <v>215</v>
      </c>
      <c r="C85" s="105">
        <v>3836</v>
      </c>
      <c r="D85" s="105">
        <v>2197.4</v>
      </c>
      <c r="E85" s="105">
        <f t="shared" si="5"/>
        <v>57.283628779979146</v>
      </c>
      <c r="F85" s="114">
        <v>432.9</v>
      </c>
      <c r="G85" s="114">
        <v>225</v>
      </c>
      <c r="H85" s="114">
        <f>G85/F85*100</f>
        <v>51.975051975051976</v>
      </c>
      <c r="I85" s="115">
        <f t="shared" si="10"/>
        <v>4268.9</v>
      </c>
      <c r="J85" s="106">
        <f t="shared" si="10"/>
        <v>2422.4</v>
      </c>
      <c r="K85" s="116">
        <f t="shared" si="11"/>
        <v>56.74529738340088</v>
      </c>
    </row>
    <row r="86" spans="1:11" ht="60">
      <c r="A86" s="118">
        <v>1003</v>
      </c>
      <c r="B86" s="113" t="s">
        <v>216</v>
      </c>
      <c r="C86" s="105">
        <v>3050.9</v>
      </c>
      <c r="D86" s="105"/>
      <c r="E86" s="105">
        <f t="shared" si="5"/>
        <v>0</v>
      </c>
      <c r="F86" s="114">
        <v>0</v>
      </c>
      <c r="G86" s="114">
        <v>0</v>
      </c>
      <c r="H86" s="114">
        <v>0</v>
      </c>
      <c r="I86" s="115">
        <f t="shared" si="10"/>
        <v>3050.9</v>
      </c>
      <c r="J86" s="106">
        <f t="shared" si="10"/>
        <v>0</v>
      </c>
      <c r="K86" s="116">
        <f t="shared" si="11"/>
        <v>0</v>
      </c>
    </row>
    <row r="87" spans="1:11" ht="90">
      <c r="A87" s="118" t="s">
        <v>217</v>
      </c>
      <c r="B87" s="113" t="s">
        <v>218</v>
      </c>
      <c r="C87" s="105">
        <f>5779.5+785.3</f>
        <v>6564.8</v>
      </c>
      <c r="D87" s="105">
        <v>4638.5</v>
      </c>
      <c r="E87" s="105"/>
      <c r="F87" s="114"/>
      <c r="G87" s="114"/>
      <c r="H87" s="114"/>
      <c r="I87" s="115">
        <f t="shared" si="10"/>
        <v>6564.8</v>
      </c>
      <c r="J87" s="106">
        <f t="shared" si="10"/>
        <v>4638.5</v>
      </c>
      <c r="K87" s="116">
        <f t="shared" si="11"/>
        <v>70.6571411162564</v>
      </c>
    </row>
    <row r="88" spans="1:11" ht="135">
      <c r="A88" s="118" t="s">
        <v>217</v>
      </c>
      <c r="B88" s="113" t="s">
        <v>219</v>
      </c>
      <c r="C88" s="105">
        <f>2194.3+133+341.7</f>
        <v>2669</v>
      </c>
      <c r="D88" s="105"/>
      <c r="E88" s="105">
        <f t="shared" si="5"/>
        <v>0</v>
      </c>
      <c r="F88" s="114"/>
      <c r="G88" s="114"/>
      <c r="H88" s="114"/>
      <c r="I88" s="115">
        <f t="shared" si="10"/>
        <v>2669</v>
      </c>
      <c r="J88" s="106">
        <f t="shared" si="10"/>
        <v>0</v>
      </c>
      <c r="K88" s="116">
        <f t="shared" si="11"/>
        <v>0</v>
      </c>
    </row>
    <row r="89" spans="1:11" ht="60">
      <c r="A89" s="118">
        <v>1004</v>
      </c>
      <c r="B89" s="113" t="s">
        <v>220</v>
      </c>
      <c r="C89" s="105">
        <v>24664</v>
      </c>
      <c r="D89" s="105">
        <v>9308.9</v>
      </c>
      <c r="E89" s="105">
        <f t="shared" si="5"/>
        <v>37.7428640934155</v>
      </c>
      <c r="F89" s="114">
        <v>0</v>
      </c>
      <c r="G89" s="114">
        <v>0</v>
      </c>
      <c r="H89" s="114">
        <v>0</v>
      </c>
      <c r="I89" s="115">
        <f t="shared" si="10"/>
        <v>24664</v>
      </c>
      <c r="J89" s="106">
        <f t="shared" si="10"/>
        <v>9308.9</v>
      </c>
      <c r="K89" s="116">
        <f t="shared" si="11"/>
        <v>37.7428640934155</v>
      </c>
    </row>
    <row r="90" spans="1:11" ht="120">
      <c r="A90" s="118">
        <v>1004</v>
      </c>
      <c r="B90" s="113" t="s">
        <v>221</v>
      </c>
      <c r="C90" s="105">
        <v>71888.3</v>
      </c>
      <c r="D90" s="105">
        <v>38368.8</v>
      </c>
      <c r="E90" s="105">
        <f aca="true" t="shared" si="12" ref="E90:E103">D90/C90*100</f>
        <v>53.37280197194815</v>
      </c>
      <c r="F90" s="114">
        <v>0</v>
      </c>
      <c r="G90" s="114">
        <v>0</v>
      </c>
      <c r="H90" s="114">
        <v>0</v>
      </c>
      <c r="I90" s="115">
        <f t="shared" si="10"/>
        <v>71888.3</v>
      </c>
      <c r="J90" s="106">
        <f t="shared" si="10"/>
        <v>38368.8</v>
      </c>
      <c r="K90" s="116">
        <f t="shared" si="11"/>
        <v>53.37280197194815</v>
      </c>
    </row>
    <row r="91" spans="1:11" ht="120">
      <c r="A91" s="118" t="s">
        <v>222</v>
      </c>
      <c r="B91" s="113" t="s">
        <v>223</v>
      </c>
      <c r="C91" s="105">
        <v>22676.9</v>
      </c>
      <c r="D91" s="105">
        <v>13228.2</v>
      </c>
      <c r="E91" s="105">
        <f>D91/C91*100</f>
        <v>58.33337008144852</v>
      </c>
      <c r="F91" s="114">
        <v>0</v>
      </c>
      <c r="G91" s="114">
        <v>0</v>
      </c>
      <c r="H91" s="114">
        <v>0</v>
      </c>
      <c r="I91" s="115">
        <f>C91+F91</f>
        <v>22676.9</v>
      </c>
      <c r="J91" s="106">
        <f>D91+G91</f>
        <v>13228.2</v>
      </c>
      <c r="K91" s="116">
        <f>J91/I91*100</f>
        <v>58.33337008144852</v>
      </c>
    </row>
    <row r="92" spans="1:11" ht="15">
      <c r="A92" s="118">
        <v>1006</v>
      </c>
      <c r="B92" s="113" t="s">
        <v>224</v>
      </c>
      <c r="C92" s="105">
        <v>16999.1</v>
      </c>
      <c r="D92" s="105">
        <v>7611.6</v>
      </c>
      <c r="E92" s="105">
        <f t="shared" si="12"/>
        <v>44.77648816702061</v>
      </c>
      <c r="F92" s="114">
        <v>0</v>
      </c>
      <c r="G92" s="114">
        <v>0</v>
      </c>
      <c r="H92" s="114">
        <v>0</v>
      </c>
      <c r="I92" s="115">
        <f>C92+F92</f>
        <v>16999.1</v>
      </c>
      <c r="J92" s="106">
        <f>D92+G92</f>
        <v>7611.6</v>
      </c>
      <c r="K92" s="116">
        <f t="shared" si="11"/>
        <v>44.77648816702061</v>
      </c>
    </row>
    <row r="93" spans="1:11" ht="15">
      <c r="A93" s="129">
        <v>1100</v>
      </c>
      <c r="B93" s="108" t="s">
        <v>225</v>
      </c>
      <c r="C93" s="109">
        <f>SUM(C94:C95)</f>
        <v>90804.7</v>
      </c>
      <c r="D93" s="109">
        <f>SUM(D94:D95)</f>
        <v>31383.2</v>
      </c>
      <c r="E93" s="109">
        <f>D93/C93*100</f>
        <v>34.56120663357734</v>
      </c>
      <c r="F93" s="126">
        <f>F94+F95</f>
        <v>29560.8</v>
      </c>
      <c r="G93" s="126">
        <f>G94+G95</f>
        <v>15927.8</v>
      </c>
      <c r="H93" s="110">
        <f>G93/F93*100</f>
        <v>53.881491705231255</v>
      </c>
      <c r="I93" s="126">
        <f>SUM(I94:I95)</f>
        <v>120080.5</v>
      </c>
      <c r="J93" s="126">
        <f>SUM(J94:J95)</f>
        <v>47026</v>
      </c>
      <c r="K93" s="111">
        <f t="shared" si="11"/>
        <v>39.16206211666341</v>
      </c>
    </row>
    <row r="94" spans="1:11" ht="15">
      <c r="A94" s="118">
        <v>1101</v>
      </c>
      <c r="B94" s="113" t="s">
        <v>226</v>
      </c>
      <c r="C94" s="105">
        <v>18807</v>
      </c>
      <c r="D94" s="105">
        <v>11576.7</v>
      </c>
      <c r="E94" s="105">
        <f t="shared" si="12"/>
        <v>61.55527197320148</v>
      </c>
      <c r="F94" s="114">
        <v>29560.8</v>
      </c>
      <c r="G94" s="114">
        <v>15927.8</v>
      </c>
      <c r="H94" s="114">
        <f>G94/F94*100</f>
        <v>53.881491705231255</v>
      </c>
      <c r="I94" s="115">
        <f>C94+F94-285</f>
        <v>48082.8</v>
      </c>
      <c r="J94" s="115">
        <f>D94+G94-285</f>
        <v>27219.5</v>
      </c>
      <c r="K94" s="116">
        <f t="shared" si="11"/>
        <v>56.60964003760181</v>
      </c>
    </row>
    <row r="95" spans="1:11" ht="15">
      <c r="A95" s="118">
        <v>1102</v>
      </c>
      <c r="B95" s="113" t="s">
        <v>227</v>
      </c>
      <c r="C95" s="105">
        <v>71997.7</v>
      </c>
      <c r="D95" s="105">
        <v>19806.5</v>
      </c>
      <c r="E95" s="105">
        <f t="shared" si="12"/>
        <v>27.50990656645976</v>
      </c>
      <c r="F95" s="114"/>
      <c r="G95" s="114">
        <v>0</v>
      </c>
      <c r="H95" s="114"/>
      <c r="I95" s="115">
        <f>C95+F95</f>
        <v>71997.7</v>
      </c>
      <c r="J95" s="115">
        <f>D95+G95</f>
        <v>19806.5</v>
      </c>
      <c r="K95" s="116">
        <f t="shared" si="11"/>
        <v>27.50990656645976</v>
      </c>
    </row>
    <row r="96" spans="1:11" ht="15">
      <c r="A96" s="129">
        <v>1200</v>
      </c>
      <c r="B96" s="108" t="s">
        <v>228</v>
      </c>
      <c r="C96" s="109">
        <f>C97</f>
        <v>5326</v>
      </c>
      <c r="D96" s="109">
        <f>D97</f>
        <v>1620</v>
      </c>
      <c r="E96" s="134">
        <f>D96/C96*100</f>
        <v>30.416823131806233</v>
      </c>
      <c r="F96" s="109">
        <f>F97</f>
        <v>0</v>
      </c>
      <c r="G96" s="109">
        <f>G97</f>
        <v>0</v>
      </c>
      <c r="H96" s="135"/>
      <c r="I96" s="109">
        <f aca="true" t="shared" si="13" ref="I96:J99">C96+F96</f>
        <v>5326</v>
      </c>
      <c r="J96" s="109">
        <f t="shared" si="13"/>
        <v>1620</v>
      </c>
      <c r="K96" s="120">
        <f t="shared" si="11"/>
        <v>30.416823131806233</v>
      </c>
    </row>
    <row r="97" spans="1:11" ht="15">
      <c r="A97" s="118" t="s">
        <v>229</v>
      </c>
      <c r="B97" s="113" t="s">
        <v>230</v>
      </c>
      <c r="C97" s="105">
        <v>5326</v>
      </c>
      <c r="D97" s="105">
        <v>1620</v>
      </c>
      <c r="E97" s="105">
        <f>D97/C97*100</f>
        <v>30.416823131806233</v>
      </c>
      <c r="F97" s="114">
        <v>0</v>
      </c>
      <c r="G97" s="114">
        <v>0</v>
      </c>
      <c r="H97" s="114">
        <v>0</v>
      </c>
      <c r="I97" s="115">
        <f t="shared" si="13"/>
        <v>5326</v>
      </c>
      <c r="J97" s="115">
        <f t="shared" si="13"/>
        <v>1620</v>
      </c>
      <c r="K97" s="116">
        <f>J97/I97*100</f>
        <v>30.416823131806233</v>
      </c>
    </row>
    <row r="98" spans="1:11" ht="15">
      <c r="A98" s="129">
        <v>1300</v>
      </c>
      <c r="B98" s="108" t="s">
        <v>231</v>
      </c>
      <c r="C98" s="109">
        <f aca="true" t="shared" si="14" ref="C98:H98">C99</f>
        <v>15</v>
      </c>
      <c r="D98" s="109">
        <f t="shared" si="14"/>
        <v>4.3</v>
      </c>
      <c r="E98" s="109">
        <f t="shared" si="14"/>
        <v>28.666666666666668</v>
      </c>
      <c r="F98" s="109">
        <f t="shared" si="14"/>
        <v>0</v>
      </c>
      <c r="G98" s="109">
        <f t="shared" si="14"/>
        <v>0</v>
      </c>
      <c r="H98" s="119">
        <f t="shared" si="14"/>
        <v>0</v>
      </c>
      <c r="I98" s="109">
        <f t="shared" si="13"/>
        <v>15</v>
      </c>
      <c r="J98" s="109">
        <f t="shared" si="13"/>
        <v>4.3</v>
      </c>
      <c r="K98" s="120">
        <f t="shared" si="11"/>
        <v>28.666666666666668</v>
      </c>
    </row>
    <row r="99" spans="1:11" ht="30">
      <c r="A99" s="118">
        <v>1301</v>
      </c>
      <c r="B99" s="113" t="s">
        <v>232</v>
      </c>
      <c r="C99" s="105">
        <v>15</v>
      </c>
      <c r="D99" s="105">
        <v>4.3</v>
      </c>
      <c r="E99" s="105">
        <f t="shared" si="12"/>
        <v>28.666666666666668</v>
      </c>
      <c r="F99" s="114"/>
      <c r="G99" s="114">
        <v>0</v>
      </c>
      <c r="H99" s="114">
        <v>0</v>
      </c>
      <c r="I99" s="115">
        <f t="shared" si="13"/>
        <v>15</v>
      </c>
      <c r="J99" s="115">
        <f t="shared" si="13"/>
        <v>4.3</v>
      </c>
      <c r="K99" s="116">
        <f t="shared" si="11"/>
        <v>28.666666666666668</v>
      </c>
    </row>
    <row r="100" spans="1:11" ht="14.25">
      <c r="A100" s="129">
        <v>1400</v>
      </c>
      <c r="B100" s="108" t="s">
        <v>233</v>
      </c>
      <c r="C100" s="109">
        <f>SUM(C101:C103)</f>
        <v>278249</v>
      </c>
      <c r="D100" s="109">
        <f>SUM(D101:D103)</f>
        <v>173005.5</v>
      </c>
      <c r="E100" s="109">
        <f>D100/C100*100</f>
        <v>62.17650377898932</v>
      </c>
      <c r="F100" s="126">
        <f>F101+F102+F103</f>
        <v>0</v>
      </c>
      <c r="G100" s="126">
        <f>SUM(G101:G103)</f>
        <v>0</v>
      </c>
      <c r="H100" s="126"/>
      <c r="I100" s="126">
        <v>0</v>
      </c>
      <c r="J100" s="126">
        <v>0</v>
      </c>
      <c r="K100" s="111">
        <v>0</v>
      </c>
    </row>
    <row r="101" spans="1:11" ht="30">
      <c r="A101" s="118">
        <v>1401</v>
      </c>
      <c r="B101" s="113" t="s">
        <v>234</v>
      </c>
      <c r="C101" s="105">
        <v>120111.6</v>
      </c>
      <c r="D101" s="105">
        <v>72067</v>
      </c>
      <c r="E101" s="105">
        <f t="shared" si="12"/>
        <v>60.000033302362134</v>
      </c>
      <c r="F101" s="114">
        <v>0</v>
      </c>
      <c r="G101" s="114">
        <v>0</v>
      </c>
      <c r="H101" s="114">
        <v>0</v>
      </c>
      <c r="I101" s="115">
        <v>0</v>
      </c>
      <c r="J101" s="106">
        <v>0</v>
      </c>
      <c r="K101" s="116">
        <v>0</v>
      </c>
    </row>
    <row r="102" spans="1:11" ht="15">
      <c r="A102" s="118">
        <v>1402</v>
      </c>
      <c r="B102" s="113" t="s">
        <v>235</v>
      </c>
      <c r="C102" s="105">
        <v>156337.4</v>
      </c>
      <c r="D102" s="105">
        <v>100638.5</v>
      </c>
      <c r="E102" s="105">
        <f t="shared" si="12"/>
        <v>64.37263252427122</v>
      </c>
      <c r="F102" s="114">
        <v>0</v>
      </c>
      <c r="G102" s="114">
        <v>0</v>
      </c>
      <c r="H102" s="114">
        <v>0</v>
      </c>
      <c r="I102" s="115">
        <v>0</v>
      </c>
      <c r="J102" s="106">
        <v>0</v>
      </c>
      <c r="K102" s="116">
        <v>0</v>
      </c>
    </row>
    <row r="103" spans="1:11" ht="15">
      <c r="A103" s="118">
        <v>1403</v>
      </c>
      <c r="B103" s="113" t="s">
        <v>236</v>
      </c>
      <c r="C103" s="105">
        <v>1800</v>
      </c>
      <c r="D103" s="105">
        <v>300</v>
      </c>
      <c r="E103" s="105">
        <f t="shared" si="12"/>
        <v>16.666666666666664</v>
      </c>
      <c r="F103" s="114">
        <v>0</v>
      </c>
      <c r="G103" s="114">
        <v>0</v>
      </c>
      <c r="H103" s="114">
        <v>0</v>
      </c>
      <c r="I103" s="115">
        <v>0</v>
      </c>
      <c r="J103" s="106">
        <v>0</v>
      </c>
      <c r="K103" s="116">
        <v>0</v>
      </c>
    </row>
    <row r="104" spans="1:11" ht="15" thickBot="1">
      <c r="A104" s="192" t="s">
        <v>237</v>
      </c>
      <c r="B104" s="193"/>
      <c r="C104" s="136">
        <f>C9+C17+C19+C24+C44+C65+C67+C76+C82+C84+C93+C96+C98+C100</f>
        <v>3554826.2000000007</v>
      </c>
      <c r="D104" s="136">
        <f>D100+D98+D96+D93+D84+D82+D76+D67+D65+D44+D24+D19+D17+D9</f>
        <v>1833543.9000000004</v>
      </c>
      <c r="E104" s="136">
        <f>D104/C104*100</f>
        <v>51.57900265278792</v>
      </c>
      <c r="F104" s="136">
        <f>F9+F17+F19+F24+F44+F65+F67+F76+F82+F84+F93+F96+F98+F100</f>
        <v>568241.9000000001</v>
      </c>
      <c r="G104" s="136">
        <f>G100+G98+G96+G84+G82+G76+G67+G44+G24+G20+G17+G9+G19+G93</f>
        <v>285237.80000000005</v>
      </c>
      <c r="H104" s="137">
        <f>G104/F104*100</f>
        <v>50.196544816564916</v>
      </c>
      <c r="I104" s="136">
        <f>I100+I98+I96+I93+I84+I82+I76+I67+I65+I44+I24+I19+I17+I9</f>
        <v>3773412.5000000005</v>
      </c>
      <c r="J104" s="136">
        <f>J100+J98+J96+J93+J84+J82+J76+J67+J65+J44+J24+J19+J17+J9</f>
        <v>1926319.4000000004</v>
      </c>
      <c r="K104" s="138">
        <f t="shared" si="11"/>
        <v>51.04979643757475</v>
      </c>
    </row>
    <row r="105" spans="1:11" ht="12.75">
      <c r="A105" s="139"/>
      <c r="B105" s="140"/>
      <c r="C105" s="141"/>
      <c r="D105" s="99"/>
      <c r="E105" s="142"/>
      <c r="F105" s="101"/>
      <c r="G105" s="102"/>
      <c r="H105" s="102"/>
      <c r="I105" s="104"/>
      <c r="J105" s="104"/>
      <c r="K105" s="104"/>
    </row>
    <row r="106" spans="1:11" ht="12.75">
      <c r="A106" s="143"/>
      <c r="B106" s="144"/>
      <c r="C106" s="145"/>
      <c r="D106" s="145"/>
      <c r="E106" s="145"/>
      <c r="F106" s="145"/>
      <c r="G106" s="145"/>
      <c r="H106" s="145"/>
      <c r="I106" s="145"/>
      <c r="J106" s="145"/>
      <c r="K106" s="145"/>
    </row>
    <row r="107" spans="1:11" ht="12.75">
      <c r="A107" s="143"/>
      <c r="B107" s="144"/>
      <c r="C107" s="145"/>
      <c r="D107" s="146"/>
      <c r="E107" s="142"/>
      <c r="F107" s="101"/>
      <c r="G107" s="102"/>
      <c r="H107" s="102"/>
      <c r="I107" s="103"/>
      <c r="J107" s="103"/>
      <c r="K107" s="104"/>
    </row>
    <row r="108" spans="1:11" ht="12.75">
      <c r="A108" s="188" t="s">
        <v>238</v>
      </c>
      <c r="B108" s="188"/>
      <c r="C108" s="188"/>
      <c r="D108" s="147"/>
      <c r="E108" s="148"/>
      <c r="F108" s="148"/>
      <c r="G108" s="102"/>
      <c r="H108" s="102"/>
      <c r="I108" s="104"/>
      <c r="J108" s="104"/>
      <c r="K108" s="104"/>
    </row>
    <row r="109" spans="1:11" ht="12.75">
      <c r="A109" s="188" t="s">
        <v>239</v>
      </c>
      <c r="B109" s="188"/>
      <c r="C109" s="188"/>
      <c r="D109" s="149"/>
      <c r="E109" s="189" t="s">
        <v>240</v>
      </c>
      <c r="F109" s="189"/>
      <c r="G109" s="102"/>
      <c r="H109" s="102"/>
      <c r="I109" s="103"/>
      <c r="J109" s="104"/>
      <c r="K109" s="104"/>
    </row>
    <row r="110" spans="1:11" ht="12.75">
      <c r="A110" s="150"/>
      <c r="B110" s="151"/>
      <c r="C110" s="152"/>
      <c r="D110" s="153"/>
      <c r="E110" s="154"/>
      <c r="F110" s="155"/>
      <c r="G110" s="102"/>
      <c r="H110" s="102"/>
      <c r="I110" s="103"/>
      <c r="J110" s="104"/>
      <c r="K110" s="104"/>
    </row>
    <row r="111" spans="1:11" ht="12.75">
      <c r="A111" s="188" t="s">
        <v>241</v>
      </c>
      <c r="B111" s="188"/>
      <c r="C111" s="188"/>
      <c r="D111" s="156"/>
      <c r="E111" s="189" t="s">
        <v>242</v>
      </c>
      <c r="F111" s="189"/>
      <c r="G111" s="102"/>
      <c r="H111" s="102"/>
      <c r="I111" s="103"/>
      <c r="J111" s="104"/>
      <c r="K111" s="104"/>
    </row>
    <row r="112" spans="1:11" ht="12.75">
      <c r="A112" s="150"/>
      <c r="B112" s="157"/>
      <c r="C112" s="158"/>
      <c r="D112" s="159"/>
      <c r="E112" s="154"/>
      <c r="F112" s="155"/>
      <c r="G112" s="102"/>
      <c r="H112" s="102"/>
      <c r="I112" s="103"/>
      <c r="J112" s="104"/>
      <c r="K112" s="104"/>
    </row>
    <row r="113" spans="1:11" ht="12.75">
      <c r="A113" s="188" t="s">
        <v>243</v>
      </c>
      <c r="B113" s="188"/>
      <c r="C113" s="188"/>
      <c r="D113" s="156"/>
      <c r="E113" s="190" t="s">
        <v>244</v>
      </c>
      <c r="F113" s="190"/>
      <c r="G113" s="102"/>
      <c r="H113" s="102"/>
      <c r="I113" s="103"/>
      <c r="J113" s="104"/>
      <c r="K113" s="104"/>
    </row>
    <row r="114" spans="1:11" ht="12.75">
      <c r="A114" s="160"/>
      <c r="B114" s="161"/>
      <c r="C114" s="162"/>
      <c r="D114" s="147"/>
      <c r="E114" s="147"/>
      <c r="F114" s="148"/>
      <c r="G114" s="102"/>
      <c r="H114" s="102"/>
      <c r="I114" s="104"/>
      <c r="J114" s="104"/>
      <c r="K114" s="104"/>
    </row>
    <row r="115" spans="1:6" ht="12.75">
      <c r="A115" s="163"/>
      <c r="B115" s="163"/>
      <c r="C115" s="164" t="s">
        <v>245</v>
      </c>
      <c r="D115" s="165"/>
      <c r="E115" s="166" t="s">
        <v>246</v>
      </c>
      <c r="F115" s="163"/>
    </row>
  </sheetData>
  <sheetProtection/>
  <mergeCells count="35">
    <mergeCell ref="A1:K1"/>
    <mergeCell ref="A3:A8"/>
    <mergeCell ref="B3:B5"/>
    <mergeCell ref="C3:E3"/>
    <mergeCell ref="F3:H3"/>
    <mergeCell ref="I3:K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B6:K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111:C111"/>
    <mergeCell ref="E111:F111"/>
    <mergeCell ref="A113:C113"/>
    <mergeCell ref="E113:F113"/>
    <mergeCell ref="J19:J20"/>
    <mergeCell ref="K19:K20"/>
    <mergeCell ref="A104:B104"/>
    <mergeCell ref="A108:C108"/>
    <mergeCell ref="A109:C109"/>
    <mergeCell ref="E109:F10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User</cp:lastModifiedBy>
  <cp:lastPrinted>2017-08-02T11:45:34Z</cp:lastPrinted>
  <dcterms:created xsi:type="dcterms:W3CDTF">2006-05-12T06:58:42Z</dcterms:created>
  <dcterms:modified xsi:type="dcterms:W3CDTF">2017-10-19T12:13:28Z</dcterms:modified>
  <cp:category/>
  <cp:version/>
  <cp:contentType/>
  <cp:contentStatus/>
</cp:coreProperties>
</file>