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86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<sst xmlns="http://schemas.openxmlformats.org/spreadsheetml/2006/main" count="615" uniqueCount="246">
  <si>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</si>
  <si>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</si>
  <si>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</si>
  <si>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</si>
  <si>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</si>
  <si>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</si>
  <si>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</si>
  <si>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</si>
  <si>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</si>
  <si>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</si>
  <si>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</si>
  <si>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</si>
  <si>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</si>
  <si>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</si>
  <si>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</si>
  <si>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</si>
  <si>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</si>
  <si>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</si>
  <si>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</si>
  <si>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</si>
  <si>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</si>
  <si>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</si>
  <si>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</si>
  <si>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</si>
  <si>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</si>
  <si>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</si>
  <si>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</si>
  <si>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</si>
  <si>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</si>
  <si>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</si>
  <si>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</si>
  <si>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</si>
  <si>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</si>
  <si>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</si>
  <si>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</si>
  <si>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</si>
  <si>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</si>
  <si>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</si>
  <si>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</si>
  <si>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</si>
  <si>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</si>
  <si>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</si>
  <si>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</si>
  <si>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</si>
  <si>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</si>
  <si>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</si>
  <si>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</si>
  <si>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</si>
  <si>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</si>
  <si>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</si>
  <si>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</si>
  <si>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</si>
  <si>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</si>
  <si>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</si>
  <si>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</si>
  <si>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</si>
  <si>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</si>
  <si>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</si>
  <si>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</si>
  <si>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</si>
  <si>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</si>
  <si>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</si>
  <si>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</si>
  <si>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</si>
  <si>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</si>
  <si>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</si>
  <si>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</si>
  <si>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</si>
  <si>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</si>
  <si>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</si>
  <si>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</si>
  <si>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</si>
  <si>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</si>
  <si>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</si>
  <si>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</si>
  <si>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</si>
  <si>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</si>
  <si>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</si>
  <si>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</si>
  <si>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2016 год </t>
  </si>
  <si>
    <t>План на 2016 год</t>
  </si>
  <si>
    <t xml:space="preserve">% исп-ия к плану на 1 полугодие 2016 года 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</si>
  <si>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</si>
  <si>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</si>
  <si>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</si>
  <si>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</si>
  <si>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</si>
  <si>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</si>
  <si>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</si>
  <si>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</si>
  <si>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</si>
  <si>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</si>
  <si>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</si>
  <si>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</si>
  <si>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</si>
  <si>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</si>
  <si>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</si>
  <si>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</si>
  <si>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</si>
  <si>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</si>
  <si>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</si>
  <si>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</si>
  <si>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</si>
  <si>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</si>
  <si>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</si>
  <si>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</si>
  <si>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</si>
  <si>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</si>
  <si>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</si>
  <si>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</si>
  <si>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</si>
  <si>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</si>
  <si>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</si>
  <si>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</si>
  <si>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</si>
  <si>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</si>
  <si>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</si>
  <si>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</si>
  <si>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</si>
  <si>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</si>
  <si>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</si>
  <si>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</si>
  <si>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</si>
  <si>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</si>
  <si>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</si>
  <si>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</si>
  <si>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</si>
  <si>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</si>
  <si>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</si>
  <si>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</si>
  <si>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</si>
  <si>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</si>
  <si>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</si>
  <si>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</si>
  <si>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</si>
  <si>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</si>
  <si>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</si>
  <si>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</si>
  <si>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</si>
  <si>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</si>
  <si>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</si>
  <si>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</si>
  <si>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</si>
  <si>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</si>
  <si>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</si>
  <si>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</si>
  <si>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</si>
  <si>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</si>
  <si>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</si>
  <si>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0910382173, 09101S2172) 01.40.36 и доля</t>
  </si>
  <si>
    <t xml:space="preserve">Расходы на развитие общественной инфраструктуры и реализацию приоритетных направлений развития муниципальных образований (1010182430, 10101S2430) </t>
  </si>
  <si>
    <t>Иные межбюджетные трансферты на финансирование наказов избирателей депутатам Думы ХМАО-Югры  (4120085160)</t>
  </si>
  <si>
    <t>Расходы на развитие общественной инфраструктуры и реализацию приоритетных направлений развития муниципальных образований (капитальный ремонт жилого фонда 4060082430) окружной бюджет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</si>
  <si>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</si>
  <si>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</si>
  <si>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</si>
  <si>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</si>
  <si>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</si>
  <si>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</si>
  <si>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</si>
  <si>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</si>
  <si>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</si>
  <si>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</si>
  <si>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(0600099990)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</si>
  <si>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</si>
  <si>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</si>
  <si>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</si>
  <si>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</si>
  <si>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</si>
  <si>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</si>
  <si>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</si>
  <si>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</si>
  <si>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</si>
  <si>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</si>
  <si>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</si>
  <si>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</si>
  <si>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</si>
  <si>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</si>
  <si>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</si>
  <si>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</si>
  <si>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</si>
  <si>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</si>
  <si>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</si>
  <si>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</si>
  <si>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</si>
  <si>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</si>
  <si>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</si>
  <si>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</si>
  <si>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</si>
  <si>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</si>
  <si>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</si>
  <si>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(0310182070)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</si>
  <si>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</si>
  <si>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</si>
  <si>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</si>
  <si>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</si>
  <si>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</si>
  <si>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</si>
  <si>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</si>
  <si>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</si>
  <si>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</si>
  <si>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</si>
  <si>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</si>
  <si>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</si>
  <si>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</si>
  <si>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</si>
  <si>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</si>
  <si>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(1310184090)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</si>
  <si>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</si>
  <si>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</si>
  <si>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</si>
  <si>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</si>
  <si>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</si>
  <si>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</si>
  <si>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</si>
  <si>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</si>
  <si>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</si>
  <si>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</si>
  <si>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</si>
  <si>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</si>
  <si>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</si>
  <si>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</si>
  <si>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</si>
  <si>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</si>
  <si>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</si>
  <si>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</si>
  <si>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</si>
  <si>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бюджетным отделом</t>
  </si>
  <si>
    <t>Агеева Н.В.</t>
  </si>
  <si>
    <t>Заведующий отделом доходов</t>
  </si>
  <si>
    <t>Мартюшова О.Г.</t>
  </si>
  <si>
    <t>Отчет  об  исполнении  консолидированного  бюджета  района  по  расходам на 1 августа 2016 года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</si>
  <si>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</si>
  <si>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Реализация мероприятий в рамках непрограммного направления деятельности (4030099990) земельные отношения; (4050099990)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</si>
  <si>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</si>
  <si>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>Капитальный ремонт жилого фонда (40600S2420,  40600S2430, 4060099990) средства поселений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</si>
  <si>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</si>
  <si>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</si>
  <si>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Иные межбюджетные трансферты на благоустройство населенных пунктов (1040182200)</t>
  </si>
  <si>
    <t>И.О. заведующего отделом учета исполнения бюджета</t>
  </si>
  <si>
    <t>Мальгин С.В.</t>
  </si>
  <si>
    <t>Отчет об исполнении консолидированного бюджета Октябрьского района по состоянию на 01.08.2016</t>
  </si>
  <si>
    <t>План                 на 9 месяцев 2016 года</t>
  </si>
  <si>
    <t>Исполнение на 01.08.2016</t>
  </si>
  <si>
    <t>исполнение на 01.08.2016</t>
  </si>
  <si>
    <t>исполнения на 01.08.2016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</si>
</sst>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8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168" fontId="4" fillId="0" borderId="16" xfId="0" applyNumberFormat="1" applyFont="1" applyFill="1" applyBorder="1" applyAlignment="1">
      <alignment horizontal="righ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168" fontId="5" fillId="0" borderId="0" xfId="0" applyNumberFormat="1" applyFont="1" applyFill="1" applyAlignment="1">
      <alignment vertical="top"/>
    </xf>
    <xf numFmtId="0" fontId="0" fillId="33" borderId="0" xfId="0" applyFill="1" applyAlignment="1">
      <alignment horizontal="right"/>
    </xf>
    <xf numFmtId="168" fontId="2" fillId="0" borderId="14" xfId="0" applyNumberFormat="1" applyFont="1" applyFill="1" applyBorder="1" applyAlignment="1">
      <alignment vertical="top" wrapText="1"/>
    </xf>
    <xf numFmtId="168" fontId="0" fillId="0" borderId="0" xfId="0" applyNumberFormat="1" applyFill="1" applyAlignment="1">
      <alignment vertical="top" wrapText="1"/>
    </xf>
    <xf numFmtId="49" fontId="9" fillId="0" borderId="0" xfId="53" applyNumberFormat="1" applyFont="1" applyAlignment="1">
      <alignment horizontal="center" vertical="center" wrapText="1"/>
      <protection/>
    </xf>
    <xf numFmtId="0" fontId="9" fillId="0" borderId="0" xfId="53" applyNumberFormat="1" applyFont="1" applyAlignment="1">
      <alignment horizontal="left" vertical="center" wrapText="1"/>
      <protection/>
    </xf>
    <xf numFmtId="171" fontId="58" fillId="0" borderId="0" xfId="53" applyNumberFormat="1" applyFont="1" applyFill="1" applyAlignment="1">
      <alignment horizontal="center" vertical="center" wrapText="1"/>
      <protection/>
    </xf>
    <xf numFmtId="171" fontId="10" fillId="0" borderId="0" xfId="53" applyNumberFormat="1" applyFont="1" applyFill="1" applyBorder="1" applyAlignment="1">
      <alignment horizontal="center" vertical="center" wrapText="1"/>
      <protection/>
    </xf>
    <xf numFmtId="171" fontId="10" fillId="0" borderId="0" xfId="53" applyNumberFormat="1" applyFont="1" applyFill="1" applyAlignment="1">
      <alignment horizontal="center" vertical="center" wrapText="1"/>
      <protection/>
    </xf>
    <xf numFmtId="171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 wrapText="1"/>
    </xf>
    <xf numFmtId="49" fontId="16" fillId="34" borderId="17" xfId="53" applyNumberFormat="1" applyFont="1" applyFill="1" applyBorder="1" applyAlignment="1" quotePrefix="1">
      <alignment horizontal="center" vertical="center" wrapText="1"/>
      <protection/>
    </xf>
    <xf numFmtId="0" fontId="16" fillId="34" borderId="16" xfId="53" applyNumberFormat="1" applyFont="1" applyFill="1" applyBorder="1" applyAlignment="1">
      <alignment horizontal="left" vertical="center" wrapText="1"/>
      <protection/>
    </xf>
    <xf numFmtId="171" fontId="14" fillId="34" borderId="16" xfId="53" applyNumberFormat="1" applyFont="1" applyFill="1" applyBorder="1" applyAlignment="1">
      <alignment horizontal="center" vertical="center" wrapText="1"/>
      <protection/>
    </xf>
    <xf numFmtId="171" fontId="13" fillId="34" borderId="16" xfId="0" applyNumberFormat="1" applyFont="1" applyFill="1" applyBorder="1" applyAlignment="1">
      <alignment horizontal="center" vertical="center" wrapText="1"/>
    </xf>
    <xf numFmtId="171" fontId="14" fillId="34" borderId="18" xfId="0" applyNumberFormat="1" applyFont="1" applyFill="1" applyBorder="1" applyAlignment="1">
      <alignment horizontal="center" vertical="center" wrapText="1"/>
    </xf>
    <xf numFmtId="49" fontId="12" fillId="0" borderId="17" xfId="53" applyNumberFormat="1" applyFont="1" applyFill="1" applyBorder="1" applyAlignment="1" quotePrefix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left" vertical="center" wrapText="1"/>
      <protection/>
    </xf>
    <xf numFmtId="171" fontId="13" fillId="0" borderId="16" xfId="0" applyNumberFormat="1" applyFont="1" applyFill="1" applyBorder="1" applyAlignment="1">
      <alignment horizontal="center" vertical="center" wrapText="1"/>
    </xf>
    <xf numFmtId="171" fontId="14" fillId="0" borderId="16" xfId="0" applyNumberFormat="1" applyFont="1" applyFill="1" applyBorder="1" applyAlignment="1">
      <alignment horizontal="center" vertical="center" wrapText="1"/>
    </xf>
    <xf numFmtId="171" fontId="14" fillId="0" borderId="18" xfId="0" applyNumberFormat="1" applyFont="1" applyFill="1" applyBorder="1" applyAlignment="1">
      <alignment horizontal="center" vertical="center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171" fontId="13" fillId="34" borderId="16" xfId="53" applyNumberFormat="1" applyFont="1" applyFill="1" applyBorder="1" applyAlignment="1">
      <alignment horizontal="center" vertical="center" wrapText="1"/>
      <protection/>
    </xf>
    <xf numFmtId="171" fontId="14" fillId="34" borderId="18" xfId="53" applyNumberFormat="1" applyFont="1" applyFill="1" applyBorder="1" applyAlignment="1">
      <alignment horizontal="center" vertical="center" wrapText="1"/>
      <protection/>
    </xf>
    <xf numFmtId="0" fontId="12" fillId="35" borderId="16" xfId="53" applyNumberFormat="1" applyFont="1" applyFill="1" applyBorder="1" applyAlignment="1">
      <alignment horizontal="left" vertical="center" wrapText="1"/>
      <protection/>
    </xf>
    <xf numFmtId="0" fontId="13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13" fillId="33" borderId="16" xfId="53" applyNumberFormat="1" applyFont="1" applyFill="1" applyBorder="1" applyAlignment="1">
      <alignment horizontal="center" vertical="center" wrapText="1"/>
      <protection/>
    </xf>
    <xf numFmtId="171" fontId="14" fillId="36" borderId="16" xfId="53" applyNumberFormat="1" applyFont="1" applyFill="1" applyBorder="1" applyAlignment="1">
      <alignment horizontal="center" vertical="center" wrapText="1"/>
      <protection/>
    </xf>
    <xf numFmtId="171" fontId="14" fillId="34" borderId="16" xfId="0" applyNumberFormat="1" applyFont="1" applyFill="1" applyBorder="1" applyAlignment="1">
      <alignment horizontal="center" vertical="center" wrapText="1"/>
    </xf>
    <xf numFmtId="171" fontId="13" fillId="33" borderId="16" xfId="0" applyNumberFormat="1" applyFont="1" applyFill="1" applyBorder="1" applyAlignment="1">
      <alignment horizontal="center" vertical="center" wrapText="1"/>
    </xf>
    <xf numFmtId="171" fontId="59" fillId="0" borderId="16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left" vertical="center" wrapText="1"/>
      <protection/>
    </xf>
    <xf numFmtId="49" fontId="16" fillId="34" borderId="17" xfId="53" applyNumberFormat="1" applyFont="1" applyFill="1" applyBorder="1" applyAlignment="1">
      <alignment horizontal="center" vertical="center" wrapText="1"/>
      <protection/>
    </xf>
    <xf numFmtId="0" fontId="16" fillId="34" borderId="16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6" xfId="53" applyNumberFormat="1" applyFont="1" applyFill="1" applyBorder="1" applyAlignment="1">
      <alignment horizontal="left" vertical="center" wrapText="1"/>
      <protection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171" fontId="13" fillId="36" borderId="16" xfId="0" applyNumberFormat="1" applyFont="1" applyFill="1" applyBorder="1" applyAlignment="1">
      <alignment horizontal="center" vertical="center" wrapText="1"/>
    </xf>
    <xf numFmtId="171" fontId="14" fillId="6" borderId="19" xfId="53" applyNumberFormat="1" applyFont="1" applyFill="1" applyBorder="1" applyAlignment="1">
      <alignment horizontal="center" vertical="center" wrapText="1"/>
      <protection/>
    </xf>
    <xf numFmtId="171" fontId="14" fillId="6" borderId="19" xfId="0" applyNumberFormat="1" applyFont="1" applyFill="1" applyBorder="1" applyAlignment="1">
      <alignment horizontal="center" vertical="center" wrapText="1"/>
    </xf>
    <xf numFmtId="171" fontId="14" fillId="6" borderId="20" xfId="0" applyNumberFormat="1" applyFont="1" applyFill="1" applyBorder="1" applyAlignment="1">
      <alignment horizontal="center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171" fontId="58" fillId="0" borderId="0" xfId="53" applyNumberFormat="1" applyFont="1" applyFill="1" applyBorder="1" applyAlignment="1">
      <alignment horizontal="center" vertical="center" wrapText="1"/>
      <protection/>
    </xf>
    <xf numFmtId="171" fontId="11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71" fontId="58" fillId="0" borderId="0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 wrapText="1"/>
    </xf>
    <xf numFmtId="171" fontId="20" fillId="0" borderId="0" xfId="0" applyNumberFormat="1" applyFont="1" applyFill="1" applyAlignment="1">
      <alignment horizontal="center" vertical="center" wrapText="1"/>
    </xf>
    <xf numFmtId="171" fontId="20" fillId="0" borderId="0" xfId="0" applyNumberFormat="1" applyFont="1" applyAlignment="1">
      <alignment horizontal="center" vertical="center" wrapText="1"/>
    </xf>
    <xf numFmtId="171" fontId="20" fillId="0" borderId="15" xfId="53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0" xfId="53" applyNumberFormat="1" applyFont="1" applyFill="1" applyBorder="1" applyAlignment="1">
      <alignment horizontal="left" vertical="center" wrapText="1"/>
      <protection/>
    </xf>
    <xf numFmtId="171" fontId="60" fillId="0" borderId="0" xfId="53" applyNumberFormat="1" applyFont="1" applyFill="1" applyBorder="1" applyAlignment="1">
      <alignment horizontal="center" vertical="center" wrapText="1"/>
      <protection/>
    </xf>
    <xf numFmtId="171" fontId="20" fillId="0" borderId="0" xfId="53" applyNumberFormat="1" applyFont="1" applyFill="1" applyBorder="1" applyAlignment="1">
      <alignment horizontal="center" vertical="center" wrapText="1"/>
      <protection/>
    </xf>
    <xf numFmtId="171" fontId="20" fillId="0" borderId="0" xfId="0" applyNumberFormat="1" applyFont="1" applyFill="1" applyBorder="1" applyAlignment="1">
      <alignment horizontal="left" vertical="center" wrapText="1"/>
    </xf>
    <xf numFmtId="171" fontId="20" fillId="0" borderId="0" xfId="0" applyNumberFormat="1" applyFont="1" applyFill="1" applyAlignment="1">
      <alignment horizontal="left" vertical="center" wrapText="1"/>
    </xf>
    <xf numFmtId="171" fontId="20" fillId="0" borderId="1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1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71" fontId="6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15" xfId="0" applyFont="1" applyBorder="1" applyAlignment="1">
      <alignment/>
    </xf>
    <xf numFmtId="49" fontId="1" fillId="33" borderId="16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 vertical="top"/>
    </xf>
    <xf numFmtId="168" fontId="4" fillId="33" borderId="16" xfId="0" applyNumberFormat="1" applyFont="1" applyFill="1" applyBorder="1" applyAlignment="1">
      <alignment horizontal="right" vertical="top"/>
    </xf>
    <xf numFmtId="0" fontId="5" fillId="33" borderId="16" xfId="0" applyFont="1" applyFill="1" applyBorder="1" applyAlignment="1">
      <alignment vertical="top"/>
    </xf>
    <xf numFmtId="168" fontId="4" fillId="33" borderId="16" xfId="0" applyNumberFormat="1" applyFont="1" applyFill="1" applyBorder="1" applyAlignment="1">
      <alignment vertical="top"/>
    </xf>
    <xf numFmtId="49" fontId="2" fillId="33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168" fontId="2" fillId="33" borderId="14" xfId="0" applyNumberFormat="1" applyFont="1" applyFill="1" applyBorder="1" applyAlignment="1">
      <alignment vertical="top" wrapText="1"/>
    </xf>
    <xf numFmtId="168" fontId="5" fillId="33" borderId="14" xfId="0" applyNumberFormat="1" applyFont="1" applyFill="1" applyBorder="1" applyAlignment="1">
      <alignment horizontal="right" vertical="top"/>
    </xf>
    <xf numFmtId="168" fontId="5" fillId="33" borderId="14" xfId="0" applyNumberFormat="1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2" fillId="33" borderId="16" xfId="0" applyFont="1" applyFill="1" applyBorder="1" applyAlignment="1">
      <alignment vertical="top" wrapText="1"/>
    </xf>
    <xf numFmtId="168" fontId="2" fillId="33" borderId="16" xfId="0" applyNumberFormat="1" applyFont="1" applyFill="1" applyBorder="1" applyAlignment="1">
      <alignment vertical="top" wrapText="1"/>
    </xf>
    <xf numFmtId="168" fontId="5" fillId="33" borderId="16" xfId="0" applyNumberFormat="1" applyFont="1" applyFill="1" applyBorder="1" applyAlignment="1">
      <alignment horizontal="right" vertical="top"/>
    </xf>
    <xf numFmtId="168" fontId="5" fillId="33" borderId="16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/>
    </xf>
    <xf numFmtId="168" fontId="1" fillId="33" borderId="16" xfId="0" applyNumberFormat="1" applyFont="1" applyFill="1" applyBorder="1" applyAlignment="1">
      <alignment horizontal="right" vertical="top" wrapText="1"/>
    </xf>
    <xf numFmtId="168" fontId="4" fillId="33" borderId="14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justify" vertical="top" wrapText="1"/>
    </xf>
    <xf numFmtId="0" fontId="2" fillId="33" borderId="16" xfId="0" applyFont="1" applyFill="1" applyBorder="1" applyAlignment="1">
      <alignment vertical="top"/>
    </xf>
    <xf numFmtId="168" fontId="2" fillId="33" borderId="16" xfId="0" applyNumberFormat="1" applyFont="1" applyFill="1" applyBorder="1" applyAlignment="1">
      <alignment vertical="top"/>
    </xf>
    <xf numFmtId="49" fontId="2" fillId="33" borderId="15" xfId="0" applyNumberFormat="1" applyFont="1" applyFill="1" applyBorder="1" applyAlignment="1">
      <alignment vertical="top" wrapText="1"/>
    </xf>
    <xf numFmtId="49" fontId="2" fillId="33" borderId="15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 shrinkToFit="1"/>
    </xf>
    <xf numFmtId="168" fontId="2" fillId="33" borderId="16" xfId="0" applyNumberFormat="1" applyFont="1" applyFill="1" applyBorder="1" applyAlignment="1">
      <alignment vertical="top" wrapText="1" shrinkToFit="1"/>
    </xf>
    <xf numFmtId="49" fontId="2" fillId="33" borderId="15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8" fontId="5" fillId="33" borderId="0" xfId="0" applyNumberFormat="1" applyFont="1" applyFill="1" applyAlignment="1">
      <alignment vertical="top"/>
    </xf>
    <xf numFmtId="168" fontId="5" fillId="33" borderId="11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top"/>
    </xf>
    <xf numFmtId="168" fontId="2" fillId="33" borderId="16" xfId="0" applyNumberFormat="1" applyFont="1" applyFill="1" applyBorder="1" applyAlignment="1">
      <alignment horizontal="right" vertical="top" wrapText="1"/>
    </xf>
    <xf numFmtId="168" fontId="4" fillId="33" borderId="12" xfId="0" applyNumberFormat="1" applyFont="1" applyFill="1" applyBorder="1" applyAlignment="1">
      <alignment vertical="top"/>
    </xf>
    <xf numFmtId="168" fontId="4" fillId="33" borderId="0" xfId="0" applyNumberFormat="1" applyFont="1" applyFill="1" applyBorder="1" applyAlignment="1">
      <alignment vertical="top"/>
    </xf>
    <xf numFmtId="49" fontId="2" fillId="33" borderId="16" xfId="0" applyNumberFormat="1" applyFont="1" applyFill="1" applyBorder="1" applyAlignment="1">
      <alignment horizontal="center" vertical="top" wrapText="1"/>
    </xf>
    <xf numFmtId="168" fontId="2" fillId="33" borderId="16" xfId="0" applyNumberFormat="1" applyFont="1" applyFill="1" applyBorder="1" applyAlignment="1">
      <alignment horizontal="right" vertical="top" wrapText="1" shrinkToFit="1"/>
    </xf>
    <xf numFmtId="49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168" fontId="4" fillId="33" borderId="11" xfId="0" applyNumberFormat="1" applyFont="1" applyFill="1" applyBorder="1" applyAlignment="1">
      <alignment vertical="top"/>
    </xf>
    <xf numFmtId="168" fontId="2" fillId="33" borderId="14" xfId="0" applyNumberFormat="1" applyFont="1" applyFill="1" applyBorder="1" applyAlignment="1">
      <alignment horizontal="right" vertical="top" wrapText="1"/>
    </xf>
    <xf numFmtId="168" fontId="1" fillId="33" borderId="21" xfId="0" applyNumberFormat="1" applyFont="1" applyFill="1" applyBorder="1" applyAlignment="1">
      <alignment horizontal="right" vertical="top" wrapText="1"/>
    </xf>
    <xf numFmtId="168" fontId="2" fillId="33" borderId="16" xfId="0" applyNumberFormat="1" applyFont="1" applyFill="1" applyBorder="1" applyAlignment="1">
      <alignment horizontal="right" vertical="top"/>
    </xf>
    <xf numFmtId="49" fontId="5" fillId="33" borderId="0" xfId="0" applyNumberFormat="1" applyFont="1" applyFill="1" applyBorder="1" applyAlignment="1">
      <alignment horizontal="center" vertical="top"/>
    </xf>
    <xf numFmtId="49" fontId="5" fillId="33" borderId="15" xfId="0" applyNumberFormat="1" applyFont="1" applyFill="1" applyBorder="1" applyAlignment="1">
      <alignment horizontal="center" vertical="top"/>
    </xf>
    <xf numFmtId="168" fontId="1" fillId="33" borderId="16" xfId="0" applyNumberFormat="1" applyFont="1" applyFill="1" applyBorder="1" applyAlignment="1">
      <alignment vertical="top" wrapText="1"/>
    </xf>
    <xf numFmtId="168" fontId="2" fillId="33" borderId="15" xfId="0" applyNumberFormat="1" applyFont="1" applyFill="1" applyBorder="1" applyAlignment="1">
      <alignment horizontal="right" vertical="top" wrapText="1"/>
    </xf>
    <xf numFmtId="49" fontId="2" fillId="33" borderId="16" xfId="0" applyNumberFormat="1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horizontal="left" vertical="top" wrapText="1"/>
    </xf>
    <xf numFmtId="169" fontId="5" fillId="33" borderId="16" xfId="0" applyNumberFormat="1" applyFont="1" applyFill="1" applyBorder="1" applyAlignment="1">
      <alignment vertical="top"/>
    </xf>
    <xf numFmtId="168" fontId="2" fillId="33" borderId="16" xfId="0" applyNumberFormat="1" applyFont="1" applyFill="1" applyBorder="1" applyAlignment="1">
      <alignment horizontal="right" vertical="top" wrapText="1"/>
    </xf>
    <xf numFmtId="0" fontId="4" fillId="33" borderId="16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22" xfId="0" applyNumberFormat="1" applyFont="1" applyFill="1" applyBorder="1" applyAlignment="1">
      <alignment horizontal="center" vertical="top" wrapText="1"/>
    </xf>
    <xf numFmtId="49" fontId="2" fillId="33" borderId="23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44" fontId="2" fillId="33" borderId="10" xfId="42" applyFont="1" applyFill="1" applyBorder="1" applyAlignment="1">
      <alignment horizontal="center" vertical="top" wrapText="1"/>
    </xf>
    <xf numFmtId="44" fontId="2" fillId="33" borderId="22" xfId="42" applyFont="1" applyFill="1" applyBorder="1" applyAlignment="1">
      <alignment horizontal="center" vertical="top" wrapText="1"/>
    </xf>
    <xf numFmtId="44" fontId="2" fillId="33" borderId="23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68" fontId="4" fillId="33" borderId="22" xfId="0" applyNumberFormat="1" applyFont="1" applyFill="1" applyBorder="1" applyAlignment="1">
      <alignment horizontal="center" vertical="top"/>
    </xf>
    <xf numFmtId="168" fontId="4" fillId="33" borderId="23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8" fillId="0" borderId="0" xfId="53" applyNumberFormat="1" applyFont="1" applyFill="1" applyBorder="1" applyAlignment="1">
      <alignment horizontal="right" vertical="center" wrapText="1"/>
      <protection/>
    </xf>
    <xf numFmtId="171" fontId="20" fillId="0" borderId="0" xfId="53" applyNumberFormat="1" applyFont="1" applyFill="1" applyBorder="1" applyAlignment="1">
      <alignment horizontal="left" vertical="center" wrapText="1"/>
      <protection/>
    </xf>
    <xf numFmtId="171" fontId="20" fillId="0" borderId="0" xfId="0" applyNumberFormat="1" applyFont="1" applyFill="1" applyBorder="1" applyAlignment="1">
      <alignment horizontal="left" vertical="center" wrapText="1"/>
    </xf>
    <xf numFmtId="171" fontId="14" fillId="36" borderId="16" xfId="53" applyNumberFormat="1" applyFont="1" applyFill="1" applyBorder="1" applyAlignment="1">
      <alignment horizontal="center" vertical="center" wrapText="1"/>
      <protection/>
    </xf>
    <xf numFmtId="0" fontId="19" fillId="37" borderId="26" xfId="53" applyNumberFormat="1" applyFont="1" applyFill="1" applyBorder="1" applyAlignment="1">
      <alignment horizontal="center" vertical="center" wrapText="1"/>
      <protection/>
    </xf>
    <xf numFmtId="0" fontId="19" fillId="37" borderId="19" xfId="53" applyNumberFormat="1" applyFont="1" applyFill="1" applyBorder="1" applyAlignment="1">
      <alignment horizontal="center" vertical="center" wrapText="1"/>
      <protection/>
    </xf>
    <xf numFmtId="49" fontId="16" fillId="34" borderId="17" xfId="53" applyNumberFormat="1" applyFont="1" applyFill="1" applyBorder="1" applyAlignment="1" quotePrefix="1">
      <alignment horizontal="center" vertical="center" wrapText="1"/>
      <protection/>
    </xf>
    <xf numFmtId="0" fontId="16" fillId="34" borderId="16" xfId="53" applyNumberFormat="1" applyFont="1" applyFill="1" applyBorder="1" applyAlignment="1">
      <alignment horizontal="left" vertical="center" wrapText="1"/>
      <protection/>
    </xf>
    <xf numFmtId="171" fontId="13" fillId="0" borderId="16" xfId="53" applyNumberFormat="1" applyFont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171" fontId="14" fillId="0" borderId="16" xfId="53" applyNumberFormat="1" applyFont="1" applyFill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 wrapText="1"/>
    </xf>
    <xf numFmtId="171" fontId="14" fillId="0" borderId="16" xfId="53" applyNumberFormat="1" applyFont="1" applyBorder="1" applyAlignment="1">
      <alignment horizontal="center" vertical="center" wrapText="1"/>
      <protection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5" fillId="0" borderId="16" xfId="0" applyNumberFormat="1" applyFont="1" applyBorder="1" applyAlignment="1">
      <alignment horizontal="center" vertical="center"/>
    </xf>
    <xf numFmtId="171" fontId="14" fillId="0" borderId="18" xfId="53" applyNumberFormat="1" applyFont="1" applyBorder="1" applyAlignment="1">
      <alignment horizontal="center" vertical="center" wrapText="1"/>
      <protection/>
    </xf>
    <xf numFmtId="171" fontId="14" fillId="0" borderId="18" xfId="0" applyNumberFormat="1" applyFont="1" applyBorder="1" applyAlignment="1">
      <alignment horizontal="center" vertical="center" wrapText="1"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center" vertical="center" wrapText="1"/>
      <protection/>
    </xf>
    <xf numFmtId="49" fontId="12" fillId="0" borderId="27" xfId="53" applyNumberFormat="1" applyFont="1" applyBorder="1" applyAlignment="1">
      <alignment horizontal="center" vertical="center" wrapText="1"/>
      <protection/>
    </xf>
    <xf numFmtId="49" fontId="12" fillId="0" borderId="17" xfId="53" applyNumberFormat="1" applyFont="1" applyBorder="1" applyAlignment="1">
      <alignment horizontal="center" vertical="center" wrapText="1"/>
      <protection/>
    </xf>
    <xf numFmtId="0" fontId="12" fillId="0" borderId="28" xfId="53" applyNumberFormat="1" applyFont="1" applyBorder="1" applyAlignment="1">
      <alignment horizontal="center" vertical="center" wrapText="1"/>
      <protection/>
    </xf>
    <xf numFmtId="0" fontId="12" fillId="0" borderId="16" xfId="53" applyNumberFormat="1" applyFont="1" applyBorder="1" applyAlignment="1">
      <alignment horizontal="center" vertical="center" wrapText="1"/>
      <protection/>
    </xf>
    <xf numFmtId="171" fontId="13" fillId="0" borderId="28" xfId="53" applyNumberFormat="1" applyFont="1" applyFill="1" applyBorder="1" applyAlignment="1">
      <alignment horizontal="center" vertical="center" wrapText="1"/>
      <protection/>
    </xf>
    <xf numFmtId="171" fontId="13" fillId="0" borderId="28" xfId="0" applyNumberFormat="1" applyFont="1" applyBorder="1" applyAlignment="1">
      <alignment horizontal="center" vertical="center" wrapText="1"/>
    </xf>
    <xf numFmtId="171" fontId="14" fillId="0" borderId="28" xfId="0" applyNumberFormat="1" applyFont="1" applyFill="1" applyBorder="1" applyAlignment="1">
      <alignment horizontal="center" vertical="center" wrapText="1"/>
    </xf>
    <xf numFmtId="171" fontId="14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2"/>
  <sheetViews>
    <sheetView zoomScalePageLayoutView="0" workbookViewId="0" topLeftCell="A1">
      <pane xSplit="3" ySplit="7" topLeftCell="D19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Q220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4.00390625" style="1" customWidth="1"/>
    <col min="4" max="4" width="11.125" style="1" customWidth="1"/>
    <col min="5" max="5" width="10.625" style="1" customWidth="1"/>
    <col min="6" max="6" width="10.125" style="1" hidden="1" customWidth="1"/>
    <col min="7" max="7" width="9.00390625" style="1" hidden="1" customWidth="1"/>
    <col min="8" max="8" width="8.25390625" style="1" hidden="1" customWidth="1"/>
    <col min="9" max="9" width="9.7539062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12.75">
      <c r="A1" s="197" t="s">
        <v>241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2" ht="9.7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4.25" customHeight="1">
      <c r="A3" s="11"/>
      <c r="B3" s="11"/>
      <c r="C3" s="12"/>
      <c r="D3" s="12"/>
      <c r="E3" s="12"/>
      <c r="F3" s="12"/>
      <c r="G3" s="12"/>
      <c r="H3" s="13"/>
      <c r="I3" s="13"/>
      <c r="J3" s="56" t="s">
        <v>67</v>
      </c>
      <c r="K3" s="13"/>
      <c r="L3" s="13"/>
    </row>
    <row r="4" spans="1:17" ht="12.75" customHeight="1">
      <c r="A4" s="14" t="s">
        <v>41</v>
      </c>
      <c r="B4" s="14"/>
      <c r="C4" s="15"/>
      <c r="D4" s="198" t="s">
        <v>80</v>
      </c>
      <c r="E4" s="198" t="s">
        <v>242</v>
      </c>
      <c r="F4" s="201" t="s">
        <v>70</v>
      </c>
      <c r="G4" s="201" t="s">
        <v>71</v>
      </c>
      <c r="H4" s="201" t="s">
        <v>72</v>
      </c>
      <c r="I4" s="201" t="s">
        <v>73</v>
      </c>
      <c r="J4" s="198" t="s">
        <v>243</v>
      </c>
      <c r="K4" s="198" t="s">
        <v>74</v>
      </c>
      <c r="L4" s="198" t="s">
        <v>75</v>
      </c>
      <c r="M4" s="198" t="s">
        <v>76</v>
      </c>
      <c r="N4" s="198" t="s">
        <v>77</v>
      </c>
      <c r="O4" s="198" t="s">
        <v>78</v>
      </c>
      <c r="P4" s="198" t="s">
        <v>81</v>
      </c>
      <c r="Q4" s="198" t="s">
        <v>79</v>
      </c>
    </row>
    <row r="5" spans="1:17" ht="27.75" customHeight="1">
      <c r="A5" s="16" t="s">
        <v>46</v>
      </c>
      <c r="B5" s="16"/>
      <c r="C5" s="17" t="s">
        <v>16</v>
      </c>
      <c r="D5" s="199"/>
      <c r="E5" s="199"/>
      <c r="F5" s="202"/>
      <c r="G5" s="202"/>
      <c r="H5" s="202"/>
      <c r="I5" s="202"/>
      <c r="J5" s="199"/>
      <c r="K5" s="199"/>
      <c r="L5" s="199"/>
      <c r="M5" s="199"/>
      <c r="N5" s="199"/>
      <c r="O5" s="199"/>
      <c r="P5" s="199"/>
      <c r="Q5" s="199"/>
    </row>
    <row r="6" spans="1:17" ht="39.75" customHeight="1">
      <c r="A6" s="16"/>
      <c r="B6" s="16"/>
      <c r="C6" s="17"/>
      <c r="D6" s="200"/>
      <c r="E6" s="200"/>
      <c r="F6" s="203"/>
      <c r="G6" s="203"/>
      <c r="H6" s="203"/>
      <c r="I6" s="203"/>
      <c r="J6" s="200"/>
      <c r="K6" s="200"/>
      <c r="L6" s="200"/>
      <c r="M6" s="200"/>
      <c r="N6" s="200"/>
      <c r="O6" s="200"/>
      <c r="P6" s="200"/>
      <c r="Q6" s="200"/>
    </row>
    <row r="7" spans="1:15" ht="12.75">
      <c r="A7" s="204" t="s">
        <v>24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7" ht="12.75">
      <c r="A8" s="129" t="s">
        <v>3</v>
      </c>
      <c r="B8" s="129"/>
      <c r="C8" s="130" t="s">
        <v>66</v>
      </c>
      <c r="D8" s="131">
        <f aca="true" t="shared" si="0" ref="D8:I8">D9+D11+D12+D13+D15+D16+D18+D20+D14+D21+D17+D19+D10</f>
        <v>703606.5999999999</v>
      </c>
      <c r="E8" s="131">
        <f t="shared" si="0"/>
        <v>510561.6</v>
      </c>
      <c r="F8" s="131">
        <f t="shared" si="0"/>
        <v>166895.9</v>
      </c>
      <c r="G8" s="131">
        <f t="shared" si="0"/>
        <v>186867.99999999997</v>
      </c>
      <c r="H8" s="131">
        <f t="shared" si="0"/>
        <v>156797.69999999998</v>
      </c>
      <c r="I8" s="131">
        <f t="shared" si="0"/>
        <v>193045</v>
      </c>
      <c r="J8" s="131">
        <f>J9+J11+J12+J13+J15+J16+J18+J20+J14+J21+J17+J19+J10+0.2</f>
        <v>475404.70000000007</v>
      </c>
      <c r="K8" s="131" t="e">
        <f>K9+K11+K12+K13+K15+K16+K18+K20+K14+K21+K17+K19</f>
        <v>#REF!</v>
      </c>
      <c r="L8" s="131">
        <f aca="true" t="shared" si="1" ref="L8:L20">J8/H8*100</f>
        <v>303.1962203527221</v>
      </c>
      <c r="M8" s="132"/>
      <c r="N8" s="132"/>
      <c r="O8" s="131">
        <f>J8*100/I8</f>
        <v>246.2662591623715</v>
      </c>
      <c r="P8" s="131">
        <f>J8*100/E8</f>
        <v>93.11407281707048</v>
      </c>
      <c r="Q8" s="133">
        <f>J8*100/D8</f>
        <v>67.56683351179483</v>
      </c>
    </row>
    <row r="9" spans="1:17" ht="12.75">
      <c r="A9" s="134" t="s">
        <v>23</v>
      </c>
      <c r="B9" s="134"/>
      <c r="C9" s="135" t="s">
        <v>22</v>
      </c>
      <c r="D9" s="136">
        <f>F9+G9+H9+I9</f>
        <v>483100</v>
      </c>
      <c r="E9" s="136">
        <f>F9+G9+H9</f>
        <v>351201</v>
      </c>
      <c r="F9" s="136">
        <v>112281.7</v>
      </c>
      <c r="G9" s="136">
        <v>126949.8</v>
      </c>
      <c r="H9" s="137">
        <v>111969.5</v>
      </c>
      <c r="I9" s="138">
        <v>131899</v>
      </c>
      <c r="J9" s="138">
        <v>300557.8</v>
      </c>
      <c r="K9" s="137" t="e">
        <f>J9/#REF!*100</f>
        <v>#REF!</v>
      </c>
      <c r="L9" s="137">
        <f t="shared" si="1"/>
        <v>268.4282773433837</v>
      </c>
      <c r="M9" s="139"/>
      <c r="N9" s="139"/>
      <c r="O9" s="137">
        <f aca="true" t="shared" si="2" ref="O9:O77">J9*100/I9</f>
        <v>227.86965784425962</v>
      </c>
      <c r="P9" s="137">
        <f aca="true" t="shared" si="3" ref="P9:P74">J9*100/E9</f>
        <v>85.57999550115176</v>
      </c>
      <c r="Q9" s="138">
        <f aca="true" t="shared" si="4" ref="Q9:Q74">J9*100/D9</f>
        <v>62.21440695508176</v>
      </c>
    </row>
    <row r="10" spans="1:17" ht="12.75">
      <c r="A10" s="134" t="s">
        <v>68</v>
      </c>
      <c r="B10" s="134"/>
      <c r="C10" s="140" t="s">
        <v>69</v>
      </c>
      <c r="D10" s="141">
        <f aca="true" t="shared" si="5" ref="D10:D26">F10+G10+H10+I10</f>
        <v>35821</v>
      </c>
      <c r="E10" s="136">
        <f aca="true" t="shared" si="6" ref="E10:E21">F10+G10+H10</f>
        <v>26888</v>
      </c>
      <c r="F10" s="141">
        <f>8649+941</f>
        <v>9590</v>
      </c>
      <c r="G10" s="141">
        <v>8649</v>
      </c>
      <c r="H10" s="142">
        <v>8649</v>
      </c>
      <c r="I10" s="143">
        <v>8933</v>
      </c>
      <c r="J10" s="143">
        <v>27787</v>
      </c>
      <c r="K10" s="137"/>
      <c r="L10" s="137"/>
      <c r="M10" s="139"/>
      <c r="N10" s="139"/>
      <c r="O10" s="142"/>
      <c r="P10" s="137">
        <f t="shared" si="3"/>
        <v>103.34349895864327</v>
      </c>
      <c r="Q10" s="143">
        <f t="shared" si="4"/>
        <v>77.57181541553837</v>
      </c>
    </row>
    <row r="11" spans="1:17" ht="12.75">
      <c r="A11" s="134" t="s">
        <v>8</v>
      </c>
      <c r="B11" s="134"/>
      <c r="C11" s="140" t="s">
        <v>5</v>
      </c>
      <c r="D11" s="141">
        <f t="shared" si="5"/>
        <v>39962</v>
      </c>
      <c r="E11" s="136">
        <f t="shared" si="6"/>
        <v>31607</v>
      </c>
      <c r="F11" s="141">
        <v>11925</v>
      </c>
      <c r="G11" s="141">
        <v>11695</v>
      </c>
      <c r="H11" s="142">
        <v>7987</v>
      </c>
      <c r="I11" s="143">
        <v>8355</v>
      </c>
      <c r="J11" s="143">
        <v>33395.4</v>
      </c>
      <c r="K11" s="137" t="e">
        <f>J11/#REF!*100</f>
        <v>#REF!</v>
      </c>
      <c r="L11" s="137">
        <f t="shared" si="1"/>
        <v>418.12194816576937</v>
      </c>
      <c r="M11" s="139"/>
      <c r="N11" s="139"/>
      <c r="O11" s="142">
        <f t="shared" si="2"/>
        <v>399.70556552962296</v>
      </c>
      <c r="P11" s="137">
        <f t="shared" si="3"/>
        <v>105.65824026323283</v>
      </c>
      <c r="Q11" s="143">
        <f t="shared" si="4"/>
        <v>83.56788949502027</v>
      </c>
    </row>
    <row r="12" spans="1:17" ht="12.75">
      <c r="A12" s="134" t="s">
        <v>9</v>
      </c>
      <c r="B12" s="134"/>
      <c r="C12" s="140" t="s">
        <v>6</v>
      </c>
      <c r="D12" s="141">
        <f t="shared" si="5"/>
        <v>3340</v>
      </c>
      <c r="E12" s="136">
        <f t="shared" si="6"/>
        <v>2435</v>
      </c>
      <c r="F12" s="141">
        <v>765</v>
      </c>
      <c r="G12" s="141">
        <v>905</v>
      </c>
      <c r="H12" s="142">
        <v>765</v>
      </c>
      <c r="I12" s="143">
        <v>905</v>
      </c>
      <c r="J12" s="143">
        <v>3056.4</v>
      </c>
      <c r="K12" s="137" t="e">
        <f>J12/#REF!*100</f>
        <v>#REF!</v>
      </c>
      <c r="L12" s="137">
        <f t="shared" si="1"/>
        <v>399.5294117647059</v>
      </c>
      <c r="M12" s="139"/>
      <c r="N12" s="139"/>
      <c r="O12" s="142">
        <f t="shared" si="2"/>
        <v>337.72375690607737</v>
      </c>
      <c r="P12" s="137">
        <f t="shared" si="3"/>
        <v>125.51950718685832</v>
      </c>
      <c r="Q12" s="143">
        <f t="shared" si="4"/>
        <v>91.50898203592814</v>
      </c>
    </row>
    <row r="13" spans="1:17" ht="12.75">
      <c r="A13" s="134" t="s">
        <v>10</v>
      </c>
      <c r="B13" s="134"/>
      <c r="C13" s="140" t="s">
        <v>21</v>
      </c>
      <c r="D13" s="141">
        <f t="shared" si="5"/>
        <v>3311</v>
      </c>
      <c r="E13" s="136">
        <f t="shared" si="6"/>
        <v>2482</v>
      </c>
      <c r="F13" s="141">
        <v>829</v>
      </c>
      <c r="G13" s="141">
        <v>825</v>
      </c>
      <c r="H13" s="142">
        <v>828</v>
      </c>
      <c r="I13" s="143">
        <v>829</v>
      </c>
      <c r="J13" s="143">
        <v>2250.4</v>
      </c>
      <c r="K13" s="137" t="e">
        <f>J13/#REF!*100</f>
        <v>#REF!</v>
      </c>
      <c r="L13" s="137">
        <f t="shared" si="1"/>
        <v>271.78743961352654</v>
      </c>
      <c r="M13" s="139"/>
      <c r="N13" s="139"/>
      <c r="O13" s="142">
        <f t="shared" si="2"/>
        <v>271.45958986731</v>
      </c>
      <c r="P13" s="137">
        <f t="shared" si="3"/>
        <v>90.66881547139404</v>
      </c>
      <c r="Q13" s="143">
        <f t="shared" si="4"/>
        <v>67.96738145575355</v>
      </c>
    </row>
    <row r="14" spans="1:17" ht="21.75" customHeight="1" hidden="1">
      <c r="A14" s="134" t="s">
        <v>37</v>
      </c>
      <c r="B14" s="134"/>
      <c r="C14" s="140" t="s">
        <v>38</v>
      </c>
      <c r="D14" s="141">
        <f t="shared" si="5"/>
        <v>0</v>
      </c>
      <c r="E14" s="136">
        <f t="shared" si="6"/>
        <v>0</v>
      </c>
      <c r="F14" s="141"/>
      <c r="G14" s="141"/>
      <c r="H14" s="142"/>
      <c r="I14" s="143"/>
      <c r="J14" s="143"/>
      <c r="K14" s="137" t="e">
        <f>J14/#REF!*100</f>
        <v>#REF!</v>
      </c>
      <c r="L14" s="137"/>
      <c r="M14" s="139"/>
      <c r="N14" s="139"/>
      <c r="O14" s="142" t="e">
        <f t="shared" si="2"/>
        <v>#DIV/0!</v>
      </c>
      <c r="P14" s="137"/>
      <c r="Q14" s="143"/>
    </row>
    <row r="15" spans="1:17" ht="24">
      <c r="A15" s="144" t="s">
        <v>11</v>
      </c>
      <c r="B15" s="144"/>
      <c r="C15" s="140" t="s">
        <v>17</v>
      </c>
      <c r="D15" s="141">
        <f t="shared" si="5"/>
        <v>89129.2</v>
      </c>
      <c r="E15" s="136">
        <f t="shared" si="6"/>
        <v>57461.1</v>
      </c>
      <c r="F15" s="141">
        <v>13453.9</v>
      </c>
      <c r="G15" s="141">
        <v>24339.6</v>
      </c>
      <c r="H15" s="142">
        <v>19667.6</v>
      </c>
      <c r="I15" s="143">
        <v>31668.1</v>
      </c>
      <c r="J15" s="143">
        <v>64851</v>
      </c>
      <c r="K15" s="137" t="e">
        <f>J15/#REF!*100</f>
        <v>#REF!</v>
      </c>
      <c r="L15" s="137">
        <f t="shared" si="1"/>
        <v>329.7351990075048</v>
      </c>
      <c r="M15" s="139"/>
      <c r="N15" s="139"/>
      <c r="O15" s="142">
        <f t="shared" si="2"/>
        <v>204.78336243727915</v>
      </c>
      <c r="P15" s="137">
        <f t="shared" si="3"/>
        <v>112.86070054349813</v>
      </c>
      <c r="Q15" s="143">
        <f t="shared" si="4"/>
        <v>72.76066653801448</v>
      </c>
    </row>
    <row r="16" spans="1:17" ht="12.75">
      <c r="A16" s="145" t="s">
        <v>14</v>
      </c>
      <c r="B16" s="145"/>
      <c r="C16" s="140" t="s">
        <v>13</v>
      </c>
      <c r="D16" s="141">
        <f t="shared" si="5"/>
        <v>13331.2</v>
      </c>
      <c r="E16" s="136">
        <f t="shared" si="6"/>
        <v>11847.2</v>
      </c>
      <c r="F16" s="141">
        <v>7342.8</v>
      </c>
      <c r="G16" s="141">
        <v>3020.4</v>
      </c>
      <c r="H16" s="142">
        <v>1484</v>
      </c>
      <c r="I16" s="143">
        <v>1484</v>
      </c>
      <c r="J16" s="143">
        <v>14548.6</v>
      </c>
      <c r="K16" s="137" t="e">
        <f>J16/#REF!*100</f>
        <v>#REF!</v>
      </c>
      <c r="L16" s="137">
        <f t="shared" si="1"/>
        <v>980.3638814016173</v>
      </c>
      <c r="M16" s="139"/>
      <c r="N16" s="139"/>
      <c r="O16" s="142">
        <f t="shared" si="2"/>
        <v>980.3638814016173</v>
      </c>
      <c r="P16" s="137">
        <f t="shared" si="3"/>
        <v>122.80201228982375</v>
      </c>
      <c r="Q16" s="143">
        <f t="shared" si="4"/>
        <v>109.1319611137782</v>
      </c>
    </row>
    <row r="17" spans="1:17" ht="12.75">
      <c r="A17" s="146" t="s">
        <v>42</v>
      </c>
      <c r="B17" s="146"/>
      <c r="C17" s="140" t="s">
        <v>43</v>
      </c>
      <c r="D17" s="141">
        <f t="shared" si="5"/>
        <v>8640</v>
      </c>
      <c r="E17" s="136">
        <f t="shared" si="6"/>
        <v>6815</v>
      </c>
      <c r="F17" s="141">
        <v>2163.5</v>
      </c>
      <c r="G17" s="141">
        <v>2831.5</v>
      </c>
      <c r="H17" s="142">
        <v>1820</v>
      </c>
      <c r="I17" s="143">
        <v>1825</v>
      </c>
      <c r="J17" s="143">
        <v>7522.7</v>
      </c>
      <c r="K17" s="137" t="e">
        <f>J17/#REF!*100</f>
        <v>#REF!</v>
      </c>
      <c r="L17" s="137">
        <f t="shared" si="1"/>
        <v>413.3351648351648</v>
      </c>
      <c r="M17" s="139"/>
      <c r="N17" s="139"/>
      <c r="O17" s="142">
        <f t="shared" si="2"/>
        <v>412.2027397260274</v>
      </c>
      <c r="P17" s="137">
        <f t="shared" si="3"/>
        <v>110.38444607483493</v>
      </c>
      <c r="Q17" s="143">
        <f t="shared" si="4"/>
        <v>87.06828703703704</v>
      </c>
    </row>
    <row r="18" spans="1:17" ht="12.75">
      <c r="A18" s="146" t="s">
        <v>18</v>
      </c>
      <c r="B18" s="146"/>
      <c r="C18" s="140" t="s">
        <v>15</v>
      </c>
      <c r="D18" s="141">
        <f t="shared" si="5"/>
        <v>20685</v>
      </c>
      <c r="E18" s="136">
        <f t="shared" si="6"/>
        <v>13948</v>
      </c>
      <c r="F18" s="141">
        <v>5485.4</v>
      </c>
      <c r="G18" s="141">
        <v>5241.8</v>
      </c>
      <c r="H18" s="142">
        <v>3220.8</v>
      </c>
      <c r="I18" s="143">
        <v>6737</v>
      </c>
      <c r="J18" s="143">
        <v>12252.9</v>
      </c>
      <c r="K18" s="137" t="e">
        <f>J18/#REF!*100</f>
        <v>#REF!</v>
      </c>
      <c r="L18" s="137">
        <f t="shared" si="1"/>
        <v>380.43032786885243</v>
      </c>
      <c r="M18" s="139"/>
      <c r="N18" s="139"/>
      <c r="O18" s="142">
        <f t="shared" si="2"/>
        <v>181.87472168621048</v>
      </c>
      <c r="P18" s="137">
        <f t="shared" si="3"/>
        <v>87.84700315457414</v>
      </c>
      <c r="Q18" s="143">
        <f t="shared" si="4"/>
        <v>59.2356780275562</v>
      </c>
    </row>
    <row r="19" spans="1:17" ht="12.75">
      <c r="A19" s="146" t="s">
        <v>59</v>
      </c>
      <c r="B19" s="146"/>
      <c r="C19" s="140" t="s">
        <v>60</v>
      </c>
      <c r="D19" s="141">
        <f t="shared" si="5"/>
        <v>5</v>
      </c>
      <c r="E19" s="136">
        <f t="shared" si="6"/>
        <v>5</v>
      </c>
      <c r="F19" s="141">
        <v>5</v>
      </c>
      <c r="G19" s="141"/>
      <c r="H19" s="142"/>
      <c r="I19" s="143"/>
      <c r="J19" s="143">
        <v>13</v>
      </c>
      <c r="K19" s="137" t="e">
        <f>J19/#REF!*100</f>
        <v>#REF!</v>
      </c>
      <c r="L19" s="137" t="e">
        <f t="shared" si="1"/>
        <v>#DIV/0!</v>
      </c>
      <c r="M19" s="139"/>
      <c r="N19" s="139"/>
      <c r="O19" s="142" t="e">
        <f t="shared" si="2"/>
        <v>#DIV/0!</v>
      </c>
      <c r="P19" s="137">
        <f t="shared" si="3"/>
        <v>260</v>
      </c>
      <c r="Q19" s="143">
        <f t="shared" si="4"/>
        <v>260</v>
      </c>
    </row>
    <row r="20" spans="1:17" ht="12.75">
      <c r="A20" s="147" t="s">
        <v>12</v>
      </c>
      <c r="B20" s="147"/>
      <c r="C20" s="140" t="s">
        <v>7</v>
      </c>
      <c r="D20" s="141">
        <f t="shared" si="5"/>
        <v>6282.2</v>
      </c>
      <c r="E20" s="136">
        <f t="shared" si="6"/>
        <v>5872.3</v>
      </c>
      <c r="F20" s="141">
        <v>3054.6</v>
      </c>
      <c r="G20" s="141">
        <v>2410.9</v>
      </c>
      <c r="H20" s="142">
        <v>406.8</v>
      </c>
      <c r="I20" s="143">
        <v>409.9</v>
      </c>
      <c r="J20" s="143">
        <v>8873</v>
      </c>
      <c r="K20" s="137" t="e">
        <f>J20/#REF!*100</f>
        <v>#REF!</v>
      </c>
      <c r="L20" s="137">
        <f t="shared" si="1"/>
        <v>2181.1701081612587</v>
      </c>
      <c r="M20" s="139"/>
      <c r="N20" s="139"/>
      <c r="O20" s="142">
        <f t="shared" si="2"/>
        <v>2164.6743108075143</v>
      </c>
      <c r="P20" s="137">
        <f t="shared" si="3"/>
        <v>151.09922858164603</v>
      </c>
      <c r="Q20" s="143">
        <f t="shared" si="4"/>
        <v>141.24032982076344</v>
      </c>
    </row>
    <row r="21" spans="1:17" ht="12.75">
      <c r="A21" s="148" t="s">
        <v>39</v>
      </c>
      <c r="B21" s="149"/>
      <c r="C21" s="150" t="s">
        <v>40</v>
      </c>
      <c r="D21" s="141">
        <f t="shared" si="5"/>
        <v>0</v>
      </c>
      <c r="E21" s="136">
        <f t="shared" si="6"/>
        <v>0</v>
      </c>
      <c r="F21" s="141"/>
      <c r="G21" s="141"/>
      <c r="H21" s="142"/>
      <c r="I21" s="143"/>
      <c r="J21" s="143">
        <v>296.3</v>
      </c>
      <c r="K21" s="137"/>
      <c r="L21" s="137"/>
      <c r="M21" s="139"/>
      <c r="N21" s="139"/>
      <c r="O21" s="142"/>
      <c r="P21" s="137"/>
      <c r="Q21" s="143"/>
    </row>
    <row r="22" spans="1:17" ht="12.75">
      <c r="A22" s="151" t="s">
        <v>1</v>
      </c>
      <c r="B22" s="151"/>
      <c r="C22" s="152" t="s">
        <v>0</v>
      </c>
      <c r="D22" s="153">
        <f aca="true" t="shared" si="7" ref="D22:J22">D23+D24+D26+D25</f>
        <v>3147804</v>
      </c>
      <c r="E22" s="153">
        <f>E23+E24+E26+E25</f>
        <v>1510850.0999999999</v>
      </c>
      <c r="F22" s="153">
        <f t="shared" si="7"/>
        <v>652462.7000000001</v>
      </c>
      <c r="G22" s="153">
        <f t="shared" si="7"/>
        <v>858387.4</v>
      </c>
      <c r="H22" s="153">
        <f t="shared" si="7"/>
        <v>880262.5</v>
      </c>
      <c r="I22" s="153">
        <f t="shared" si="7"/>
        <v>756691.4</v>
      </c>
      <c r="J22" s="153">
        <f t="shared" si="7"/>
        <v>1944791.4000000001</v>
      </c>
      <c r="K22" s="154" t="e">
        <f>J22/#REF!*100</f>
        <v>#REF!</v>
      </c>
      <c r="L22" s="154">
        <f aca="true" t="shared" si="8" ref="L22:L27">J22/H22*100</f>
        <v>220.93311938200256</v>
      </c>
      <c r="M22" s="139"/>
      <c r="N22" s="139"/>
      <c r="O22" s="131">
        <f t="shared" si="2"/>
        <v>257.0124888428757</v>
      </c>
      <c r="P22" s="154">
        <f t="shared" si="3"/>
        <v>128.7216647104832</v>
      </c>
      <c r="Q22" s="133">
        <f t="shared" si="4"/>
        <v>61.782480738953254</v>
      </c>
    </row>
    <row r="23" spans="1:17" ht="24">
      <c r="A23" s="155" t="s">
        <v>65</v>
      </c>
      <c r="B23" s="134"/>
      <c r="C23" s="156" t="s">
        <v>20</v>
      </c>
      <c r="D23" s="141">
        <f t="shared" si="5"/>
        <v>3099361.3</v>
      </c>
      <c r="E23" s="136">
        <f>F23+G23</f>
        <v>1472407.4</v>
      </c>
      <c r="F23" s="141">
        <v>709965.8</v>
      </c>
      <c r="G23" s="141">
        <v>762441.6</v>
      </c>
      <c r="H23" s="143">
        <f>906064.3-30801.8</f>
        <v>875262.5</v>
      </c>
      <c r="I23" s="143">
        <v>751691.4</v>
      </c>
      <c r="J23" s="143">
        <v>1903378.1</v>
      </c>
      <c r="K23" s="137" t="e">
        <f>J23/#REF!*100</f>
        <v>#REF!</v>
      </c>
      <c r="L23" s="137">
        <f t="shared" si="8"/>
        <v>217.46368660830325</v>
      </c>
      <c r="M23" s="139"/>
      <c r="N23" s="139"/>
      <c r="O23" s="142">
        <f t="shared" si="2"/>
        <v>253.2127013825088</v>
      </c>
      <c r="P23" s="137">
        <f t="shared" si="3"/>
        <v>129.2697999208643</v>
      </c>
      <c r="Q23" s="143">
        <f t="shared" si="4"/>
        <v>61.41194639037405</v>
      </c>
    </row>
    <row r="24" spans="1:17" ht="13.5" customHeight="1">
      <c r="A24" s="155" t="s">
        <v>2</v>
      </c>
      <c r="B24" s="155"/>
      <c r="C24" s="157" t="s">
        <v>19</v>
      </c>
      <c r="D24" s="141">
        <f t="shared" si="5"/>
        <v>55310</v>
      </c>
      <c r="E24" s="136">
        <f>F24+G24</f>
        <v>45310</v>
      </c>
      <c r="F24" s="158">
        <f>5000+10</f>
        <v>5010</v>
      </c>
      <c r="G24" s="158">
        <v>40300</v>
      </c>
      <c r="H24" s="143">
        <v>5000</v>
      </c>
      <c r="I24" s="143">
        <v>5000</v>
      </c>
      <c r="J24" s="143">
        <v>49631.5</v>
      </c>
      <c r="K24" s="137" t="e">
        <f>J24/#REF!*100</f>
        <v>#REF!</v>
      </c>
      <c r="L24" s="137">
        <f t="shared" si="8"/>
        <v>992.63</v>
      </c>
      <c r="M24" s="139"/>
      <c r="N24" s="139"/>
      <c r="O24" s="142">
        <f t="shared" si="2"/>
        <v>992.63</v>
      </c>
      <c r="P24" s="137">
        <f t="shared" si="3"/>
        <v>109.5376296623262</v>
      </c>
      <c r="Q24" s="143">
        <f t="shared" si="4"/>
        <v>89.73332128005785</v>
      </c>
    </row>
    <row r="25" spans="1:17" ht="34.5" customHeight="1" hidden="1">
      <c r="A25" s="155" t="s">
        <v>63</v>
      </c>
      <c r="B25" s="159" t="s">
        <v>62</v>
      </c>
      <c r="C25" s="150" t="s">
        <v>62</v>
      </c>
      <c r="D25" s="141">
        <f t="shared" si="5"/>
        <v>0</v>
      </c>
      <c r="E25" s="136">
        <f>F25+G25</f>
        <v>0</v>
      </c>
      <c r="F25" s="141"/>
      <c r="G25" s="141"/>
      <c r="H25" s="143"/>
      <c r="I25" s="143"/>
      <c r="J25" s="143"/>
      <c r="K25" s="137" t="e">
        <f>J25/#REF!*100</f>
        <v>#REF!</v>
      </c>
      <c r="L25" s="137"/>
      <c r="M25" s="139"/>
      <c r="N25" s="139"/>
      <c r="O25" s="142" t="e">
        <f t="shared" si="2"/>
        <v>#DIV/0!</v>
      </c>
      <c r="P25" s="137" t="e">
        <f>J25*100/E25</f>
        <v>#DIV/0!</v>
      </c>
      <c r="Q25" s="143" t="e">
        <f>J25*100/D25</f>
        <v>#DIV/0!</v>
      </c>
    </row>
    <row r="26" spans="1:17" ht="24">
      <c r="A26" s="155" t="s">
        <v>64</v>
      </c>
      <c r="B26" s="160"/>
      <c r="C26" s="161" t="s">
        <v>61</v>
      </c>
      <c r="D26" s="141">
        <f t="shared" si="5"/>
        <v>-6867.299999999996</v>
      </c>
      <c r="E26" s="136">
        <f>F26+G26</f>
        <v>-6867.299999999996</v>
      </c>
      <c r="F26" s="162">
        <v>-62513.1</v>
      </c>
      <c r="G26" s="162">
        <v>55645.8</v>
      </c>
      <c r="H26" s="143"/>
      <c r="I26" s="143"/>
      <c r="J26" s="143">
        <v>-8218.2</v>
      </c>
      <c r="K26" s="137" t="e">
        <f>J26/#REF!*100</f>
        <v>#REF!</v>
      </c>
      <c r="L26" s="137"/>
      <c r="M26" s="139"/>
      <c r="N26" s="139"/>
      <c r="O26" s="142" t="e">
        <f t="shared" si="2"/>
        <v>#DIV/0!</v>
      </c>
      <c r="P26" s="137">
        <f>J26*100/E26</f>
        <v>119.67148661045835</v>
      </c>
      <c r="Q26" s="143">
        <f>J26*100/D26</f>
        <v>119.67148661045835</v>
      </c>
    </row>
    <row r="27" spans="1:17" ht="12.75">
      <c r="A27" s="147"/>
      <c r="B27" s="163"/>
      <c r="C27" s="164" t="s">
        <v>4</v>
      </c>
      <c r="D27" s="133">
        <f aca="true" t="shared" si="9" ref="D27:J27">D22+D8</f>
        <v>3851410.5999999996</v>
      </c>
      <c r="E27" s="133">
        <f t="shared" si="9"/>
        <v>2021411.6999999997</v>
      </c>
      <c r="F27" s="133">
        <f t="shared" si="9"/>
        <v>819358.6000000001</v>
      </c>
      <c r="G27" s="133">
        <f t="shared" si="9"/>
        <v>1045255.4</v>
      </c>
      <c r="H27" s="133">
        <f t="shared" si="9"/>
        <v>1037060.2</v>
      </c>
      <c r="I27" s="133">
        <f t="shared" si="9"/>
        <v>949736.4</v>
      </c>
      <c r="J27" s="133">
        <f t="shared" si="9"/>
        <v>2420196.1</v>
      </c>
      <c r="K27" s="154" t="e">
        <f>J27/#REF!*100</f>
        <v>#REF!</v>
      </c>
      <c r="L27" s="154">
        <f t="shared" si="8"/>
        <v>233.37083999559525</v>
      </c>
      <c r="M27" s="139"/>
      <c r="N27" s="165" t="e">
        <f>I27+#REF!+#REF!</f>
        <v>#REF!</v>
      </c>
      <c r="O27" s="131">
        <f t="shared" si="2"/>
        <v>254.82819232789222</v>
      </c>
      <c r="P27" s="154">
        <f t="shared" si="3"/>
        <v>119.7280148324065</v>
      </c>
      <c r="Q27" s="133">
        <f t="shared" si="4"/>
        <v>62.83921272896741</v>
      </c>
    </row>
    <row r="28" spans="1:17" ht="12.75">
      <c r="A28" s="188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90"/>
      <c r="M28" s="139"/>
      <c r="N28" s="139"/>
      <c r="O28" s="166"/>
      <c r="P28" s="154"/>
      <c r="Q28" s="133"/>
    </row>
    <row r="29" spans="1:17" ht="12.75">
      <c r="A29" s="187" t="s">
        <v>25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54"/>
      <c r="Q29" s="133"/>
    </row>
    <row r="30" spans="1:17" ht="12.75">
      <c r="A30" s="151" t="s">
        <v>3</v>
      </c>
      <c r="B30" s="151"/>
      <c r="C30" s="167" t="s">
        <v>66</v>
      </c>
      <c r="D30" s="154">
        <f>D31+D32+D34+D36+D33+D35+D38+D37</f>
        <v>13987</v>
      </c>
      <c r="E30" s="154">
        <f aca="true" t="shared" si="10" ref="E30:J30">E31+E32+E34+E36+E33+E35+E38+E37</f>
        <v>10642.8</v>
      </c>
      <c r="F30" s="154">
        <f t="shared" si="10"/>
        <v>3342.3</v>
      </c>
      <c r="G30" s="154">
        <f t="shared" si="10"/>
        <v>3958.2</v>
      </c>
      <c r="H30" s="154">
        <f t="shared" si="10"/>
        <v>3342.3</v>
      </c>
      <c r="I30" s="154">
        <f t="shared" si="10"/>
        <v>3344.2</v>
      </c>
      <c r="J30" s="154">
        <f t="shared" si="10"/>
        <v>10061.600000000002</v>
      </c>
      <c r="K30" s="154" t="e">
        <f>J30/#REF!*100</f>
        <v>#REF!</v>
      </c>
      <c r="L30" s="154">
        <f aca="true" t="shared" si="11" ref="L30:L36">J30/H30*100</f>
        <v>301.0382072225713</v>
      </c>
      <c r="M30" s="139"/>
      <c r="N30" s="139"/>
      <c r="O30" s="154">
        <f t="shared" si="2"/>
        <v>300.86717301596804</v>
      </c>
      <c r="P30" s="154">
        <f t="shared" si="3"/>
        <v>94.53903108204611</v>
      </c>
      <c r="Q30" s="133">
        <f t="shared" si="4"/>
        <v>71.93536855651678</v>
      </c>
    </row>
    <row r="31" spans="1:17" ht="12.75">
      <c r="A31" s="134" t="s">
        <v>23</v>
      </c>
      <c r="B31" s="134"/>
      <c r="C31" s="135" t="s">
        <v>22</v>
      </c>
      <c r="D31" s="141">
        <f aca="true" t="shared" si="12" ref="D31:D36">F31+G31+H31+I31</f>
        <v>11220</v>
      </c>
      <c r="E31" s="136">
        <f aca="true" t="shared" si="13" ref="E31:E40">F31+G31+H31</f>
        <v>8415</v>
      </c>
      <c r="F31" s="136">
        <v>2805</v>
      </c>
      <c r="G31" s="136">
        <v>2805</v>
      </c>
      <c r="H31" s="142">
        <v>2805</v>
      </c>
      <c r="I31" s="143">
        <v>2805</v>
      </c>
      <c r="J31" s="138">
        <v>8182.2</v>
      </c>
      <c r="K31" s="137" t="e">
        <f>J31/#REF!*100</f>
        <v>#REF!</v>
      </c>
      <c r="L31" s="137">
        <f t="shared" si="11"/>
        <v>291.7005347593583</v>
      </c>
      <c r="M31" s="139"/>
      <c r="N31" s="139"/>
      <c r="O31" s="142">
        <f t="shared" si="2"/>
        <v>291.7005347593583</v>
      </c>
      <c r="P31" s="137">
        <f>J31*100/E31</f>
        <v>97.23351158645276</v>
      </c>
      <c r="Q31" s="143">
        <f t="shared" si="4"/>
        <v>72.92513368983957</v>
      </c>
    </row>
    <row r="32" spans="1:17" ht="12.75">
      <c r="A32" s="134" t="s">
        <v>9</v>
      </c>
      <c r="B32" s="134"/>
      <c r="C32" s="140" t="s">
        <v>6</v>
      </c>
      <c r="D32" s="141">
        <f t="shared" si="12"/>
        <v>307</v>
      </c>
      <c r="E32" s="136">
        <f t="shared" si="13"/>
        <v>230.3</v>
      </c>
      <c r="F32" s="141">
        <f>55+7.5+14.3</f>
        <v>76.8</v>
      </c>
      <c r="G32" s="141">
        <v>76.7</v>
      </c>
      <c r="H32" s="142">
        <v>76.8</v>
      </c>
      <c r="I32" s="143">
        <v>76.7</v>
      </c>
      <c r="J32" s="143">
        <v>321</v>
      </c>
      <c r="K32" s="137" t="e">
        <f>J32/#REF!*100</f>
        <v>#REF!</v>
      </c>
      <c r="L32" s="137">
        <f t="shared" si="11"/>
        <v>417.96875</v>
      </c>
      <c r="M32" s="139"/>
      <c r="N32" s="139"/>
      <c r="O32" s="142">
        <f t="shared" si="2"/>
        <v>418.5136897001304</v>
      </c>
      <c r="P32" s="137">
        <f t="shared" si="3"/>
        <v>139.38341293964393</v>
      </c>
      <c r="Q32" s="143">
        <f t="shared" si="4"/>
        <v>104.56026058631922</v>
      </c>
    </row>
    <row r="33" spans="1:17" ht="12.75">
      <c r="A33" s="134" t="s">
        <v>10</v>
      </c>
      <c r="B33" s="134"/>
      <c r="C33" s="140" t="s">
        <v>21</v>
      </c>
      <c r="D33" s="141">
        <f t="shared" si="12"/>
        <v>24</v>
      </c>
      <c r="E33" s="136">
        <f t="shared" si="13"/>
        <v>18</v>
      </c>
      <c r="F33" s="141">
        <v>6</v>
      </c>
      <c r="G33" s="141">
        <v>6</v>
      </c>
      <c r="H33" s="142">
        <v>6</v>
      </c>
      <c r="I33" s="143">
        <v>6</v>
      </c>
      <c r="J33" s="143">
        <v>9.1</v>
      </c>
      <c r="K33" s="137" t="e">
        <f>J33/#REF!*100</f>
        <v>#REF!</v>
      </c>
      <c r="L33" s="137">
        <f t="shared" si="11"/>
        <v>151.66666666666666</v>
      </c>
      <c r="M33" s="139"/>
      <c r="N33" s="139"/>
      <c r="O33" s="142">
        <f t="shared" si="2"/>
        <v>151.66666666666666</v>
      </c>
      <c r="P33" s="137">
        <f t="shared" si="3"/>
        <v>50.55555555555556</v>
      </c>
      <c r="Q33" s="143">
        <f t="shared" si="4"/>
        <v>37.916666666666664</v>
      </c>
    </row>
    <row r="34" spans="1:17" ht="24">
      <c r="A34" s="144" t="s">
        <v>11</v>
      </c>
      <c r="B34" s="144"/>
      <c r="C34" s="140" t="s">
        <v>17</v>
      </c>
      <c r="D34" s="141">
        <f t="shared" si="12"/>
        <v>1755</v>
      </c>
      <c r="E34" s="136">
        <f t="shared" si="13"/>
        <v>1316.3</v>
      </c>
      <c r="F34" s="141">
        <f>431.3+7.5</f>
        <v>438.8</v>
      </c>
      <c r="G34" s="141">
        <v>438.7</v>
      </c>
      <c r="H34" s="142">
        <v>438.8</v>
      </c>
      <c r="I34" s="143">
        <v>438.7</v>
      </c>
      <c r="J34" s="143">
        <v>1007.1</v>
      </c>
      <c r="K34" s="137" t="e">
        <f>J34/#REF!*100</f>
        <v>#REF!</v>
      </c>
      <c r="L34" s="137">
        <f t="shared" si="11"/>
        <v>229.51230628988148</v>
      </c>
      <c r="M34" s="139"/>
      <c r="N34" s="139"/>
      <c r="O34" s="142">
        <f t="shared" si="2"/>
        <v>229.56462274903123</v>
      </c>
      <c r="P34" s="137">
        <f t="shared" si="3"/>
        <v>76.50991415330851</v>
      </c>
      <c r="Q34" s="143">
        <f t="shared" si="4"/>
        <v>57.38461538461539</v>
      </c>
    </row>
    <row r="35" spans="1:17" ht="12.75" customHeight="1">
      <c r="A35" s="146" t="s">
        <v>42</v>
      </c>
      <c r="B35" s="146"/>
      <c r="C35" s="140" t="s">
        <v>43</v>
      </c>
      <c r="D35" s="141">
        <f t="shared" si="12"/>
        <v>616</v>
      </c>
      <c r="E35" s="136">
        <f t="shared" si="13"/>
        <v>616</v>
      </c>
      <c r="F35" s="141"/>
      <c r="G35" s="141">
        <v>616</v>
      </c>
      <c r="H35" s="142"/>
      <c r="I35" s="143"/>
      <c r="J35" s="143">
        <v>456.6</v>
      </c>
      <c r="K35" s="137"/>
      <c r="L35" s="137"/>
      <c r="M35" s="139"/>
      <c r="N35" s="139"/>
      <c r="O35" s="142"/>
      <c r="P35" s="137">
        <f t="shared" si="3"/>
        <v>74.12337662337663</v>
      </c>
      <c r="Q35" s="143">
        <f t="shared" si="4"/>
        <v>74.12337662337663</v>
      </c>
    </row>
    <row r="36" spans="1:17" ht="12.75">
      <c r="A36" s="145" t="s">
        <v>18</v>
      </c>
      <c r="B36" s="145"/>
      <c r="C36" s="140" t="s">
        <v>15</v>
      </c>
      <c r="D36" s="141">
        <f t="shared" si="12"/>
        <v>65</v>
      </c>
      <c r="E36" s="136">
        <f t="shared" si="13"/>
        <v>47.2</v>
      </c>
      <c r="F36" s="141">
        <v>15.7</v>
      </c>
      <c r="G36" s="141">
        <v>15.8</v>
      </c>
      <c r="H36" s="142">
        <v>15.7</v>
      </c>
      <c r="I36" s="143">
        <v>17.8</v>
      </c>
      <c r="J36" s="143">
        <v>57.1</v>
      </c>
      <c r="K36" s="137" t="e">
        <f>J36/#REF!*100</f>
        <v>#REF!</v>
      </c>
      <c r="L36" s="137">
        <f t="shared" si="11"/>
        <v>363.69426751592357</v>
      </c>
      <c r="M36" s="139"/>
      <c r="N36" s="139"/>
      <c r="O36" s="142">
        <f t="shared" si="2"/>
        <v>320.7865168539326</v>
      </c>
      <c r="P36" s="137">
        <f t="shared" si="3"/>
        <v>120.97457627118644</v>
      </c>
      <c r="Q36" s="143">
        <f t="shared" si="4"/>
        <v>87.84615384615384</v>
      </c>
    </row>
    <row r="37" spans="1:17" ht="15.75" customHeight="1">
      <c r="A37" s="147" t="s">
        <v>12</v>
      </c>
      <c r="B37" s="147"/>
      <c r="C37" s="140" t="s">
        <v>7</v>
      </c>
      <c r="D37" s="141"/>
      <c r="E37" s="136"/>
      <c r="F37" s="141"/>
      <c r="G37" s="141"/>
      <c r="H37" s="142"/>
      <c r="I37" s="143"/>
      <c r="J37" s="143">
        <v>28.3</v>
      </c>
      <c r="K37" s="137"/>
      <c r="L37" s="137"/>
      <c r="M37" s="139"/>
      <c r="N37" s="139"/>
      <c r="O37" s="142"/>
      <c r="P37" s="137"/>
      <c r="Q37" s="143"/>
    </row>
    <row r="38" spans="1:17" ht="12.75">
      <c r="A38" s="148" t="s">
        <v>39</v>
      </c>
      <c r="B38" s="149"/>
      <c r="C38" s="150" t="s">
        <v>40</v>
      </c>
      <c r="D38" s="140"/>
      <c r="E38" s="136">
        <f t="shared" si="13"/>
        <v>0</v>
      </c>
      <c r="F38" s="141"/>
      <c r="G38" s="141"/>
      <c r="H38" s="142"/>
      <c r="I38" s="143"/>
      <c r="J38" s="143">
        <v>0.2</v>
      </c>
      <c r="K38" s="137"/>
      <c r="L38" s="137"/>
      <c r="M38" s="139"/>
      <c r="N38" s="139"/>
      <c r="O38" s="142" t="e">
        <f t="shared" si="2"/>
        <v>#DIV/0!</v>
      </c>
      <c r="P38" s="154"/>
      <c r="Q38" s="133"/>
    </row>
    <row r="39" spans="1:17" ht="12.75">
      <c r="A39" s="151" t="s">
        <v>1</v>
      </c>
      <c r="B39" s="151"/>
      <c r="C39" s="152" t="s">
        <v>0</v>
      </c>
      <c r="D39" s="153">
        <f>D40+D41</f>
        <v>24293.300000000003</v>
      </c>
      <c r="E39" s="153">
        <f aca="true" t="shared" si="14" ref="E39:J39">E40+E41</f>
        <v>18461.7</v>
      </c>
      <c r="F39" s="153">
        <f t="shared" si="14"/>
        <v>5877.9</v>
      </c>
      <c r="G39" s="153">
        <f t="shared" si="14"/>
        <v>5698.8</v>
      </c>
      <c r="H39" s="153">
        <f t="shared" si="14"/>
        <v>6885</v>
      </c>
      <c r="I39" s="153">
        <f t="shared" si="14"/>
        <v>5831.6</v>
      </c>
      <c r="J39" s="153">
        <f t="shared" si="14"/>
        <v>14067.6</v>
      </c>
      <c r="K39" s="153" t="e">
        <f>K40</f>
        <v>#REF!</v>
      </c>
      <c r="L39" s="154">
        <f>J39/H39*100</f>
        <v>204.322440087146</v>
      </c>
      <c r="M39" s="139"/>
      <c r="N39" s="139"/>
      <c r="O39" s="131">
        <f t="shared" si="2"/>
        <v>241.23053707387336</v>
      </c>
      <c r="P39" s="154">
        <f t="shared" si="3"/>
        <v>76.19883326020897</v>
      </c>
      <c r="Q39" s="133">
        <f t="shared" si="4"/>
        <v>57.90732424166333</v>
      </c>
    </row>
    <row r="40" spans="1:17" ht="24">
      <c r="A40" s="155" t="s">
        <v>65</v>
      </c>
      <c r="B40" s="134"/>
      <c r="C40" s="156" t="s">
        <v>20</v>
      </c>
      <c r="D40" s="141">
        <f>F40+G40+H40+I40</f>
        <v>24293.300000000003</v>
      </c>
      <c r="E40" s="136">
        <f t="shared" si="13"/>
        <v>18461.7</v>
      </c>
      <c r="F40" s="168">
        <f>5831.7+46.2</f>
        <v>5877.9</v>
      </c>
      <c r="G40" s="168">
        <v>5698.8</v>
      </c>
      <c r="H40" s="142">
        <f>5831.7+1053.3</f>
        <v>6885</v>
      </c>
      <c r="I40" s="168">
        <v>5831.6</v>
      </c>
      <c r="J40" s="143">
        <v>14067.6</v>
      </c>
      <c r="K40" s="137" t="e">
        <f>J40/#REF!*100</f>
        <v>#REF!</v>
      </c>
      <c r="L40" s="137">
        <f>J40/H40*100</f>
        <v>204.322440087146</v>
      </c>
      <c r="M40" s="139"/>
      <c r="N40" s="139"/>
      <c r="O40" s="142">
        <f t="shared" si="2"/>
        <v>241.23053707387336</v>
      </c>
      <c r="P40" s="137">
        <f t="shared" si="3"/>
        <v>76.19883326020897</v>
      </c>
      <c r="Q40" s="143">
        <f t="shared" si="4"/>
        <v>57.90732424166333</v>
      </c>
    </row>
    <row r="41" spans="1:17" ht="12.75">
      <c r="A41" s="155" t="s">
        <v>2</v>
      </c>
      <c r="B41" s="155"/>
      <c r="C41" s="157" t="s">
        <v>19</v>
      </c>
      <c r="D41" s="141">
        <f>F41+G41+H41+I41</f>
        <v>0</v>
      </c>
      <c r="E41" s="136">
        <f>F41+G41</f>
        <v>0</v>
      </c>
      <c r="F41" s="168"/>
      <c r="G41" s="168"/>
      <c r="H41" s="142"/>
      <c r="I41" s="168"/>
      <c r="J41" s="143"/>
      <c r="K41" s="137"/>
      <c r="L41" s="137"/>
      <c r="M41" s="139"/>
      <c r="N41" s="139"/>
      <c r="O41" s="142"/>
      <c r="P41" s="137"/>
      <c r="Q41" s="143"/>
    </row>
    <row r="42" spans="1:17" ht="12.75">
      <c r="A42" s="147"/>
      <c r="B42" s="163"/>
      <c r="C42" s="164" t="s">
        <v>4</v>
      </c>
      <c r="D42" s="133">
        <f aca="true" t="shared" si="15" ref="D42:I42">D39+D30</f>
        <v>38280.3</v>
      </c>
      <c r="E42" s="133">
        <f t="shared" si="15"/>
        <v>29104.5</v>
      </c>
      <c r="F42" s="133">
        <f t="shared" si="15"/>
        <v>9220.2</v>
      </c>
      <c r="G42" s="133">
        <f t="shared" si="15"/>
        <v>9657</v>
      </c>
      <c r="H42" s="133">
        <f t="shared" si="15"/>
        <v>10227.3</v>
      </c>
      <c r="I42" s="133">
        <f t="shared" si="15"/>
        <v>9175.8</v>
      </c>
      <c r="J42" s="133">
        <f>J39+J30</f>
        <v>24129.200000000004</v>
      </c>
      <c r="K42" s="154" t="e">
        <f>J42/#REF!*100</f>
        <v>#REF!</v>
      </c>
      <c r="L42" s="154">
        <f>J42/H42*100</f>
        <v>235.9293264106852</v>
      </c>
      <c r="M42" s="139"/>
      <c r="N42" s="165" t="e">
        <f>I42+#REF!+#REF!</f>
        <v>#REF!</v>
      </c>
      <c r="O42" s="131">
        <f t="shared" si="2"/>
        <v>262.9656269753047</v>
      </c>
      <c r="P42" s="154">
        <f t="shared" si="3"/>
        <v>82.90539263687748</v>
      </c>
      <c r="Q42" s="133">
        <f t="shared" si="4"/>
        <v>63.03294383795321</v>
      </c>
    </row>
    <row r="43" spans="1:17" ht="12.75">
      <c r="A43" s="169"/>
      <c r="B43" s="170"/>
      <c r="C43" s="205"/>
      <c r="D43" s="205"/>
      <c r="E43" s="205"/>
      <c r="F43" s="205"/>
      <c r="G43" s="205"/>
      <c r="H43" s="205"/>
      <c r="I43" s="205"/>
      <c r="J43" s="205"/>
      <c r="K43" s="205"/>
      <c r="L43" s="206"/>
      <c r="M43" s="139"/>
      <c r="N43" s="139"/>
      <c r="O43" s="166"/>
      <c r="P43" s="154"/>
      <c r="Q43" s="133"/>
    </row>
    <row r="44" spans="1:17" ht="12.75">
      <c r="A44" s="187" t="s">
        <v>26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54"/>
      <c r="Q44" s="133"/>
    </row>
    <row r="45" spans="1:17" ht="12.75">
      <c r="A45" s="151" t="s">
        <v>3</v>
      </c>
      <c r="B45" s="151"/>
      <c r="C45" s="167" t="s">
        <v>66</v>
      </c>
      <c r="D45" s="154">
        <f aca="true" t="shared" si="16" ref="D45:J45">D46+D48+D50+D51+D52+D53+D49+D47</f>
        <v>16103.9</v>
      </c>
      <c r="E45" s="154">
        <f t="shared" si="16"/>
        <v>12154.400000000001</v>
      </c>
      <c r="F45" s="154">
        <f t="shared" si="16"/>
        <v>3938.2000000000003</v>
      </c>
      <c r="G45" s="154">
        <f t="shared" si="16"/>
        <v>4271.9</v>
      </c>
      <c r="H45" s="154">
        <f t="shared" si="16"/>
        <v>3944.2999999999997</v>
      </c>
      <c r="I45" s="154">
        <f t="shared" si="16"/>
        <v>3949.5</v>
      </c>
      <c r="J45" s="154">
        <f t="shared" si="16"/>
        <v>7626</v>
      </c>
      <c r="K45" s="154" t="e">
        <f>J45/#REF!*100</f>
        <v>#REF!</v>
      </c>
      <c r="L45" s="154">
        <f>J45/H45*100</f>
        <v>193.3422914078544</v>
      </c>
      <c r="M45" s="139"/>
      <c r="N45" s="139"/>
      <c r="O45" s="154">
        <f t="shared" si="2"/>
        <v>193.08773262438282</v>
      </c>
      <c r="P45" s="154">
        <f t="shared" si="3"/>
        <v>62.742710458763895</v>
      </c>
      <c r="Q45" s="133">
        <f t="shared" si="4"/>
        <v>47.35498854314793</v>
      </c>
    </row>
    <row r="46" spans="1:17" ht="12.75">
      <c r="A46" s="147" t="s">
        <v>23</v>
      </c>
      <c r="B46" s="134"/>
      <c r="C46" s="135" t="s">
        <v>22</v>
      </c>
      <c r="D46" s="141">
        <f aca="true" t="shared" si="17" ref="D46:D57">F46+G46+H46+I46</f>
        <v>13570</v>
      </c>
      <c r="E46" s="136">
        <f aca="true" t="shared" si="18" ref="E46:E55">F46+G46+H46</f>
        <v>10169.7</v>
      </c>
      <c r="F46" s="141">
        <f>3342.4+45+12.3</f>
        <v>3399.7000000000003</v>
      </c>
      <c r="G46" s="141">
        <f>3342.5+45+12.5</f>
        <v>3400</v>
      </c>
      <c r="H46" s="142">
        <f>3342.5+45+12.5-30</f>
        <v>3370</v>
      </c>
      <c r="I46" s="143">
        <f>3342.6+45+12.7</f>
        <v>3400.2999999999997</v>
      </c>
      <c r="J46" s="138">
        <v>7071.2</v>
      </c>
      <c r="K46" s="137" t="e">
        <f>J46/#REF!*100</f>
        <v>#REF!</v>
      </c>
      <c r="L46" s="137">
        <f>J46/H46*100</f>
        <v>209.8278931750742</v>
      </c>
      <c r="M46" s="139"/>
      <c r="N46" s="139"/>
      <c r="O46" s="142">
        <f t="shared" si="2"/>
        <v>207.95812134223453</v>
      </c>
      <c r="P46" s="137">
        <f t="shared" si="3"/>
        <v>69.53204125982083</v>
      </c>
      <c r="Q46" s="143">
        <f t="shared" si="4"/>
        <v>52.109064112011794</v>
      </c>
    </row>
    <row r="47" spans="1:17" ht="14.25" customHeight="1">
      <c r="A47" s="134" t="s">
        <v>8</v>
      </c>
      <c r="B47" s="134"/>
      <c r="C47" s="140" t="s">
        <v>5</v>
      </c>
      <c r="D47" s="141">
        <f t="shared" si="17"/>
        <v>23</v>
      </c>
      <c r="E47" s="136">
        <f t="shared" si="18"/>
        <v>17</v>
      </c>
      <c r="F47" s="141">
        <v>5.6</v>
      </c>
      <c r="G47" s="141">
        <v>5.7</v>
      </c>
      <c r="H47" s="142">
        <v>5.7</v>
      </c>
      <c r="I47" s="143">
        <v>6</v>
      </c>
      <c r="J47" s="138">
        <v>12.1</v>
      </c>
      <c r="K47" s="137" t="e">
        <f>J47/#REF!*100</f>
        <v>#REF!</v>
      </c>
      <c r="L47" s="137">
        <f>J47/H47*100</f>
        <v>212.28070175438597</v>
      </c>
      <c r="M47" s="139"/>
      <c r="N47" s="139"/>
      <c r="O47" s="142">
        <f t="shared" si="2"/>
        <v>201.66666666666666</v>
      </c>
      <c r="P47" s="137">
        <f t="shared" si="3"/>
        <v>71.17647058823529</v>
      </c>
      <c r="Q47" s="143">
        <f t="shared" si="4"/>
        <v>52.608695652173914</v>
      </c>
    </row>
    <row r="48" spans="1:17" ht="18" customHeight="1" hidden="1">
      <c r="A48" s="134" t="s">
        <v>9</v>
      </c>
      <c r="B48" s="134"/>
      <c r="C48" s="140" t="s">
        <v>6</v>
      </c>
      <c r="D48" s="141">
        <f t="shared" si="17"/>
        <v>1385</v>
      </c>
      <c r="E48" s="136">
        <f t="shared" si="18"/>
        <v>1035</v>
      </c>
      <c r="F48" s="141">
        <f>161+105+75</f>
        <v>341</v>
      </c>
      <c r="G48" s="141">
        <f>168+105+75</f>
        <v>348</v>
      </c>
      <c r="H48" s="142">
        <f>166+105+75</f>
        <v>346</v>
      </c>
      <c r="I48" s="143">
        <f>165+110+75</f>
        <v>350</v>
      </c>
      <c r="J48" s="143">
        <v>-424.6</v>
      </c>
      <c r="K48" s="137" t="e">
        <f>J48/#REF!*100</f>
        <v>#REF!</v>
      </c>
      <c r="L48" s="137">
        <f>J48/H48*100</f>
        <v>-122.71676300578036</v>
      </c>
      <c r="M48" s="139"/>
      <c r="N48" s="139"/>
      <c r="O48" s="142">
        <f t="shared" si="2"/>
        <v>-121.31428571428572</v>
      </c>
      <c r="P48" s="137">
        <f t="shared" si="3"/>
        <v>-41.02415458937198</v>
      </c>
      <c r="Q48" s="143">
        <f t="shared" si="4"/>
        <v>-30.657039711191334</v>
      </c>
    </row>
    <row r="49" spans="1:17" ht="12.75">
      <c r="A49" s="134" t="s">
        <v>10</v>
      </c>
      <c r="B49" s="134"/>
      <c r="C49" s="140" t="s">
        <v>21</v>
      </c>
      <c r="D49" s="141">
        <f t="shared" si="17"/>
        <v>0</v>
      </c>
      <c r="E49" s="136">
        <f t="shared" si="18"/>
        <v>0</v>
      </c>
      <c r="F49" s="141"/>
      <c r="G49" s="141"/>
      <c r="H49" s="142"/>
      <c r="I49" s="143"/>
      <c r="J49" s="143"/>
      <c r="K49" s="137"/>
      <c r="L49" s="137"/>
      <c r="M49" s="139"/>
      <c r="N49" s="139"/>
      <c r="O49" s="142" t="e">
        <f t="shared" si="2"/>
        <v>#DIV/0!</v>
      </c>
      <c r="P49" s="137" t="e">
        <f t="shared" si="3"/>
        <v>#DIV/0!</v>
      </c>
      <c r="Q49" s="143" t="e">
        <f t="shared" si="4"/>
        <v>#DIV/0!</v>
      </c>
    </row>
    <row r="50" spans="1:17" ht="24">
      <c r="A50" s="144" t="s">
        <v>11</v>
      </c>
      <c r="B50" s="144"/>
      <c r="C50" s="140" t="s">
        <v>17</v>
      </c>
      <c r="D50" s="141">
        <f t="shared" si="17"/>
        <v>937.8000000000001</v>
      </c>
      <c r="E50" s="136">
        <f t="shared" si="18"/>
        <v>783.9000000000001</v>
      </c>
      <c r="F50" s="141">
        <f>109.3+43.2</f>
        <v>152.5</v>
      </c>
      <c r="G50" s="141">
        <f>110+43.2+320</f>
        <v>473.2</v>
      </c>
      <c r="H50" s="142">
        <f>110+43.2+5</f>
        <v>158.2</v>
      </c>
      <c r="I50" s="143">
        <f>110.7+43.2</f>
        <v>153.9</v>
      </c>
      <c r="J50" s="143">
        <v>781.2</v>
      </c>
      <c r="K50" s="137" t="e">
        <f>J50/#REF!*100</f>
        <v>#REF!</v>
      </c>
      <c r="L50" s="137">
        <f>J50/H50*100</f>
        <v>493.8053097345134</v>
      </c>
      <c r="M50" s="139"/>
      <c r="N50" s="139"/>
      <c r="O50" s="142">
        <f t="shared" si="2"/>
        <v>507.60233918128654</v>
      </c>
      <c r="P50" s="137">
        <f t="shared" si="3"/>
        <v>99.65556831228471</v>
      </c>
      <c r="Q50" s="143">
        <f t="shared" si="4"/>
        <v>83.30134357005758</v>
      </c>
    </row>
    <row r="51" spans="1:17" ht="15.75" customHeight="1">
      <c r="A51" s="146" t="s">
        <v>18</v>
      </c>
      <c r="B51" s="146"/>
      <c r="C51" s="140" t="s">
        <v>15</v>
      </c>
      <c r="D51" s="141">
        <f t="shared" si="17"/>
        <v>182.5</v>
      </c>
      <c r="E51" s="136">
        <f t="shared" si="18"/>
        <v>143.2</v>
      </c>
      <c r="F51" s="141">
        <v>39.4</v>
      </c>
      <c r="G51" s="141">
        <v>39.4</v>
      </c>
      <c r="H51" s="142">
        <f>39.4+25</f>
        <v>64.4</v>
      </c>
      <c r="I51" s="143">
        <v>39.3</v>
      </c>
      <c r="J51" s="143">
        <v>175.5</v>
      </c>
      <c r="K51" s="137" t="e">
        <f>J51/#REF!*100</f>
        <v>#REF!</v>
      </c>
      <c r="L51" s="137">
        <f>J51/H51*100</f>
        <v>272.51552795031057</v>
      </c>
      <c r="M51" s="139"/>
      <c r="N51" s="139"/>
      <c r="O51" s="142">
        <f t="shared" si="2"/>
        <v>446.56488549618325</v>
      </c>
      <c r="P51" s="137">
        <f t="shared" si="3"/>
        <v>122.55586592178771</v>
      </c>
      <c r="Q51" s="143">
        <f t="shared" si="4"/>
        <v>96.16438356164383</v>
      </c>
    </row>
    <row r="52" spans="1:17" ht="14.25" customHeight="1">
      <c r="A52" s="147" t="s">
        <v>12</v>
      </c>
      <c r="B52" s="147"/>
      <c r="C52" s="140" t="s">
        <v>7</v>
      </c>
      <c r="D52" s="141">
        <f t="shared" si="17"/>
        <v>5.6</v>
      </c>
      <c r="E52" s="136">
        <f t="shared" si="18"/>
        <v>5.6</v>
      </c>
      <c r="F52" s="141"/>
      <c r="G52" s="141">
        <v>5.6</v>
      </c>
      <c r="H52" s="142"/>
      <c r="I52" s="143"/>
      <c r="J52" s="143">
        <v>10.6</v>
      </c>
      <c r="K52" s="137" t="e">
        <f>J52/#REF!*100</f>
        <v>#REF!</v>
      </c>
      <c r="L52" s="137"/>
      <c r="M52" s="139"/>
      <c r="N52" s="139"/>
      <c r="O52" s="142" t="e">
        <f t="shared" si="2"/>
        <v>#DIV/0!</v>
      </c>
      <c r="P52" s="137">
        <f>J52*100/E52</f>
        <v>189.2857142857143</v>
      </c>
      <c r="Q52" s="143">
        <f>J52*100/D52</f>
        <v>189.2857142857143</v>
      </c>
    </row>
    <row r="53" spans="1:17" ht="12.75">
      <c r="A53" s="171" t="s">
        <v>39</v>
      </c>
      <c r="B53" s="149"/>
      <c r="C53" s="150" t="s">
        <v>40</v>
      </c>
      <c r="D53" s="141">
        <f t="shared" si="17"/>
        <v>0</v>
      </c>
      <c r="E53" s="136">
        <f t="shared" si="18"/>
        <v>0</v>
      </c>
      <c r="F53" s="141"/>
      <c r="G53" s="141"/>
      <c r="H53" s="142"/>
      <c r="I53" s="143"/>
      <c r="J53" s="143"/>
      <c r="K53" s="137"/>
      <c r="L53" s="137"/>
      <c r="M53" s="139"/>
      <c r="N53" s="139"/>
      <c r="O53" s="142" t="e">
        <f t="shared" si="2"/>
        <v>#DIV/0!</v>
      </c>
      <c r="P53" s="137"/>
      <c r="Q53" s="143"/>
    </row>
    <row r="54" spans="1:17" ht="12.75">
      <c r="A54" s="129" t="s">
        <v>1</v>
      </c>
      <c r="B54" s="129"/>
      <c r="C54" s="152" t="s">
        <v>0</v>
      </c>
      <c r="D54" s="153">
        <f>D55+D57+D56</f>
        <v>29812.7</v>
      </c>
      <c r="E54" s="153">
        <f aca="true" t="shared" si="19" ref="E54:O54">E55+E57+E56</f>
        <v>22948.9</v>
      </c>
      <c r="F54" s="153">
        <f t="shared" si="19"/>
        <v>6223.3</v>
      </c>
      <c r="G54" s="153">
        <f t="shared" si="19"/>
        <v>8085.3</v>
      </c>
      <c r="H54" s="153">
        <f t="shared" si="19"/>
        <v>8640.3</v>
      </c>
      <c r="I54" s="153">
        <f t="shared" si="19"/>
        <v>6863.8</v>
      </c>
      <c r="J54" s="153">
        <f>J55+J57+J56</f>
        <v>15443.5</v>
      </c>
      <c r="K54" s="153" t="e">
        <f t="shared" si="19"/>
        <v>#REF!</v>
      </c>
      <c r="L54" s="153">
        <f t="shared" si="19"/>
        <v>178.73800678217194</v>
      </c>
      <c r="M54" s="153">
        <f t="shared" si="19"/>
        <v>0.1</v>
      </c>
      <c r="N54" s="153">
        <f t="shared" si="19"/>
        <v>0</v>
      </c>
      <c r="O54" s="153" t="e">
        <f t="shared" si="19"/>
        <v>#DIV/0!</v>
      </c>
      <c r="P54" s="154">
        <f t="shared" si="3"/>
        <v>67.29516447411423</v>
      </c>
      <c r="Q54" s="133">
        <f t="shared" si="4"/>
        <v>51.801748919084815</v>
      </c>
    </row>
    <row r="55" spans="1:17" ht="15.75" customHeight="1" hidden="1">
      <c r="A55" s="155" t="s">
        <v>65</v>
      </c>
      <c r="B55" s="134"/>
      <c r="C55" s="156" t="s">
        <v>20</v>
      </c>
      <c r="D55" s="141">
        <f t="shared" si="17"/>
        <v>29812.7</v>
      </c>
      <c r="E55" s="136">
        <f t="shared" si="18"/>
        <v>22948.9</v>
      </c>
      <c r="F55" s="168">
        <v>6223.3</v>
      </c>
      <c r="G55" s="168">
        <v>8085.3</v>
      </c>
      <c r="H55" s="142">
        <f>6863.8+1776.5</f>
        <v>8640.3</v>
      </c>
      <c r="I55" s="142">
        <v>6863.8</v>
      </c>
      <c r="J55" s="143">
        <v>15443.5</v>
      </c>
      <c r="K55" s="137" t="e">
        <f>J55/#REF!*100</f>
        <v>#REF!</v>
      </c>
      <c r="L55" s="137">
        <f>J55/H55*100</f>
        <v>178.73800678217194</v>
      </c>
      <c r="M55" s="139">
        <v>0.1</v>
      </c>
      <c r="N55" s="139"/>
      <c r="O55" s="142">
        <f t="shared" si="2"/>
        <v>224.99927154054603</v>
      </c>
      <c r="P55" s="137">
        <f t="shared" si="3"/>
        <v>67.29516447411423</v>
      </c>
      <c r="Q55" s="143">
        <f t="shared" si="4"/>
        <v>51.801748919084815</v>
      </c>
    </row>
    <row r="56" spans="1:17" ht="16.5" customHeight="1" hidden="1">
      <c r="A56" s="155" t="s">
        <v>2</v>
      </c>
      <c r="B56" s="155"/>
      <c r="C56" s="157" t="s">
        <v>19</v>
      </c>
      <c r="D56" s="141">
        <f>F56+G56+H56+I56</f>
        <v>0</v>
      </c>
      <c r="E56" s="141">
        <f>F56</f>
        <v>0</v>
      </c>
      <c r="F56" s="168"/>
      <c r="G56" s="168"/>
      <c r="H56" s="142"/>
      <c r="I56" s="166"/>
      <c r="J56" s="143"/>
      <c r="K56" s="137"/>
      <c r="L56" s="137"/>
      <c r="M56" s="139"/>
      <c r="N56" s="139"/>
      <c r="O56" s="142"/>
      <c r="P56" s="137" t="e">
        <f t="shared" si="3"/>
        <v>#DIV/0!</v>
      </c>
      <c r="Q56" s="143" t="e">
        <f t="shared" si="4"/>
        <v>#DIV/0!</v>
      </c>
    </row>
    <row r="57" spans="1:17" ht="24">
      <c r="A57" s="155" t="s">
        <v>64</v>
      </c>
      <c r="B57" s="160"/>
      <c r="C57" s="161" t="s">
        <v>61</v>
      </c>
      <c r="D57" s="141">
        <f t="shared" si="17"/>
        <v>0</v>
      </c>
      <c r="E57" s="141">
        <f>F57</f>
        <v>0</v>
      </c>
      <c r="F57" s="172"/>
      <c r="G57" s="172"/>
      <c r="H57" s="142"/>
      <c r="I57" s="166"/>
      <c r="J57" s="143"/>
      <c r="K57" s="137" t="e">
        <f>J57/#REF!*100</f>
        <v>#REF!</v>
      </c>
      <c r="L57" s="137"/>
      <c r="M57" s="139"/>
      <c r="N57" s="139"/>
      <c r="O57" s="142" t="e">
        <f t="shared" si="2"/>
        <v>#DIV/0!</v>
      </c>
      <c r="P57" s="137"/>
      <c r="Q57" s="143"/>
    </row>
    <row r="58" spans="1:17" ht="12.75">
      <c r="A58" s="144"/>
      <c r="B58" s="173"/>
      <c r="C58" s="174" t="s">
        <v>4</v>
      </c>
      <c r="D58" s="175">
        <f aca="true" t="shared" si="20" ref="D58:J58">D54+D45</f>
        <v>45916.6</v>
      </c>
      <c r="E58" s="175">
        <f t="shared" si="20"/>
        <v>35103.3</v>
      </c>
      <c r="F58" s="175">
        <f t="shared" si="20"/>
        <v>10161.5</v>
      </c>
      <c r="G58" s="175">
        <f t="shared" si="20"/>
        <v>12357.2</v>
      </c>
      <c r="H58" s="175">
        <f t="shared" si="20"/>
        <v>12584.599999999999</v>
      </c>
      <c r="I58" s="175">
        <f t="shared" si="20"/>
        <v>10813.3</v>
      </c>
      <c r="J58" s="175">
        <f t="shared" si="20"/>
        <v>23069.5</v>
      </c>
      <c r="K58" s="154" t="e">
        <f>J58/#REF!*100</f>
        <v>#REF!</v>
      </c>
      <c r="L58" s="154">
        <f>J58/H58*100</f>
        <v>183.31532190137153</v>
      </c>
      <c r="M58" s="139"/>
      <c r="N58" s="165" t="e">
        <f>I58+#REF!+#REF!</f>
        <v>#REF!</v>
      </c>
      <c r="O58" s="131">
        <f t="shared" si="2"/>
        <v>213.34375260096365</v>
      </c>
      <c r="P58" s="154">
        <f t="shared" si="3"/>
        <v>65.71889252577392</v>
      </c>
      <c r="Q58" s="133">
        <f t="shared" si="4"/>
        <v>50.24217821005911</v>
      </c>
    </row>
    <row r="59" spans="1:17" ht="12.75">
      <c r="A59" s="188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90"/>
      <c r="M59" s="139"/>
      <c r="N59" s="139"/>
      <c r="O59" s="166"/>
      <c r="P59" s="154"/>
      <c r="Q59" s="133"/>
    </row>
    <row r="60" spans="1:17" ht="12.75">
      <c r="A60" s="187" t="s">
        <v>27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54"/>
      <c r="Q60" s="133"/>
    </row>
    <row r="61" spans="1:17" ht="12.75">
      <c r="A61" s="129" t="s">
        <v>3</v>
      </c>
      <c r="B61" s="129"/>
      <c r="C61" s="130" t="s">
        <v>66</v>
      </c>
      <c r="D61" s="131">
        <f aca="true" t="shared" si="21" ref="D61:J61">D62+D64+D66+D68+D65+D70+D69+D63+D67</f>
        <v>31565</v>
      </c>
      <c r="E61" s="131">
        <f t="shared" si="21"/>
        <v>23301.9</v>
      </c>
      <c r="F61" s="131">
        <f t="shared" si="21"/>
        <v>7887</v>
      </c>
      <c r="G61" s="131">
        <f t="shared" si="21"/>
        <v>8911.5</v>
      </c>
      <c r="H61" s="131">
        <f t="shared" si="21"/>
        <v>6503.4</v>
      </c>
      <c r="I61" s="131">
        <f t="shared" si="21"/>
        <v>8263.099999999999</v>
      </c>
      <c r="J61" s="131">
        <f t="shared" si="21"/>
        <v>26223.1</v>
      </c>
      <c r="K61" s="131" t="e">
        <f>J61/#REF!*100</f>
        <v>#REF!</v>
      </c>
      <c r="L61" s="131">
        <f aca="true" t="shared" si="22" ref="L61:L68">J61/H61*100</f>
        <v>403.22139188732046</v>
      </c>
      <c r="M61" s="132"/>
      <c r="N61" s="132"/>
      <c r="O61" s="131">
        <f t="shared" si="2"/>
        <v>317.3518413186335</v>
      </c>
      <c r="P61" s="154">
        <f t="shared" si="3"/>
        <v>112.53631678103501</v>
      </c>
      <c r="Q61" s="133">
        <f t="shared" si="4"/>
        <v>83.07650879138286</v>
      </c>
    </row>
    <row r="62" spans="1:17" ht="12.75">
      <c r="A62" s="134" t="s">
        <v>23</v>
      </c>
      <c r="B62" s="134"/>
      <c r="C62" s="135" t="s">
        <v>22</v>
      </c>
      <c r="D62" s="141">
        <f>F62+G62+H62+I62</f>
        <v>16400</v>
      </c>
      <c r="E62" s="136">
        <f aca="true" t="shared" si="23" ref="E62:E73">F62+G62+H62</f>
        <v>11776.4</v>
      </c>
      <c r="F62" s="176">
        <f>4891+33</f>
        <v>4924</v>
      </c>
      <c r="G62" s="176">
        <f>3847+10</f>
        <v>3857</v>
      </c>
      <c r="H62" s="137">
        <f>2896+97.6+1.8</f>
        <v>2995.4</v>
      </c>
      <c r="I62" s="137">
        <f>4616+2.4+5.2</f>
        <v>4623.599999999999</v>
      </c>
      <c r="J62" s="137">
        <v>12674.1</v>
      </c>
      <c r="K62" s="137" t="e">
        <f>J62/#REF!*100</f>
        <v>#REF!</v>
      </c>
      <c r="L62" s="137">
        <f t="shared" si="22"/>
        <v>423.1187821326033</v>
      </c>
      <c r="M62" s="139"/>
      <c r="N62" s="139"/>
      <c r="O62" s="137">
        <f t="shared" si="2"/>
        <v>274.1175707241111</v>
      </c>
      <c r="P62" s="137">
        <f t="shared" si="3"/>
        <v>107.62287286437282</v>
      </c>
      <c r="Q62" s="143">
        <f t="shared" si="4"/>
        <v>77.28109756097561</v>
      </c>
    </row>
    <row r="63" spans="1:17" ht="12.75">
      <c r="A63" s="134" t="s">
        <v>8</v>
      </c>
      <c r="B63" s="134"/>
      <c r="C63" s="140" t="s">
        <v>5</v>
      </c>
      <c r="D63" s="141">
        <f aca="true" t="shared" si="24" ref="D63:D73">F63+G63+H63+I63</f>
        <v>35</v>
      </c>
      <c r="E63" s="136">
        <f t="shared" si="23"/>
        <v>34.5</v>
      </c>
      <c r="F63" s="168">
        <v>26</v>
      </c>
      <c r="G63" s="168">
        <v>8.5</v>
      </c>
      <c r="H63" s="142"/>
      <c r="I63" s="142">
        <v>0.5</v>
      </c>
      <c r="J63" s="142">
        <v>31.5</v>
      </c>
      <c r="K63" s="137" t="e">
        <f>J63/#REF!*100</f>
        <v>#REF!</v>
      </c>
      <c r="L63" s="137" t="e">
        <f t="shared" si="22"/>
        <v>#DIV/0!</v>
      </c>
      <c r="M63" s="139"/>
      <c r="N63" s="139"/>
      <c r="O63" s="142">
        <f t="shared" si="2"/>
        <v>6300</v>
      </c>
      <c r="P63" s="137">
        <f t="shared" si="3"/>
        <v>91.30434782608695</v>
      </c>
      <c r="Q63" s="143">
        <f t="shared" si="4"/>
        <v>90</v>
      </c>
    </row>
    <row r="64" spans="1:17" ht="18.75" customHeight="1">
      <c r="A64" s="134" t="s">
        <v>9</v>
      </c>
      <c r="B64" s="134"/>
      <c r="C64" s="140" t="s">
        <v>6</v>
      </c>
      <c r="D64" s="141">
        <f t="shared" si="24"/>
        <v>7450</v>
      </c>
      <c r="E64" s="136">
        <f t="shared" si="23"/>
        <v>6018</v>
      </c>
      <c r="F64" s="168">
        <v>1715</v>
      </c>
      <c r="G64" s="168">
        <v>2636</v>
      </c>
      <c r="H64" s="142">
        <v>1667</v>
      </c>
      <c r="I64" s="142">
        <v>1432</v>
      </c>
      <c r="J64" s="142">
        <v>5269.9</v>
      </c>
      <c r="K64" s="137" t="e">
        <f>J64/#REF!*100</f>
        <v>#REF!</v>
      </c>
      <c r="L64" s="137">
        <f t="shared" si="22"/>
        <v>316.1307738452309</v>
      </c>
      <c r="M64" s="139"/>
      <c r="N64" s="139"/>
      <c r="O64" s="142">
        <f t="shared" si="2"/>
        <v>368.00977653631287</v>
      </c>
      <c r="P64" s="137">
        <f t="shared" si="3"/>
        <v>87.56895978730475</v>
      </c>
      <c r="Q64" s="143">
        <f t="shared" si="4"/>
        <v>70.73691275167785</v>
      </c>
    </row>
    <row r="65" spans="1:17" ht="12.75">
      <c r="A65" s="134" t="s">
        <v>10</v>
      </c>
      <c r="B65" s="134"/>
      <c r="C65" s="140" t="s">
        <v>21</v>
      </c>
      <c r="D65" s="141">
        <f t="shared" si="24"/>
        <v>70</v>
      </c>
      <c r="E65" s="136">
        <f t="shared" si="23"/>
        <v>70</v>
      </c>
      <c r="F65" s="168"/>
      <c r="G65" s="168">
        <v>70</v>
      </c>
      <c r="H65" s="142"/>
      <c r="I65" s="142"/>
      <c r="J65" s="142">
        <v>127.4</v>
      </c>
      <c r="K65" s="137"/>
      <c r="L65" s="137" t="e">
        <f t="shared" si="22"/>
        <v>#DIV/0!</v>
      </c>
      <c r="M65" s="139"/>
      <c r="N65" s="139"/>
      <c r="O65" s="142" t="e">
        <f t="shared" si="2"/>
        <v>#DIV/0!</v>
      </c>
      <c r="P65" s="137">
        <f>J65*100/E65</f>
        <v>182</v>
      </c>
      <c r="Q65" s="143">
        <f>J65*100/D65</f>
        <v>182</v>
      </c>
    </row>
    <row r="66" spans="1:17" ht="12.75" customHeight="1" hidden="1">
      <c r="A66" s="144" t="s">
        <v>11</v>
      </c>
      <c r="B66" s="144"/>
      <c r="C66" s="140" t="s">
        <v>17</v>
      </c>
      <c r="D66" s="141">
        <f t="shared" si="24"/>
        <v>7270</v>
      </c>
      <c r="E66" s="136">
        <f t="shared" si="23"/>
        <v>5104</v>
      </c>
      <c r="F66" s="168">
        <f>1083+32</f>
        <v>1115</v>
      </c>
      <c r="G66" s="168">
        <v>2169</v>
      </c>
      <c r="H66" s="142">
        <f>1710+110</f>
        <v>1820</v>
      </c>
      <c r="I66" s="142">
        <f>2001+165</f>
        <v>2166</v>
      </c>
      <c r="J66" s="142">
        <v>8000.1</v>
      </c>
      <c r="K66" s="137" t="e">
        <f>J66/#REF!*100</f>
        <v>#REF!</v>
      </c>
      <c r="L66" s="137">
        <f t="shared" si="22"/>
        <v>439.5659340659341</v>
      </c>
      <c r="M66" s="139"/>
      <c r="N66" s="139"/>
      <c r="O66" s="142">
        <f t="shared" si="2"/>
        <v>369.3490304709141</v>
      </c>
      <c r="P66" s="137">
        <f t="shared" si="3"/>
        <v>156.74177115987462</v>
      </c>
      <c r="Q66" s="143">
        <f t="shared" si="4"/>
        <v>110.0426409903714</v>
      </c>
    </row>
    <row r="67" spans="1:17" ht="12.75">
      <c r="A67" s="146" t="s">
        <v>42</v>
      </c>
      <c r="B67" s="146"/>
      <c r="C67" s="140" t="s">
        <v>43</v>
      </c>
      <c r="D67" s="141">
        <f t="shared" si="24"/>
        <v>0</v>
      </c>
      <c r="E67" s="136">
        <f t="shared" si="23"/>
        <v>0</v>
      </c>
      <c r="F67" s="168"/>
      <c r="G67" s="168"/>
      <c r="H67" s="142"/>
      <c r="I67" s="142"/>
      <c r="J67" s="142"/>
      <c r="K67" s="137" t="e">
        <f>J67/#REF!*100</f>
        <v>#REF!</v>
      </c>
      <c r="L67" s="137"/>
      <c r="M67" s="139"/>
      <c r="N67" s="139"/>
      <c r="O67" s="142" t="e">
        <f t="shared" si="2"/>
        <v>#DIV/0!</v>
      </c>
      <c r="P67" s="137"/>
      <c r="Q67" s="143"/>
    </row>
    <row r="68" spans="1:17" ht="15.75" customHeight="1">
      <c r="A68" s="145" t="s">
        <v>18</v>
      </c>
      <c r="B68" s="145"/>
      <c r="C68" s="140" t="s">
        <v>15</v>
      </c>
      <c r="D68" s="141">
        <f t="shared" si="24"/>
        <v>310</v>
      </c>
      <c r="E68" s="136">
        <f t="shared" si="23"/>
        <v>269</v>
      </c>
      <c r="F68" s="168">
        <v>107</v>
      </c>
      <c r="G68" s="168">
        <v>141</v>
      </c>
      <c r="H68" s="142">
        <v>21</v>
      </c>
      <c r="I68" s="142">
        <v>41</v>
      </c>
      <c r="J68" s="142">
        <v>88.8</v>
      </c>
      <c r="K68" s="137" t="e">
        <f>J68/#REF!*100</f>
        <v>#REF!</v>
      </c>
      <c r="L68" s="137">
        <f t="shared" si="22"/>
        <v>422.8571428571429</v>
      </c>
      <c r="M68" s="139"/>
      <c r="N68" s="139"/>
      <c r="O68" s="142">
        <f t="shared" si="2"/>
        <v>216.58536585365854</v>
      </c>
      <c r="P68" s="137">
        <f t="shared" si="3"/>
        <v>33.01115241635688</v>
      </c>
      <c r="Q68" s="143">
        <f t="shared" si="4"/>
        <v>28.64516129032258</v>
      </c>
    </row>
    <row r="69" spans="1:17" ht="12.75">
      <c r="A69" s="147" t="s">
        <v>12</v>
      </c>
      <c r="B69" s="147"/>
      <c r="C69" s="140" t="s">
        <v>7</v>
      </c>
      <c r="D69" s="141">
        <f t="shared" si="24"/>
        <v>30</v>
      </c>
      <c r="E69" s="136">
        <f t="shared" si="23"/>
        <v>30</v>
      </c>
      <c r="F69" s="168"/>
      <c r="G69" s="168">
        <v>30</v>
      </c>
      <c r="H69" s="142"/>
      <c r="I69" s="142"/>
      <c r="J69" s="142">
        <v>31.3</v>
      </c>
      <c r="K69" s="137"/>
      <c r="L69" s="137"/>
      <c r="M69" s="139"/>
      <c r="N69" s="139"/>
      <c r="O69" s="142" t="e">
        <f t="shared" si="2"/>
        <v>#DIV/0!</v>
      </c>
      <c r="P69" s="137">
        <f>J69*100/E69</f>
        <v>104.33333333333333</v>
      </c>
      <c r="Q69" s="143">
        <f>J69*100/D69</f>
        <v>104.33333333333333</v>
      </c>
    </row>
    <row r="70" spans="1:17" ht="12.75">
      <c r="A70" s="148" t="s">
        <v>39</v>
      </c>
      <c r="B70" s="149"/>
      <c r="C70" s="150" t="s">
        <v>40</v>
      </c>
      <c r="D70" s="141">
        <f t="shared" si="24"/>
        <v>0</v>
      </c>
      <c r="E70" s="136">
        <f t="shared" si="23"/>
        <v>0</v>
      </c>
      <c r="F70" s="168"/>
      <c r="G70" s="168"/>
      <c r="H70" s="142"/>
      <c r="I70" s="142"/>
      <c r="J70" s="142"/>
      <c r="K70" s="137"/>
      <c r="L70" s="137"/>
      <c r="M70" s="139"/>
      <c r="N70" s="139"/>
      <c r="O70" s="142" t="e">
        <f t="shared" si="2"/>
        <v>#DIV/0!</v>
      </c>
      <c r="P70" s="137"/>
      <c r="Q70" s="143"/>
    </row>
    <row r="71" spans="1:17" ht="23.25" customHeight="1">
      <c r="A71" s="151" t="s">
        <v>1</v>
      </c>
      <c r="B71" s="151"/>
      <c r="C71" s="152" t="s">
        <v>0</v>
      </c>
      <c r="D71" s="153">
        <f aca="true" t="shared" si="25" ref="D71:J71">D72+D73</f>
        <v>43041.2</v>
      </c>
      <c r="E71" s="153">
        <f t="shared" si="25"/>
        <v>32735.9</v>
      </c>
      <c r="F71" s="153">
        <f t="shared" si="25"/>
        <v>6013.800000000001</v>
      </c>
      <c r="G71" s="153">
        <f t="shared" si="25"/>
        <v>13423.8</v>
      </c>
      <c r="H71" s="153">
        <f t="shared" si="25"/>
        <v>13298.300000000001</v>
      </c>
      <c r="I71" s="153">
        <f t="shared" si="25"/>
        <v>10305.3</v>
      </c>
      <c r="J71" s="153">
        <f t="shared" si="25"/>
        <v>16771.1</v>
      </c>
      <c r="K71" s="154" t="e">
        <f>J71/#REF!*100</f>
        <v>#REF!</v>
      </c>
      <c r="L71" s="154">
        <f>J71/H71*100</f>
        <v>126.11461615394445</v>
      </c>
      <c r="M71" s="139"/>
      <c r="N71" s="139"/>
      <c r="O71" s="131">
        <f t="shared" si="2"/>
        <v>162.74247232006832</v>
      </c>
      <c r="P71" s="154">
        <f t="shared" si="3"/>
        <v>51.23152257918675</v>
      </c>
      <c r="Q71" s="133">
        <f t="shared" si="4"/>
        <v>38.96522401791771</v>
      </c>
    </row>
    <row r="72" spans="1:17" ht="17.25" customHeight="1">
      <c r="A72" s="155" t="s">
        <v>65</v>
      </c>
      <c r="B72" s="134"/>
      <c r="C72" s="156" t="s">
        <v>20</v>
      </c>
      <c r="D72" s="141">
        <f t="shared" si="24"/>
        <v>43011.2</v>
      </c>
      <c r="E72" s="136">
        <f t="shared" si="23"/>
        <v>32705.9</v>
      </c>
      <c r="F72" s="168">
        <f>11292.7-5468.2+189.3</f>
        <v>6013.800000000001</v>
      </c>
      <c r="G72" s="168">
        <v>13393.8</v>
      </c>
      <c r="H72" s="142">
        <f>12097.6+1200.7</f>
        <v>13298.300000000001</v>
      </c>
      <c r="I72" s="143">
        <v>10305.3</v>
      </c>
      <c r="J72" s="143">
        <v>16741.1</v>
      </c>
      <c r="K72" s="137" t="e">
        <f>J72/#REF!*100</f>
        <v>#REF!</v>
      </c>
      <c r="L72" s="137">
        <f>J72/H72*100</f>
        <v>125.88902340900714</v>
      </c>
      <c r="M72" s="139"/>
      <c r="N72" s="139"/>
      <c r="O72" s="142">
        <f t="shared" si="2"/>
        <v>162.4513599798162</v>
      </c>
      <c r="P72" s="137">
        <f t="shared" si="3"/>
        <v>51.18678892799158</v>
      </c>
      <c r="Q72" s="143">
        <f t="shared" si="4"/>
        <v>38.922652704411874</v>
      </c>
    </row>
    <row r="73" spans="1:17" ht="12.75">
      <c r="A73" s="155" t="s">
        <v>2</v>
      </c>
      <c r="B73" s="155"/>
      <c r="C73" s="157" t="s">
        <v>19</v>
      </c>
      <c r="D73" s="141">
        <f t="shared" si="24"/>
        <v>30</v>
      </c>
      <c r="E73" s="136">
        <f t="shared" si="23"/>
        <v>30</v>
      </c>
      <c r="F73" s="172"/>
      <c r="G73" s="172">
        <v>30</v>
      </c>
      <c r="H73" s="142"/>
      <c r="I73" s="143"/>
      <c r="J73" s="143">
        <v>30</v>
      </c>
      <c r="K73" s="137" t="e">
        <f>J73/#REF!*100</f>
        <v>#REF!</v>
      </c>
      <c r="L73" s="137"/>
      <c r="M73" s="139"/>
      <c r="N73" s="139"/>
      <c r="O73" s="142" t="e">
        <f t="shared" si="2"/>
        <v>#DIV/0!</v>
      </c>
      <c r="P73" s="137">
        <f>J73*100/E73</f>
        <v>100</v>
      </c>
      <c r="Q73" s="143">
        <f>J73*100/D73</f>
        <v>100</v>
      </c>
    </row>
    <row r="74" spans="1:17" ht="12.75">
      <c r="A74" s="147"/>
      <c r="B74" s="163"/>
      <c r="C74" s="164" t="s">
        <v>4</v>
      </c>
      <c r="D74" s="133">
        <f aca="true" t="shared" si="26" ref="D74:K74">D71+D61</f>
        <v>74606.2</v>
      </c>
      <c r="E74" s="133">
        <f t="shared" si="26"/>
        <v>56037.8</v>
      </c>
      <c r="F74" s="133">
        <f t="shared" si="26"/>
        <v>13900.800000000001</v>
      </c>
      <c r="G74" s="133">
        <f t="shared" si="26"/>
        <v>22335.3</v>
      </c>
      <c r="H74" s="133">
        <f t="shared" si="26"/>
        <v>19801.7</v>
      </c>
      <c r="I74" s="133">
        <f t="shared" si="26"/>
        <v>18568.399999999998</v>
      </c>
      <c r="J74" s="133">
        <f t="shared" si="26"/>
        <v>42994.2</v>
      </c>
      <c r="K74" s="133" t="e">
        <f t="shared" si="26"/>
        <v>#REF!</v>
      </c>
      <c r="L74" s="154">
        <f>J74/H74*100</f>
        <v>217.12378230151955</v>
      </c>
      <c r="M74" s="139"/>
      <c r="N74" s="165" t="e">
        <f>I74+#REF!+#REF!</f>
        <v>#REF!</v>
      </c>
      <c r="O74" s="131">
        <f t="shared" si="2"/>
        <v>231.54499041382135</v>
      </c>
      <c r="P74" s="154">
        <f t="shared" si="3"/>
        <v>76.72356873396171</v>
      </c>
      <c r="Q74" s="133">
        <f t="shared" si="4"/>
        <v>57.62818639737716</v>
      </c>
    </row>
    <row r="75" spans="1:17" ht="12.75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90"/>
      <c r="M75" s="139"/>
      <c r="N75" s="139"/>
      <c r="O75" s="166"/>
      <c r="P75" s="154"/>
      <c r="Q75" s="133"/>
    </row>
    <row r="76" spans="1:17" ht="12.75">
      <c r="A76" s="187" t="s">
        <v>28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54"/>
      <c r="Q76" s="133"/>
    </row>
    <row r="77" spans="1:17" ht="12.75">
      <c r="A77" s="151" t="s">
        <v>3</v>
      </c>
      <c r="B77" s="151"/>
      <c r="C77" s="167" t="s">
        <v>66</v>
      </c>
      <c r="D77" s="154">
        <f>D78+D79+D80+D81+D82+D83+D84+D85+D86</f>
        <v>23720.799999999996</v>
      </c>
      <c r="E77" s="154">
        <f>E78+E79+E80+E81+E82+E83+E84+E85+E86</f>
        <v>16619.1</v>
      </c>
      <c r="F77" s="154">
        <f>F78+F79+F80+F81+F82+F83+F84+F85+F86</f>
        <v>5615.3</v>
      </c>
      <c r="G77" s="154">
        <f>G78+G79+G80+G81+G82+G83+G84+G85+G86</f>
        <v>5088.8</v>
      </c>
      <c r="H77" s="154">
        <f>H78+H79+H80+H81+H82+H83+H84+H85+H86</f>
        <v>5915.000000000001</v>
      </c>
      <c r="I77" s="154">
        <f>I78+I79+I80+I81+I82+I83+I84+I85+I86+I87</f>
        <v>7101.7</v>
      </c>
      <c r="J77" s="154">
        <f>J78+J79+J80+J81+J82+J83+J84+J85+J86+J87</f>
        <v>16256.8</v>
      </c>
      <c r="K77" s="154" t="e">
        <f>J77/#REF!*100</f>
        <v>#REF!</v>
      </c>
      <c r="L77" s="154">
        <f>J77/H77*100</f>
        <v>274.8402366863905</v>
      </c>
      <c r="M77" s="139"/>
      <c r="N77" s="139"/>
      <c r="O77" s="154">
        <f t="shared" si="2"/>
        <v>228.91420364138165</v>
      </c>
      <c r="P77" s="154">
        <f aca="true" t="shared" si="27" ref="P77:P141">J77*100/E77</f>
        <v>97.81997821783371</v>
      </c>
      <c r="Q77" s="133">
        <f aca="true" t="shared" si="28" ref="Q77:Q141">J77*100/D77</f>
        <v>68.53394489224648</v>
      </c>
    </row>
    <row r="78" spans="1:17" ht="14.25" customHeight="1" hidden="1">
      <c r="A78" s="147" t="s">
        <v>23</v>
      </c>
      <c r="B78" s="147"/>
      <c r="C78" s="140" t="s">
        <v>22</v>
      </c>
      <c r="D78" s="141">
        <f>F78+G78+H78+I78</f>
        <v>15700</v>
      </c>
      <c r="E78" s="136">
        <f aca="true" t="shared" si="29" ref="E78:E86">F78+G78+H78</f>
        <v>10833</v>
      </c>
      <c r="F78" s="168">
        <v>3140</v>
      </c>
      <c r="G78" s="168">
        <v>4082</v>
      </c>
      <c r="H78" s="142">
        <v>3611</v>
      </c>
      <c r="I78" s="142">
        <v>4867</v>
      </c>
      <c r="J78" s="143">
        <v>11871.9</v>
      </c>
      <c r="K78" s="137" t="e">
        <f>J78/#REF!*100</f>
        <v>#REF!</v>
      </c>
      <c r="L78" s="137">
        <f>J78/H78*100</f>
        <v>328.7704237053448</v>
      </c>
      <c r="M78" s="139"/>
      <c r="N78" s="139"/>
      <c r="O78" s="142">
        <f aca="true" t="shared" si="30" ref="O78:O145">J78*100/I78</f>
        <v>243.92644339428807</v>
      </c>
      <c r="P78" s="137">
        <f t="shared" si="27"/>
        <v>109.59014123511493</v>
      </c>
      <c r="Q78" s="143">
        <f t="shared" si="28"/>
        <v>75.6171974522293</v>
      </c>
    </row>
    <row r="79" spans="1:17" ht="12.75">
      <c r="A79" s="134" t="s">
        <v>8</v>
      </c>
      <c r="B79" s="134"/>
      <c r="C79" s="140" t="s">
        <v>5</v>
      </c>
      <c r="D79" s="141">
        <f aca="true" t="shared" si="31" ref="D79:D86">F79+G79+H79+I79</f>
        <v>0</v>
      </c>
      <c r="E79" s="136">
        <f t="shared" si="29"/>
        <v>0</v>
      </c>
      <c r="F79" s="168"/>
      <c r="G79" s="168"/>
      <c r="H79" s="142"/>
      <c r="I79" s="142"/>
      <c r="J79" s="143"/>
      <c r="K79" s="137"/>
      <c r="L79" s="137"/>
      <c r="M79" s="139"/>
      <c r="N79" s="139"/>
      <c r="O79" s="142" t="e">
        <f t="shared" si="30"/>
        <v>#DIV/0!</v>
      </c>
      <c r="P79" s="137"/>
      <c r="Q79" s="143"/>
    </row>
    <row r="80" spans="1:17" ht="12.75" customHeight="1" hidden="1">
      <c r="A80" s="134" t="s">
        <v>9</v>
      </c>
      <c r="B80" s="134"/>
      <c r="C80" s="140" t="s">
        <v>6</v>
      </c>
      <c r="D80" s="141">
        <f t="shared" si="31"/>
        <v>1504.3000000000002</v>
      </c>
      <c r="E80" s="136">
        <f t="shared" si="29"/>
        <v>1213.9</v>
      </c>
      <c r="F80" s="168">
        <v>658</v>
      </c>
      <c r="G80" s="168">
        <v>320.9</v>
      </c>
      <c r="H80" s="142">
        <v>235</v>
      </c>
      <c r="I80" s="142">
        <v>290.4</v>
      </c>
      <c r="J80" s="143">
        <v>1113.1</v>
      </c>
      <c r="K80" s="137" t="e">
        <f>J80/#REF!*100</f>
        <v>#REF!</v>
      </c>
      <c r="L80" s="137">
        <f>J80/H80*100</f>
        <v>473.65957446808505</v>
      </c>
      <c r="M80" s="139"/>
      <c r="N80" s="139"/>
      <c r="O80" s="142">
        <f t="shared" si="30"/>
        <v>383.29889807162533</v>
      </c>
      <c r="P80" s="137">
        <f t="shared" si="27"/>
        <v>91.69618584726912</v>
      </c>
      <c r="Q80" s="143">
        <f t="shared" si="28"/>
        <v>73.99454895964898</v>
      </c>
    </row>
    <row r="81" spans="1:17" ht="12.75">
      <c r="A81" s="134" t="s">
        <v>10</v>
      </c>
      <c r="B81" s="134"/>
      <c r="C81" s="140" t="s">
        <v>21</v>
      </c>
      <c r="D81" s="141">
        <f t="shared" si="31"/>
        <v>0</v>
      </c>
      <c r="E81" s="136">
        <f t="shared" si="29"/>
        <v>0</v>
      </c>
      <c r="F81" s="168"/>
      <c r="G81" s="168"/>
      <c r="H81" s="142"/>
      <c r="I81" s="142"/>
      <c r="J81" s="143"/>
      <c r="K81" s="137"/>
      <c r="L81" s="137"/>
      <c r="M81" s="139"/>
      <c r="N81" s="139"/>
      <c r="O81" s="142" t="e">
        <f t="shared" si="30"/>
        <v>#DIV/0!</v>
      </c>
      <c r="P81" s="137" t="e">
        <f t="shared" si="27"/>
        <v>#DIV/0!</v>
      </c>
      <c r="Q81" s="143" t="e">
        <f t="shared" si="28"/>
        <v>#DIV/0!</v>
      </c>
    </row>
    <row r="82" spans="1:17" ht="24">
      <c r="A82" s="144" t="s">
        <v>11</v>
      </c>
      <c r="B82" s="144"/>
      <c r="C82" s="140" t="s">
        <v>17</v>
      </c>
      <c r="D82" s="141">
        <f t="shared" si="31"/>
        <v>5900.4</v>
      </c>
      <c r="E82" s="136">
        <f t="shared" si="29"/>
        <v>4148.799999999999</v>
      </c>
      <c r="F82" s="168">
        <v>1605</v>
      </c>
      <c r="G82" s="168">
        <v>522.2</v>
      </c>
      <c r="H82" s="142">
        <v>2021.6</v>
      </c>
      <c r="I82" s="142">
        <v>1751.6</v>
      </c>
      <c r="J82" s="143">
        <v>3175.8</v>
      </c>
      <c r="K82" s="137" t="e">
        <f>J82/#REF!*100</f>
        <v>#REF!</v>
      </c>
      <c r="L82" s="137">
        <f>J82/H82*100</f>
        <v>157.09339137316977</v>
      </c>
      <c r="M82" s="139"/>
      <c r="N82" s="139"/>
      <c r="O82" s="142">
        <f t="shared" si="30"/>
        <v>181.30851792646723</v>
      </c>
      <c r="P82" s="137">
        <f t="shared" si="27"/>
        <v>76.54743540300811</v>
      </c>
      <c r="Q82" s="143">
        <f t="shared" si="28"/>
        <v>53.82346959528168</v>
      </c>
    </row>
    <row r="83" spans="1:17" ht="12.75">
      <c r="A83" s="146" t="s">
        <v>42</v>
      </c>
      <c r="B83" s="146"/>
      <c r="C83" s="140" t="s">
        <v>43</v>
      </c>
      <c r="D83" s="141">
        <f t="shared" si="31"/>
        <v>479</v>
      </c>
      <c r="E83" s="136">
        <f t="shared" si="29"/>
        <v>291</v>
      </c>
      <c r="F83" s="168">
        <v>144.3</v>
      </c>
      <c r="G83" s="168">
        <v>105.6</v>
      </c>
      <c r="H83" s="142">
        <v>41.1</v>
      </c>
      <c r="I83" s="142">
        <v>188</v>
      </c>
      <c r="J83" s="143">
        <v>271.5</v>
      </c>
      <c r="K83" s="137" t="e">
        <f>J83/#REF!*100</f>
        <v>#REF!</v>
      </c>
      <c r="L83" s="137">
        <f>J83/H83*100</f>
        <v>660.5839416058393</v>
      </c>
      <c r="M83" s="139"/>
      <c r="N83" s="139"/>
      <c r="O83" s="142">
        <f t="shared" si="30"/>
        <v>144.41489361702128</v>
      </c>
      <c r="P83" s="137">
        <f t="shared" si="27"/>
        <v>93.29896907216495</v>
      </c>
      <c r="Q83" s="143">
        <f t="shared" si="28"/>
        <v>56.68058455114823</v>
      </c>
    </row>
    <row r="84" spans="1:17" ht="12" customHeight="1" hidden="1">
      <c r="A84" s="145" t="s">
        <v>18</v>
      </c>
      <c r="B84" s="145"/>
      <c r="C84" s="140" t="s">
        <v>15</v>
      </c>
      <c r="D84" s="141">
        <f t="shared" si="31"/>
        <v>137.1</v>
      </c>
      <c r="E84" s="136">
        <f t="shared" si="29"/>
        <v>132.4</v>
      </c>
      <c r="F84" s="168">
        <v>68</v>
      </c>
      <c r="G84" s="168">
        <v>58.1</v>
      </c>
      <c r="H84" s="142">
        <v>6.3</v>
      </c>
      <c r="I84" s="142">
        <v>4.7</v>
      </c>
      <c r="J84" s="143">
        <v>164.8</v>
      </c>
      <c r="K84" s="137" t="e">
        <f>J84/#REF!*100</f>
        <v>#REF!</v>
      </c>
      <c r="L84" s="137">
        <f>J84/H84*100</f>
        <v>2615.8730158730164</v>
      </c>
      <c r="M84" s="139"/>
      <c r="N84" s="139"/>
      <c r="O84" s="142">
        <f t="shared" si="30"/>
        <v>3506.382978723404</v>
      </c>
      <c r="P84" s="137">
        <f t="shared" si="27"/>
        <v>124.47129909365559</v>
      </c>
      <c r="Q84" s="143">
        <f t="shared" si="28"/>
        <v>120.20423048869439</v>
      </c>
    </row>
    <row r="85" spans="1:17" ht="12.75">
      <c r="A85" s="147" t="s">
        <v>12</v>
      </c>
      <c r="B85" s="147"/>
      <c r="C85" s="140" t="s">
        <v>7</v>
      </c>
      <c r="D85" s="141">
        <f t="shared" si="31"/>
        <v>0</v>
      </c>
      <c r="E85" s="136">
        <f t="shared" si="29"/>
        <v>0</v>
      </c>
      <c r="F85" s="168"/>
      <c r="G85" s="168"/>
      <c r="H85" s="142"/>
      <c r="I85" s="142"/>
      <c r="J85" s="143">
        <v>0</v>
      </c>
      <c r="K85" s="154"/>
      <c r="L85" s="154"/>
      <c r="M85" s="139"/>
      <c r="N85" s="139"/>
      <c r="O85" s="142" t="e">
        <f t="shared" si="30"/>
        <v>#DIV/0!</v>
      </c>
      <c r="P85" s="137"/>
      <c r="Q85" s="143"/>
    </row>
    <row r="86" spans="1:17" ht="12.75" customHeight="1" hidden="1">
      <c r="A86" s="148" t="s">
        <v>39</v>
      </c>
      <c r="B86" s="149"/>
      <c r="C86" s="150" t="s">
        <v>40</v>
      </c>
      <c r="D86" s="141">
        <f t="shared" si="31"/>
        <v>0</v>
      </c>
      <c r="E86" s="136">
        <f t="shared" si="29"/>
        <v>0</v>
      </c>
      <c r="F86" s="168"/>
      <c r="G86" s="168"/>
      <c r="H86" s="142"/>
      <c r="I86" s="142"/>
      <c r="J86" s="143">
        <v>-340.3</v>
      </c>
      <c r="K86" s="154"/>
      <c r="L86" s="154"/>
      <c r="M86" s="139"/>
      <c r="N86" s="139"/>
      <c r="O86" s="142" t="e">
        <f t="shared" si="30"/>
        <v>#DIV/0!</v>
      </c>
      <c r="P86" s="137"/>
      <c r="Q86" s="143"/>
    </row>
    <row r="87" spans="1:17" ht="12.75">
      <c r="A87" s="148" t="s">
        <v>44</v>
      </c>
      <c r="B87" s="149"/>
      <c r="C87" s="150" t="s">
        <v>45</v>
      </c>
      <c r="D87" s="150"/>
      <c r="E87" s="136">
        <f>F87+G87</f>
        <v>0</v>
      </c>
      <c r="F87" s="168"/>
      <c r="G87" s="168"/>
      <c r="H87" s="142" t="e">
        <f>I87+#REF!+#REF!+#REF!</f>
        <v>#REF!</v>
      </c>
      <c r="I87" s="142"/>
      <c r="J87" s="143"/>
      <c r="K87" s="154"/>
      <c r="L87" s="154"/>
      <c r="M87" s="139"/>
      <c r="N87" s="139"/>
      <c r="O87" s="142" t="e">
        <f t="shared" si="30"/>
        <v>#DIV/0!</v>
      </c>
      <c r="P87" s="154" t="e">
        <f t="shared" si="27"/>
        <v>#DIV/0!</v>
      </c>
      <c r="Q87" s="133" t="e">
        <f t="shared" si="28"/>
        <v>#DIV/0!</v>
      </c>
    </row>
    <row r="88" spans="1:17" ht="12.75">
      <c r="A88" s="151" t="s">
        <v>1</v>
      </c>
      <c r="B88" s="151"/>
      <c r="C88" s="152" t="s">
        <v>0</v>
      </c>
      <c r="D88" s="153">
        <f aca="true" t="shared" si="32" ref="D88:J88">D89+D90</f>
        <v>78247.5</v>
      </c>
      <c r="E88" s="177">
        <f t="shared" si="32"/>
        <v>65883.4</v>
      </c>
      <c r="F88" s="153">
        <f t="shared" si="32"/>
        <v>13676.1</v>
      </c>
      <c r="G88" s="153">
        <f t="shared" si="32"/>
        <v>25463</v>
      </c>
      <c r="H88" s="153">
        <f t="shared" si="32"/>
        <v>26744.3</v>
      </c>
      <c r="I88" s="153">
        <f t="shared" si="32"/>
        <v>12364.1</v>
      </c>
      <c r="J88" s="153">
        <f t="shared" si="32"/>
        <v>50847.6</v>
      </c>
      <c r="K88" s="154" t="e">
        <f>J88/#REF!*100</f>
        <v>#REF!</v>
      </c>
      <c r="L88" s="154">
        <f>J88/H88*100</f>
        <v>190.12499859783205</v>
      </c>
      <c r="M88" s="139"/>
      <c r="N88" s="139"/>
      <c r="O88" s="131">
        <f t="shared" si="30"/>
        <v>411.2519309937642</v>
      </c>
      <c r="P88" s="154">
        <f t="shared" si="27"/>
        <v>77.1781662755717</v>
      </c>
      <c r="Q88" s="133">
        <f t="shared" si="28"/>
        <v>64.98303460174446</v>
      </c>
    </row>
    <row r="89" spans="1:17" ht="18.75" customHeight="1">
      <c r="A89" s="155" t="s">
        <v>65</v>
      </c>
      <c r="B89" s="134"/>
      <c r="C89" s="156" t="s">
        <v>20</v>
      </c>
      <c r="D89" s="141">
        <f>F89+G89+H89+I89</f>
        <v>74867.5</v>
      </c>
      <c r="E89" s="136">
        <f>F89+G89+H89</f>
        <v>62503.399999999994</v>
      </c>
      <c r="F89" s="168">
        <f>12292+1384.1</f>
        <v>13676.1</v>
      </c>
      <c r="G89" s="168">
        <v>22083</v>
      </c>
      <c r="H89" s="142">
        <f>24368.3+2376</f>
        <v>26744.3</v>
      </c>
      <c r="I89" s="142">
        <v>12364.1</v>
      </c>
      <c r="J89" s="143">
        <v>47467.6</v>
      </c>
      <c r="K89" s="137" t="e">
        <f>J89/#REF!*100</f>
        <v>#REF!</v>
      </c>
      <c r="L89" s="137">
        <f>J89/H89*100</f>
        <v>177.4867915780185</v>
      </c>
      <c r="M89" s="139"/>
      <c r="N89" s="139"/>
      <c r="O89" s="142">
        <f t="shared" si="30"/>
        <v>383.91472084502715</v>
      </c>
      <c r="P89" s="137">
        <f t="shared" si="27"/>
        <v>75.94402864484172</v>
      </c>
      <c r="Q89" s="143">
        <f t="shared" si="28"/>
        <v>63.402143787357666</v>
      </c>
    </row>
    <row r="90" spans="1:17" ht="12.75">
      <c r="A90" s="155" t="s">
        <v>2</v>
      </c>
      <c r="B90" s="155"/>
      <c r="C90" s="157" t="s">
        <v>19</v>
      </c>
      <c r="D90" s="141">
        <f>F90+G90+H90+I90</f>
        <v>3380</v>
      </c>
      <c r="E90" s="136">
        <f>F90+G90+H90</f>
        <v>3380</v>
      </c>
      <c r="F90" s="178"/>
      <c r="G90" s="178">
        <v>3380</v>
      </c>
      <c r="H90" s="142"/>
      <c r="I90" s="142"/>
      <c r="J90" s="143">
        <v>3380</v>
      </c>
      <c r="K90" s="137" t="e">
        <f>J90/#REF!*100</f>
        <v>#REF!</v>
      </c>
      <c r="L90" s="137"/>
      <c r="M90" s="139"/>
      <c r="N90" s="139"/>
      <c r="O90" s="142" t="e">
        <f t="shared" si="30"/>
        <v>#DIV/0!</v>
      </c>
      <c r="P90" s="137">
        <f>J90*100/E90</f>
        <v>100</v>
      </c>
      <c r="Q90" s="143">
        <f>J90*100/D90</f>
        <v>100</v>
      </c>
    </row>
    <row r="91" spans="1:17" ht="12.75">
      <c r="A91" s="147"/>
      <c r="B91" s="163"/>
      <c r="C91" s="164" t="s">
        <v>4</v>
      </c>
      <c r="D91" s="133">
        <f aca="true" t="shared" si="33" ref="D91:J91">D88+D77</f>
        <v>101968.29999999999</v>
      </c>
      <c r="E91" s="133">
        <f t="shared" si="33"/>
        <v>82502.5</v>
      </c>
      <c r="F91" s="133">
        <f t="shared" si="33"/>
        <v>19291.4</v>
      </c>
      <c r="G91" s="133">
        <f t="shared" si="33"/>
        <v>30551.8</v>
      </c>
      <c r="H91" s="133">
        <f t="shared" si="33"/>
        <v>32659.3</v>
      </c>
      <c r="I91" s="133">
        <f t="shared" si="33"/>
        <v>19465.8</v>
      </c>
      <c r="J91" s="133">
        <f t="shared" si="33"/>
        <v>67104.4</v>
      </c>
      <c r="K91" s="154" t="e">
        <f>J91/#REF!*100</f>
        <v>#REF!</v>
      </c>
      <c r="L91" s="154">
        <f>J91/H91*100</f>
        <v>205.46796777640674</v>
      </c>
      <c r="M91" s="139"/>
      <c r="N91" s="165" t="e">
        <f>I91+#REF!+#REF!</f>
        <v>#REF!</v>
      </c>
      <c r="O91" s="131">
        <f t="shared" si="30"/>
        <v>344.72973111816617</v>
      </c>
      <c r="P91" s="154">
        <f t="shared" si="27"/>
        <v>81.33620193327474</v>
      </c>
      <c r="Q91" s="133">
        <f t="shared" si="28"/>
        <v>65.80907988070803</v>
      </c>
    </row>
    <row r="92" spans="1:17" ht="12.75">
      <c r="A92" s="188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90"/>
      <c r="M92" s="139"/>
      <c r="N92" s="139"/>
      <c r="O92" s="166"/>
      <c r="P92" s="154"/>
      <c r="Q92" s="133"/>
    </row>
    <row r="93" spans="1:17" ht="12.75">
      <c r="A93" s="187" t="s">
        <v>29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54"/>
      <c r="Q93" s="133"/>
    </row>
    <row r="94" spans="1:17" ht="12.75">
      <c r="A94" s="151" t="s">
        <v>3</v>
      </c>
      <c r="B94" s="151"/>
      <c r="C94" s="167" t="s">
        <v>66</v>
      </c>
      <c r="D94" s="154">
        <f>D95+D97+D101+D98+D99+D102+D100+D96</f>
        <v>3048</v>
      </c>
      <c r="E94" s="154">
        <f aca="true" t="shared" si="34" ref="E94:J94">E95+E97+E101+E98+E99+E102+E100+E96</f>
        <v>2285.8999999999996</v>
      </c>
      <c r="F94" s="154">
        <f t="shared" si="34"/>
        <v>753.4000000000001</v>
      </c>
      <c r="G94" s="154">
        <f t="shared" si="34"/>
        <v>758.3</v>
      </c>
      <c r="H94" s="154">
        <f t="shared" si="34"/>
        <v>774.2</v>
      </c>
      <c r="I94" s="154">
        <f t="shared" si="34"/>
        <v>762.0999999999999</v>
      </c>
      <c r="J94" s="154">
        <f t="shared" si="34"/>
        <v>687.1999999999998</v>
      </c>
      <c r="K94" s="154" t="e">
        <f>J94/#REF!*100</f>
        <v>#REF!</v>
      </c>
      <c r="L94" s="154">
        <f>J94/H94*100</f>
        <v>88.76259364505293</v>
      </c>
      <c r="M94" s="139"/>
      <c r="N94" s="139"/>
      <c r="O94" s="154">
        <f t="shared" si="30"/>
        <v>90.17189345230284</v>
      </c>
      <c r="P94" s="154">
        <f t="shared" si="27"/>
        <v>30.06255741720985</v>
      </c>
      <c r="Q94" s="133">
        <f t="shared" si="28"/>
        <v>22.54593175853018</v>
      </c>
    </row>
    <row r="95" spans="1:17" ht="12.75">
      <c r="A95" s="147" t="s">
        <v>23</v>
      </c>
      <c r="B95" s="147"/>
      <c r="C95" s="140" t="s">
        <v>22</v>
      </c>
      <c r="D95" s="141">
        <f>F95+G95+H95+I95</f>
        <v>2950</v>
      </c>
      <c r="E95" s="136">
        <f aca="true" t="shared" si="35" ref="E95:E105">F95+G95+H95</f>
        <v>2206.7</v>
      </c>
      <c r="F95" s="168">
        <v>731.7</v>
      </c>
      <c r="G95" s="168">
        <v>737.5</v>
      </c>
      <c r="H95" s="142">
        <v>737.5</v>
      </c>
      <c r="I95" s="143">
        <v>743.3</v>
      </c>
      <c r="J95" s="143">
        <v>612.4</v>
      </c>
      <c r="K95" s="137"/>
      <c r="L95" s="137">
        <f>J95/H95*100</f>
        <v>83.03728813559322</v>
      </c>
      <c r="M95" s="165"/>
      <c r="N95" s="139"/>
      <c r="O95" s="142">
        <f t="shared" si="30"/>
        <v>82.38934481366879</v>
      </c>
      <c r="P95" s="137">
        <f t="shared" si="27"/>
        <v>27.751846648842164</v>
      </c>
      <c r="Q95" s="143">
        <f t="shared" si="28"/>
        <v>20.759322033898304</v>
      </c>
    </row>
    <row r="96" spans="1:17" ht="12.75">
      <c r="A96" s="134" t="s">
        <v>8</v>
      </c>
      <c r="B96" s="134"/>
      <c r="C96" s="140" t="s">
        <v>5</v>
      </c>
      <c r="D96" s="141">
        <f>F96+G96+H96+I96</f>
        <v>3</v>
      </c>
      <c r="E96" s="136">
        <f t="shared" si="35"/>
        <v>3</v>
      </c>
      <c r="F96" s="168">
        <v>3</v>
      </c>
      <c r="G96" s="168"/>
      <c r="H96" s="142"/>
      <c r="I96" s="143"/>
      <c r="J96" s="143"/>
      <c r="K96" s="137"/>
      <c r="L96" s="137"/>
      <c r="M96" s="165"/>
      <c r="N96" s="139"/>
      <c r="O96" s="142"/>
      <c r="P96" s="137">
        <f>J96*100/E96</f>
        <v>0</v>
      </c>
      <c r="Q96" s="143">
        <f>J96*100/D96</f>
        <v>0</v>
      </c>
    </row>
    <row r="97" spans="1:17" ht="12.75">
      <c r="A97" s="134" t="s">
        <v>9</v>
      </c>
      <c r="B97" s="134"/>
      <c r="C97" s="140" t="s">
        <v>6</v>
      </c>
      <c r="D97" s="141">
        <f aca="true" t="shared" si="36" ref="D97:D105">F97+G97+H97+I97</f>
        <v>28</v>
      </c>
      <c r="E97" s="136">
        <f t="shared" si="35"/>
        <v>22</v>
      </c>
      <c r="F97" s="168">
        <f>3+3+2</f>
        <v>8</v>
      </c>
      <c r="G97" s="168">
        <f>3+5</f>
        <v>8</v>
      </c>
      <c r="H97" s="142">
        <f>3+3</f>
        <v>6</v>
      </c>
      <c r="I97" s="143">
        <f>3+3</f>
        <v>6</v>
      </c>
      <c r="J97" s="143">
        <v>17.3</v>
      </c>
      <c r="K97" s="137"/>
      <c r="L97" s="137">
        <f aca="true" t="shared" si="37" ref="L97:L104">J97/H97*100</f>
        <v>288.3333333333333</v>
      </c>
      <c r="M97" s="165"/>
      <c r="N97" s="139"/>
      <c r="O97" s="142">
        <f t="shared" si="30"/>
        <v>288.3333333333333</v>
      </c>
      <c r="P97" s="137">
        <f t="shared" si="27"/>
        <v>78.63636363636364</v>
      </c>
      <c r="Q97" s="143">
        <f t="shared" si="28"/>
        <v>61.785714285714285</v>
      </c>
    </row>
    <row r="98" spans="1:17" ht="12.75">
      <c r="A98" s="134" t="s">
        <v>10</v>
      </c>
      <c r="B98" s="134"/>
      <c r="C98" s="140" t="s">
        <v>21</v>
      </c>
      <c r="D98" s="141">
        <f t="shared" si="36"/>
        <v>10</v>
      </c>
      <c r="E98" s="136">
        <f t="shared" si="35"/>
        <v>7</v>
      </c>
      <c r="F98" s="168">
        <v>1</v>
      </c>
      <c r="G98" s="168">
        <v>3</v>
      </c>
      <c r="H98" s="142">
        <v>3</v>
      </c>
      <c r="I98" s="143">
        <v>3</v>
      </c>
      <c r="J98" s="143">
        <v>3.3</v>
      </c>
      <c r="K98" s="137"/>
      <c r="L98" s="137">
        <f t="shared" si="37"/>
        <v>109.99999999999999</v>
      </c>
      <c r="M98" s="139"/>
      <c r="N98" s="139"/>
      <c r="O98" s="142">
        <f t="shared" si="30"/>
        <v>110</v>
      </c>
      <c r="P98" s="137">
        <f t="shared" si="27"/>
        <v>47.142857142857146</v>
      </c>
      <c r="Q98" s="143">
        <f t="shared" si="28"/>
        <v>33</v>
      </c>
    </row>
    <row r="99" spans="1:17" ht="24">
      <c r="A99" s="144" t="s">
        <v>11</v>
      </c>
      <c r="B99" s="144"/>
      <c r="C99" s="140" t="s">
        <v>17</v>
      </c>
      <c r="D99" s="141">
        <f t="shared" si="36"/>
        <v>12</v>
      </c>
      <c r="E99" s="136">
        <f t="shared" si="35"/>
        <v>9</v>
      </c>
      <c r="F99" s="168">
        <v>3</v>
      </c>
      <c r="G99" s="168">
        <v>3</v>
      </c>
      <c r="H99" s="142">
        <v>3</v>
      </c>
      <c r="I99" s="143">
        <v>3</v>
      </c>
      <c r="J99" s="143">
        <v>14.8</v>
      </c>
      <c r="K99" s="137"/>
      <c r="L99" s="137">
        <f t="shared" si="37"/>
        <v>493.33333333333337</v>
      </c>
      <c r="M99" s="139"/>
      <c r="N99" s="139"/>
      <c r="O99" s="142">
        <f t="shared" si="30"/>
        <v>493.3333333333333</v>
      </c>
      <c r="P99" s="137">
        <f t="shared" si="27"/>
        <v>164.44444444444446</v>
      </c>
      <c r="Q99" s="143">
        <f t="shared" si="28"/>
        <v>123.33333333333333</v>
      </c>
    </row>
    <row r="100" spans="1:17" ht="12.75" customHeight="1" hidden="1">
      <c r="A100" s="146" t="s">
        <v>42</v>
      </c>
      <c r="B100" s="146"/>
      <c r="C100" s="140" t="s">
        <v>43</v>
      </c>
      <c r="D100" s="141">
        <v>45</v>
      </c>
      <c r="E100" s="136">
        <f t="shared" si="35"/>
        <v>38.2</v>
      </c>
      <c r="F100" s="168">
        <v>6.7</v>
      </c>
      <c r="G100" s="168">
        <v>6.8</v>
      </c>
      <c r="H100" s="142">
        <f>6.7+18</f>
        <v>24.7</v>
      </c>
      <c r="I100" s="143">
        <v>6.8</v>
      </c>
      <c r="J100" s="143">
        <v>39.4</v>
      </c>
      <c r="K100" s="137"/>
      <c r="L100" s="137">
        <f t="shared" si="37"/>
        <v>159.51417004048582</v>
      </c>
      <c r="M100" s="139"/>
      <c r="N100" s="139"/>
      <c r="O100" s="142">
        <f t="shared" si="30"/>
        <v>579.4117647058823</v>
      </c>
      <c r="P100" s="137">
        <f t="shared" si="27"/>
        <v>103.1413612565445</v>
      </c>
      <c r="Q100" s="143">
        <f t="shared" si="28"/>
        <v>87.55555555555556</v>
      </c>
    </row>
    <row r="101" spans="1:17" ht="16.5" customHeight="1">
      <c r="A101" s="146" t="s">
        <v>18</v>
      </c>
      <c r="B101" s="146"/>
      <c r="C101" s="140" t="s">
        <v>15</v>
      </c>
      <c r="D101" s="141">
        <f t="shared" si="36"/>
        <v>0</v>
      </c>
      <c r="E101" s="136">
        <f t="shared" si="35"/>
        <v>0</v>
      </c>
      <c r="F101" s="168"/>
      <c r="G101" s="168"/>
      <c r="H101" s="142"/>
      <c r="I101" s="143"/>
      <c r="J101" s="143"/>
      <c r="K101" s="137"/>
      <c r="L101" s="137" t="e">
        <f t="shared" si="37"/>
        <v>#DIV/0!</v>
      </c>
      <c r="M101" s="139"/>
      <c r="N101" s="139"/>
      <c r="O101" s="142" t="e">
        <f t="shared" si="30"/>
        <v>#DIV/0!</v>
      </c>
      <c r="P101" s="137"/>
      <c r="Q101" s="143"/>
    </row>
    <row r="102" spans="1:17" ht="12.75">
      <c r="A102" s="146" t="s">
        <v>39</v>
      </c>
      <c r="B102" s="179"/>
      <c r="C102" s="150" t="s">
        <v>40</v>
      </c>
      <c r="D102" s="141">
        <f t="shared" si="36"/>
        <v>0</v>
      </c>
      <c r="E102" s="136">
        <f t="shared" si="35"/>
        <v>0</v>
      </c>
      <c r="F102" s="168"/>
      <c r="G102" s="168"/>
      <c r="H102" s="142"/>
      <c r="I102" s="143"/>
      <c r="J102" s="143"/>
      <c r="K102" s="154"/>
      <c r="L102" s="137" t="e">
        <f t="shared" si="37"/>
        <v>#DIV/0!</v>
      </c>
      <c r="M102" s="139"/>
      <c r="N102" s="139"/>
      <c r="O102" s="142" t="e">
        <f t="shared" si="30"/>
        <v>#DIV/0!</v>
      </c>
      <c r="P102" s="154"/>
      <c r="Q102" s="133"/>
    </row>
    <row r="103" spans="1:17" ht="12.75">
      <c r="A103" s="129" t="s">
        <v>1</v>
      </c>
      <c r="B103" s="129"/>
      <c r="C103" s="152" t="s">
        <v>0</v>
      </c>
      <c r="D103" s="153">
        <f aca="true" t="shared" si="38" ref="D103:K103">D104+D105</f>
        <v>31975.4</v>
      </c>
      <c r="E103" s="153">
        <f t="shared" si="38"/>
        <v>25679.8</v>
      </c>
      <c r="F103" s="153">
        <f t="shared" si="38"/>
        <v>9846.1</v>
      </c>
      <c r="G103" s="153">
        <f t="shared" si="38"/>
        <v>9050.4</v>
      </c>
      <c r="H103" s="153">
        <f t="shared" si="38"/>
        <v>6783.3</v>
      </c>
      <c r="I103" s="153">
        <f t="shared" si="38"/>
        <v>6295.6</v>
      </c>
      <c r="J103" s="153">
        <f t="shared" si="38"/>
        <v>22490.4</v>
      </c>
      <c r="K103" s="153">
        <f t="shared" si="38"/>
        <v>0</v>
      </c>
      <c r="L103" s="154">
        <f>J103/H103*100</f>
        <v>331.5554376188581</v>
      </c>
      <c r="M103" s="139"/>
      <c r="N103" s="139"/>
      <c r="O103" s="131">
        <f t="shared" si="30"/>
        <v>357.23997712688225</v>
      </c>
      <c r="P103" s="154">
        <f t="shared" si="27"/>
        <v>87.58012134050888</v>
      </c>
      <c r="Q103" s="133">
        <f t="shared" si="28"/>
        <v>70.33657123914008</v>
      </c>
    </row>
    <row r="104" spans="1:17" ht="17.25" customHeight="1">
      <c r="A104" s="155" t="s">
        <v>65</v>
      </c>
      <c r="B104" s="134"/>
      <c r="C104" s="156" t="s">
        <v>20</v>
      </c>
      <c r="D104" s="141">
        <f t="shared" si="36"/>
        <v>30825.4</v>
      </c>
      <c r="E104" s="136">
        <f t="shared" si="35"/>
        <v>24529.8</v>
      </c>
      <c r="F104" s="168">
        <f>6472.9+3293.3+79.9</f>
        <v>9846.1</v>
      </c>
      <c r="G104" s="168">
        <v>8050.4</v>
      </c>
      <c r="H104" s="142">
        <f>6295.6+337.7</f>
        <v>6633.3</v>
      </c>
      <c r="I104" s="143">
        <v>6295.6</v>
      </c>
      <c r="J104" s="143">
        <v>21340.4</v>
      </c>
      <c r="K104" s="137"/>
      <c r="L104" s="137">
        <f t="shared" si="37"/>
        <v>321.71618952859063</v>
      </c>
      <c r="M104" s="139"/>
      <c r="N104" s="139"/>
      <c r="O104" s="142">
        <f t="shared" si="30"/>
        <v>338.97325115954</v>
      </c>
      <c r="P104" s="137">
        <f t="shared" si="27"/>
        <v>86.99785566943065</v>
      </c>
      <c r="Q104" s="143">
        <f t="shared" si="28"/>
        <v>69.2299207796168</v>
      </c>
    </row>
    <row r="105" spans="1:17" ht="12.75">
      <c r="A105" s="155" t="s">
        <v>2</v>
      </c>
      <c r="B105" s="155"/>
      <c r="C105" s="157" t="s">
        <v>19</v>
      </c>
      <c r="D105" s="141">
        <f t="shared" si="36"/>
        <v>1150</v>
      </c>
      <c r="E105" s="136">
        <f t="shared" si="35"/>
        <v>1150</v>
      </c>
      <c r="F105" s="178"/>
      <c r="G105" s="178">
        <v>1000</v>
      </c>
      <c r="H105" s="142">
        <v>150</v>
      </c>
      <c r="I105" s="143"/>
      <c r="J105" s="143">
        <v>1150</v>
      </c>
      <c r="K105" s="137"/>
      <c r="L105" s="137"/>
      <c r="M105" s="139"/>
      <c r="N105" s="139"/>
      <c r="O105" s="142" t="e">
        <f t="shared" si="30"/>
        <v>#DIV/0!</v>
      </c>
      <c r="P105" s="137">
        <f>J105*100/E105</f>
        <v>100</v>
      </c>
      <c r="Q105" s="143">
        <f>J105*100/D105</f>
        <v>100</v>
      </c>
    </row>
    <row r="106" spans="1:17" ht="12.75">
      <c r="A106" s="147"/>
      <c r="B106" s="163"/>
      <c r="C106" s="164" t="s">
        <v>4</v>
      </c>
      <c r="D106" s="133">
        <f aca="true" t="shared" si="39" ref="D106:K106">D103+D94</f>
        <v>35023.4</v>
      </c>
      <c r="E106" s="131">
        <f t="shared" si="39"/>
        <v>27965.699999999997</v>
      </c>
      <c r="F106" s="131">
        <f t="shared" si="39"/>
        <v>10599.5</v>
      </c>
      <c r="G106" s="131">
        <f>G103+G94</f>
        <v>9808.699999999999</v>
      </c>
      <c r="H106" s="133">
        <f t="shared" si="39"/>
        <v>7557.5</v>
      </c>
      <c r="I106" s="133">
        <f t="shared" si="39"/>
        <v>7057.700000000001</v>
      </c>
      <c r="J106" s="133">
        <f t="shared" si="39"/>
        <v>23177.600000000002</v>
      </c>
      <c r="K106" s="133" t="e">
        <f t="shared" si="39"/>
        <v>#REF!</v>
      </c>
      <c r="L106" s="154">
        <f>J106/H106*100</f>
        <v>306.68342705921276</v>
      </c>
      <c r="M106" s="139"/>
      <c r="N106" s="165" t="e">
        <f>I106+#REF!+#REF!</f>
        <v>#REF!</v>
      </c>
      <c r="O106" s="131">
        <f t="shared" si="30"/>
        <v>328.40160392195753</v>
      </c>
      <c r="P106" s="154">
        <f t="shared" si="27"/>
        <v>82.87866922694587</v>
      </c>
      <c r="Q106" s="133">
        <f t="shared" si="28"/>
        <v>66.17746992011055</v>
      </c>
    </row>
    <row r="107" spans="1:17" ht="12.75">
      <c r="A107" s="188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90"/>
      <c r="M107" s="139"/>
      <c r="N107" s="139"/>
      <c r="O107" s="166"/>
      <c r="P107" s="154"/>
      <c r="Q107" s="133"/>
    </row>
    <row r="108" spans="1:17" ht="12.75">
      <c r="A108" s="187" t="s">
        <v>30</v>
      </c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54"/>
      <c r="Q108" s="133"/>
    </row>
    <row r="109" spans="1:17" ht="12.75">
      <c r="A109" s="151" t="s">
        <v>3</v>
      </c>
      <c r="B109" s="151"/>
      <c r="C109" s="167" t="s">
        <v>66</v>
      </c>
      <c r="D109" s="154">
        <f>D110+D112+D116+D113+D114+D117+D115+D118+D111</f>
        <v>2105</v>
      </c>
      <c r="E109" s="154">
        <f aca="true" t="shared" si="40" ref="E109:J109">E110+E112+E116+E113+E114+E117+E115+E118+E111</f>
        <v>1430.5</v>
      </c>
      <c r="F109" s="154">
        <f t="shared" si="40"/>
        <v>297</v>
      </c>
      <c r="G109" s="154">
        <f t="shared" si="40"/>
        <v>520</v>
      </c>
      <c r="H109" s="154">
        <f t="shared" si="40"/>
        <v>613.5</v>
      </c>
      <c r="I109" s="154">
        <f t="shared" si="40"/>
        <v>674.5</v>
      </c>
      <c r="J109" s="154">
        <f t="shared" si="40"/>
        <v>1953.8</v>
      </c>
      <c r="K109" s="154" t="e">
        <f>J109/#REF!*100</f>
        <v>#REF!</v>
      </c>
      <c r="L109" s="154">
        <f aca="true" t="shared" si="41" ref="L109:L116">J109/H109*100</f>
        <v>318.4678076609617</v>
      </c>
      <c r="M109" s="139"/>
      <c r="N109" s="139"/>
      <c r="O109" s="154">
        <f t="shared" si="30"/>
        <v>289.6664195700519</v>
      </c>
      <c r="P109" s="154">
        <f t="shared" si="27"/>
        <v>136.581614819993</v>
      </c>
      <c r="Q109" s="133">
        <f t="shared" si="28"/>
        <v>92.81710213776722</v>
      </c>
    </row>
    <row r="110" spans="1:17" ht="12.75" customHeight="1" hidden="1">
      <c r="A110" s="147" t="s">
        <v>23</v>
      </c>
      <c r="B110" s="147"/>
      <c r="C110" s="140" t="s">
        <v>22</v>
      </c>
      <c r="D110" s="141">
        <f>F110+G110+H110+I110</f>
        <v>1603</v>
      </c>
      <c r="E110" s="136">
        <f aca="true" t="shared" si="42" ref="E110:E121">F110+G110+H110</f>
        <v>1119</v>
      </c>
      <c r="F110" s="141">
        <v>236</v>
      </c>
      <c r="G110" s="141">
        <v>287</v>
      </c>
      <c r="H110" s="143">
        <v>596</v>
      </c>
      <c r="I110" s="143">
        <v>484</v>
      </c>
      <c r="J110" s="143">
        <v>1549.6</v>
      </c>
      <c r="K110" s="137" t="e">
        <f>J110/#REF!*100</f>
        <v>#REF!</v>
      </c>
      <c r="L110" s="137">
        <f t="shared" si="41"/>
        <v>259.99999999999994</v>
      </c>
      <c r="M110" s="139"/>
      <c r="N110" s="139"/>
      <c r="O110" s="142">
        <f t="shared" si="30"/>
        <v>320.1652892561983</v>
      </c>
      <c r="P110" s="137">
        <f t="shared" si="27"/>
        <v>138.48078641644327</v>
      </c>
      <c r="Q110" s="143">
        <f t="shared" si="28"/>
        <v>96.6687461010605</v>
      </c>
    </row>
    <row r="111" spans="1:17" ht="12.75">
      <c r="A111" s="134" t="s">
        <v>8</v>
      </c>
      <c r="B111" s="134"/>
      <c r="C111" s="140" t="s">
        <v>5</v>
      </c>
      <c r="D111" s="141">
        <f>F111+G111+H111+I111</f>
        <v>0</v>
      </c>
      <c r="E111" s="136">
        <f t="shared" si="42"/>
        <v>0</v>
      </c>
      <c r="F111" s="141"/>
      <c r="G111" s="141"/>
      <c r="H111" s="143"/>
      <c r="I111" s="143"/>
      <c r="J111" s="143"/>
      <c r="K111" s="137"/>
      <c r="L111" s="137"/>
      <c r="M111" s="139"/>
      <c r="N111" s="139"/>
      <c r="O111" s="142"/>
      <c r="P111" s="137"/>
      <c r="Q111" s="143"/>
    </row>
    <row r="112" spans="1:17" ht="12.75">
      <c r="A112" s="134" t="s">
        <v>9</v>
      </c>
      <c r="B112" s="134"/>
      <c r="C112" s="140" t="s">
        <v>6</v>
      </c>
      <c r="D112" s="141">
        <f aca="true" t="shared" si="43" ref="D112:D120">F112+G112+H112+I112</f>
        <v>51</v>
      </c>
      <c r="E112" s="136">
        <f t="shared" si="42"/>
        <v>44.5</v>
      </c>
      <c r="F112" s="141">
        <f>3+9+6</f>
        <v>18</v>
      </c>
      <c r="G112" s="141">
        <f>3+9+3</f>
        <v>15</v>
      </c>
      <c r="H112" s="143">
        <v>11.5</v>
      </c>
      <c r="I112" s="143">
        <v>6.5</v>
      </c>
      <c r="J112" s="143">
        <v>39.4</v>
      </c>
      <c r="K112" s="137" t="e">
        <f>J112/#REF!*100</f>
        <v>#REF!</v>
      </c>
      <c r="L112" s="137">
        <f t="shared" si="41"/>
        <v>342.6086956521739</v>
      </c>
      <c r="M112" s="139"/>
      <c r="N112" s="139"/>
      <c r="O112" s="142">
        <f t="shared" si="30"/>
        <v>606.1538461538462</v>
      </c>
      <c r="P112" s="137">
        <f t="shared" si="27"/>
        <v>88.53932584269663</v>
      </c>
      <c r="Q112" s="143">
        <f t="shared" si="28"/>
        <v>77.25490196078431</v>
      </c>
    </row>
    <row r="113" spans="1:17" ht="12.75">
      <c r="A113" s="134" t="s">
        <v>10</v>
      </c>
      <c r="B113" s="134"/>
      <c r="C113" s="140" t="s">
        <v>21</v>
      </c>
      <c r="D113" s="141">
        <f t="shared" si="43"/>
        <v>31</v>
      </c>
      <c r="E113" s="136">
        <f t="shared" si="42"/>
        <v>27</v>
      </c>
      <c r="F113" s="141">
        <v>13</v>
      </c>
      <c r="G113" s="141">
        <v>8</v>
      </c>
      <c r="H113" s="143">
        <v>6</v>
      </c>
      <c r="I113" s="143">
        <v>4</v>
      </c>
      <c r="J113" s="143">
        <v>8.7</v>
      </c>
      <c r="K113" s="137" t="e">
        <f>J113/#REF!*100</f>
        <v>#REF!</v>
      </c>
      <c r="L113" s="137">
        <f t="shared" si="41"/>
        <v>145</v>
      </c>
      <c r="M113" s="139"/>
      <c r="N113" s="139"/>
      <c r="O113" s="142">
        <f t="shared" si="30"/>
        <v>217.49999999999997</v>
      </c>
      <c r="P113" s="137">
        <f t="shared" si="27"/>
        <v>32.22222222222222</v>
      </c>
      <c r="Q113" s="143">
        <f t="shared" si="28"/>
        <v>28.064516129032253</v>
      </c>
    </row>
    <row r="114" spans="1:17" ht="24">
      <c r="A114" s="144" t="s">
        <v>11</v>
      </c>
      <c r="B114" s="144"/>
      <c r="C114" s="140" t="s">
        <v>17</v>
      </c>
      <c r="D114" s="141">
        <f t="shared" si="43"/>
        <v>120</v>
      </c>
      <c r="E114" s="136">
        <f t="shared" si="42"/>
        <v>0</v>
      </c>
      <c r="F114" s="141"/>
      <c r="G114" s="141"/>
      <c r="H114" s="143"/>
      <c r="I114" s="143">
        <v>120</v>
      </c>
      <c r="J114" s="143">
        <v>111.1</v>
      </c>
      <c r="K114" s="137" t="e">
        <f>J114/#REF!*100</f>
        <v>#REF!</v>
      </c>
      <c r="L114" s="137" t="e">
        <f t="shared" si="41"/>
        <v>#DIV/0!</v>
      </c>
      <c r="M114" s="139"/>
      <c r="N114" s="139"/>
      <c r="O114" s="142">
        <f t="shared" si="30"/>
        <v>92.58333333333333</v>
      </c>
      <c r="P114" s="137"/>
      <c r="Q114" s="143">
        <f t="shared" si="28"/>
        <v>92.58333333333333</v>
      </c>
    </row>
    <row r="115" spans="1:17" ht="12.75" customHeight="1" hidden="1">
      <c r="A115" s="146" t="s">
        <v>42</v>
      </c>
      <c r="B115" s="146"/>
      <c r="C115" s="140" t="s">
        <v>43</v>
      </c>
      <c r="D115" s="141">
        <f t="shared" si="43"/>
        <v>110</v>
      </c>
      <c r="E115" s="136">
        <f t="shared" si="42"/>
        <v>50</v>
      </c>
      <c r="F115" s="141">
        <v>30</v>
      </c>
      <c r="G115" s="141">
        <v>20</v>
      </c>
      <c r="H115" s="143"/>
      <c r="I115" s="143">
        <v>60</v>
      </c>
      <c r="J115" s="143">
        <v>55</v>
      </c>
      <c r="K115" s="137" t="e">
        <f>J115/#REF!*100</f>
        <v>#REF!</v>
      </c>
      <c r="L115" s="137" t="e">
        <f t="shared" si="41"/>
        <v>#DIV/0!</v>
      </c>
      <c r="M115" s="139"/>
      <c r="N115" s="139"/>
      <c r="O115" s="142">
        <f t="shared" si="30"/>
        <v>91.66666666666667</v>
      </c>
      <c r="P115" s="137">
        <f t="shared" si="27"/>
        <v>110</v>
      </c>
      <c r="Q115" s="143">
        <f t="shared" si="28"/>
        <v>50</v>
      </c>
    </row>
    <row r="116" spans="1:17" ht="12.75" customHeight="1" hidden="1">
      <c r="A116" s="145" t="s">
        <v>18</v>
      </c>
      <c r="B116" s="145"/>
      <c r="C116" s="140" t="s">
        <v>15</v>
      </c>
      <c r="D116" s="141">
        <f t="shared" si="43"/>
        <v>190</v>
      </c>
      <c r="E116" s="136">
        <f t="shared" si="42"/>
        <v>190</v>
      </c>
      <c r="F116" s="141"/>
      <c r="G116" s="141">
        <v>190</v>
      </c>
      <c r="H116" s="143"/>
      <c r="I116" s="143"/>
      <c r="J116" s="143">
        <v>189.9</v>
      </c>
      <c r="K116" s="137" t="e">
        <f>J116/#REF!*100</f>
        <v>#REF!</v>
      </c>
      <c r="L116" s="137" t="e">
        <f t="shared" si="41"/>
        <v>#DIV/0!</v>
      </c>
      <c r="M116" s="139"/>
      <c r="N116" s="139"/>
      <c r="O116" s="142" t="e">
        <f t="shared" si="30"/>
        <v>#DIV/0!</v>
      </c>
      <c r="P116" s="137">
        <f>J116*100/E116</f>
        <v>99.94736842105263</v>
      </c>
      <c r="Q116" s="143">
        <f>J116*100/D116</f>
        <v>99.94736842105263</v>
      </c>
    </row>
    <row r="117" spans="1:17" ht="11.25" customHeight="1">
      <c r="A117" s="147" t="s">
        <v>12</v>
      </c>
      <c r="B117" s="147"/>
      <c r="C117" s="140" t="s">
        <v>7</v>
      </c>
      <c r="D117" s="141">
        <f t="shared" si="43"/>
        <v>0</v>
      </c>
      <c r="E117" s="136">
        <f t="shared" si="42"/>
        <v>0</v>
      </c>
      <c r="F117" s="141"/>
      <c r="G117" s="141"/>
      <c r="H117" s="143"/>
      <c r="I117" s="143"/>
      <c r="J117" s="143"/>
      <c r="K117" s="137"/>
      <c r="L117" s="137"/>
      <c r="M117" s="139"/>
      <c r="N117" s="139"/>
      <c r="O117" s="142" t="e">
        <f t="shared" si="30"/>
        <v>#DIV/0!</v>
      </c>
      <c r="P117" s="137" t="e">
        <f>J117*100/E117</f>
        <v>#DIV/0!</v>
      </c>
      <c r="Q117" s="143" t="e">
        <f>J117*100/D117</f>
        <v>#DIV/0!</v>
      </c>
    </row>
    <row r="118" spans="1:17" ht="12.75">
      <c r="A118" s="145" t="s">
        <v>39</v>
      </c>
      <c r="B118" s="179"/>
      <c r="C118" s="150" t="s">
        <v>40</v>
      </c>
      <c r="D118" s="141">
        <f t="shared" si="43"/>
        <v>0</v>
      </c>
      <c r="E118" s="136">
        <f t="shared" si="42"/>
        <v>0</v>
      </c>
      <c r="F118" s="141"/>
      <c r="G118" s="141"/>
      <c r="H118" s="143"/>
      <c r="I118" s="143"/>
      <c r="J118" s="143">
        <v>0.1</v>
      </c>
      <c r="K118" s="137"/>
      <c r="L118" s="137"/>
      <c r="M118" s="139"/>
      <c r="N118" s="139"/>
      <c r="O118" s="142" t="e">
        <f t="shared" si="30"/>
        <v>#DIV/0!</v>
      </c>
      <c r="P118" s="154"/>
      <c r="Q118" s="133"/>
    </row>
    <row r="119" spans="1:17" ht="12.75">
      <c r="A119" s="151" t="s">
        <v>1</v>
      </c>
      <c r="B119" s="151"/>
      <c r="C119" s="152" t="s">
        <v>0</v>
      </c>
      <c r="D119" s="153">
        <f>D120+D121</f>
        <v>28113.7</v>
      </c>
      <c r="E119" s="153">
        <f aca="true" t="shared" si="44" ref="E119:J119">E120+E121</f>
        <v>23150.2</v>
      </c>
      <c r="F119" s="153">
        <f t="shared" si="44"/>
        <v>4882.9</v>
      </c>
      <c r="G119" s="153">
        <f t="shared" si="44"/>
        <v>7326.5</v>
      </c>
      <c r="H119" s="153">
        <f t="shared" si="44"/>
        <v>10940.800000000001</v>
      </c>
      <c r="I119" s="153">
        <f t="shared" si="44"/>
        <v>4963.5</v>
      </c>
      <c r="J119" s="153">
        <f t="shared" si="44"/>
        <v>14420.7</v>
      </c>
      <c r="K119" s="153" t="e">
        <f>K120</f>
        <v>#REF!</v>
      </c>
      <c r="L119" s="154">
        <f>J119/H119*100</f>
        <v>131.80663205615676</v>
      </c>
      <c r="M119" s="139"/>
      <c r="N119" s="139"/>
      <c r="O119" s="131">
        <f t="shared" si="30"/>
        <v>290.5349048050771</v>
      </c>
      <c r="P119" s="154">
        <f t="shared" si="27"/>
        <v>62.29190244576721</v>
      </c>
      <c r="Q119" s="133">
        <f t="shared" si="28"/>
        <v>51.294208873253964</v>
      </c>
    </row>
    <row r="120" spans="1:17" ht="24">
      <c r="A120" s="155" t="s">
        <v>65</v>
      </c>
      <c r="B120" s="134"/>
      <c r="C120" s="156" t="s">
        <v>20</v>
      </c>
      <c r="D120" s="141">
        <f t="shared" si="43"/>
        <v>27853.7</v>
      </c>
      <c r="E120" s="136">
        <f t="shared" si="42"/>
        <v>22890.2</v>
      </c>
      <c r="F120" s="141">
        <v>4882.9</v>
      </c>
      <c r="G120" s="141">
        <v>7066.5</v>
      </c>
      <c r="H120" s="143">
        <f>9963.6+977.2</f>
        <v>10940.800000000001</v>
      </c>
      <c r="I120" s="143">
        <v>4963.5</v>
      </c>
      <c r="J120" s="143">
        <v>14160.7</v>
      </c>
      <c r="K120" s="137" t="e">
        <f>J120/#REF!*100</f>
        <v>#REF!</v>
      </c>
      <c r="L120" s="137">
        <f>J120/H120*100</f>
        <v>129.43020620064345</v>
      </c>
      <c r="M120" s="139"/>
      <c r="N120" s="139"/>
      <c r="O120" s="142">
        <f t="shared" si="30"/>
        <v>285.29666565931296</v>
      </c>
      <c r="P120" s="137">
        <f t="shared" si="27"/>
        <v>61.86359227966553</v>
      </c>
      <c r="Q120" s="143">
        <f t="shared" si="28"/>
        <v>50.839565300121706</v>
      </c>
    </row>
    <row r="121" spans="1:17" ht="12.75">
      <c r="A121" s="155" t="s">
        <v>2</v>
      </c>
      <c r="B121" s="155"/>
      <c r="C121" s="157" t="s">
        <v>19</v>
      </c>
      <c r="D121" s="141">
        <f>F121+G121+H121+I121</f>
        <v>260</v>
      </c>
      <c r="E121" s="136">
        <f t="shared" si="42"/>
        <v>260</v>
      </c>
      <c r="F121" s="141"/>
      <c r="G121" s="141">
        <v>260</v>
      </c>
      <c r="H121" s="143"/>
      <c r="I121" s="143"/>
      <c r="J121" s="143">
        <v>260</v>
      </c>
      <c r="K121" s="137"/>
      <c r="L121" s="137"/>
      <c r="M121" s="139"/>
      <c r="N121" s="139"/>
      <c r="O121" s="142"/>
      <c r="P121" s="137">
        <f t="shared" si="27"/>
        <v>100</v>
      </c>
      <c r="Q121" s="143">
        <f t="shared" si="28"/>
        <v>100</v>
      </c>
    </row>
    <row r="122" spans="1:17" ht="12.75">
      <c r="A122" s="147"/>
      <c r="B122" s="163"/>
      <c r="C122" s="164" t="s">
        <v>4</v>
      </c>
      <c r="D122" s="133">
        <f aca="true" t="shared" si="45" ref="D122:J122">D119+D109</f>
        <v>30218.7</v>
      </c>
      <c r="E122" s="133">
        <f t="shared" si="45"/>
        <v>24580.7</v>
      </c>
      <c r="F122" s="133">
        <f t="shared" si="45"/>
        <v>5179.9</v>
      </c>
      <c r="G122" s="133">
        <f t="shared" si="45"/>
        <v>7846.5</v>
      </c>
      <c r="H122" s="133">
        <f t="shared" si="45"/>
        <v>11554.300000000001</v>
      </c>
      <c r="I122" s="133">
        <f t="shared" si="45"/>
        <v>5638</v>
      </c>
      <c r="J122" s="133">
        <f t="shared" si="45"/>
        <v>16374.5</v>
      </c>
      <c r="K122" s="154" t="e">
        <f>J122/#REF!*100</f>
        <v>#REF!</v>
      </c>
      <c r="L122" s="154">
        <f>J122/H122*100</f>
        <v>141.7178020304129</v>
      </c>
      <c r="M122" s="139"/>
      <c r="N122" s="165" t="e">
        <f>I122+#REF!+#REF!</f>
        <v>#REF!</v>
      </c>
      <c r="O122" s="131">
        <f t="shared" si="30"/>
        <v>290.4310039020929</v>
      </c>
      <c r="P122" s="154">
        <f t="shared" si="27"/>
        <v>66.6152713307595</v>
      </c>
      <c r="Q122" s="133">
        <f t="shared" si="28"/>
        <v>54.18664601720127</v>
      </c>
    </row>
    <row r="123" spans="1:17" ht="12.75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90"/>
      <c r="M123" s="139"/>
      <c r="N123" s="139"/>
      <c r="O123" s="166"/>
      <c r="P123" s="154"/>
      <c r="Q123" s="133"/>
    </row>
    <row r="124" spans="1:17" ht="12.75">
      <c r="A124" s="187" t="s">
        <v>31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54"/>
      <c r="Q124" s="133"/>
    </row>
    <row r="125" spans="1:17" ht="12.75">
      <c r="A125" s="151" t="s">
        <v>3</v>
      </c>
      <c r="B125" s="151"/>
      <c r="C125" s="167" t="s">
        <v>66</v>
      </c>
      <c r="D125" s="154">
        <f aca="true" t="shared" si="46" ref="D125:J125">D126+D127+D128+D129+D131+D133+D130+D132</f>
        <v>2690</v>
      </c>
      <c r="E125" s="154">
        <f t="shared" si="46"/>
        <v>1927.9</v>
      </c>
      <c r="F125" s="154">
        <f t="shared" si="46"/>
        <v>394.1</v>
      </c>
      <c r="G125" s="154">
        <f t="shared" si="46"/>
        <v>779.8</v>
      </c>
      <c r="H125" s="154">
        <f t="shared" si="46"/>
        <v>754</v>
      </c>
      <c r="I125" s="154">
        <f t="shared" si="46"/>
        <v>762.1</v>
      </c>
      <c r="J125" s="154">
        <f t="shared" si="46"/>
        <v>1648</v>
      </c>
      <c r="K125" s="154" t="e">
        <f>J125/#REF!*100</f>
        <v>#REF!</v>
      </c>
      <c r="L125" s="154">
        <f aca="true" t="shared" si="47" ref="L125:L131">J125/H125*100</f>
        <v>218.56763925729445</v>
      </c>
      <c r="M125" s="139"/>
      <c r="N125" s="139"/>
      <c r="O125" s="154">
        <f t="shared" si="30"/>
        <v>216.2445873244981</v>
      </c>
      <c r="P125" s="154">
        <f t="shared" si="27"/>
        <v>85.48161211681104</v>
      </c>
      <c r="Q125" s="133">
        <f t="shared" si="28"/>
        <v>61.2639405204461</v>
      </c>
    </row>
    <row r="126" spans="1:17" ht="12.75">
      <c r="A126" s="147" t="s">
        <v>23</v>
      </c>
      <c r="B126" s="147"/>
      <c r="C126" s="140" t="s">
        <v>22</v>
      </c>
      <c r="D126" s="141">
        <f>F126+G126+H126+I126</f>
        <v>2240</v>
      </c>
      <c r="E126" s="136">
        <f aca="true" t="shared" si="48" ref="E126:E135">F126+G126+H126</f>
        <v>1655</v>
      </c>
      <c r="F126" s="168">
        <v>330</v>
      </c>
      <c r="G126" s="168">
        <v>685</v>
      </c>
      <c r="H126" s="142">
        <v>640</v>
      </c>
      <c r="I126" s="143">
        <v>585</v>
      </c>
      <c r="J126" s="143">
        <v>1281.3</v>
      </c>
      <c r="K126" s="137" t="e">
        <f>J126/#REF!*100</f>
        <v>#REF!</v>
      </c>
      <c r="L126" s="137">
        <f t="shared" si="47"/>
        <v>200.203125</v>
      </c>
      <c r="M126" s="139"/>
      <c r="N126" s="139"/>
      <c r="O126" s="142">
        <f t="shared" si="30"/>
        <v>219.02564102564102</v>
      </c>
      <c r="P126" s="137">
        <f t="shared" si="27"/>
        <v>77.41993957703927</v>
      </c>
      <c r="Q126" s="143">
        <f t="shared" si="28"/>
        <v>57.200892857142854</v>
      </c>
    </row>
    <row r="127" spans="1:17" ht="12.75">
      <c r="A127" s="134" t="s">
        <v>9</v>
      </c>
      <c r="B127" s="134"/>
      <c r="C127" s="140" t="s">
        <v>6</v>
      </c>
      <c r="D127" s="141">
        <f aca="true" t="shared" si="49" ref="D127:D136">F127+G127+H127+I127</f>
        <v>258</v>
      </c>
      <c r="E127" s="136">
        <f t="shared" si="48"/>
        <v>151.4</v>
      </c>
      <c r="F127" s="168">
        <f>22.1+3+10</f>
        <v>35.1</v>
      </c>
      <c r="G127" s="168">
        <f>27.4+18+7.4</f>
        <v>52.8</v>
      </c>
      <c r="H127" s="142">
        <f>27.6+27.5+8.4</f>
        <v>63.5</v>
      </c>
      <c r="I127" s="143">
        <f>32.8+46.5+27.3</f>
        <v>106.6</v>
      </c>
      <c r="J127" s="143">
        <v>181.3</v>
      </c>
      <c r="K127" s="137" t="e">
        <f>J127/#REF!*100</f>
        <v>#REF!</v>
      </c>
      <c r="L127" s="137">
        <f t="shared" si="47"/>
        <v>285.51181102362204</v>
      </c>
      <c r="M127" s="139"/>
      <c r="N127" s="139"/>
      <c r="O127" s="142">
        <f t="shared" si="30"/>
        <v>170.0750469043152</v>
      </c>
      <c r="P127" s="137">
        <f t="shared" si="27"/>
        <v>119.74900924702774</v>
      </c>
      <c r="Q127" s="143">
        <f t="shared" si="28"/>
        <v>70.27131782945736</v>
      </c>
    </row>
    <row r="128" spans="1:17" ht="12.75">
      <c r="A128" s="134" t="s">
        <v>10</v>
      </c>
      <c r="B128" s="134"/>
      <c r="C128" s="140" t="s">
        <v>21</v>
      </c>
      <c r="D128" s="141">
        <f t="shared" si="49"/>
        <v>47</v>
      </c>
      <c r="E128" s="136">
        <f t="shared" si="48"/>
        <v>31</v>
      </c>
      <c r="F128" s="168">
        <v>9</v>
      </c>
      <c r="G128" s="168">
        <v>10</v>
      </c>
      <c r="H128" s="142">
        <v>12</v>
      </c>
      <c r="I128" s="143">
        <v>16</v>
      </c>
      <c r="J128" s="143">
        <v>31.2</v>
      </c>
      <c r="K128" s="137" t="e">
        <f>J128/#REF!*100</f>
        <v>#REF!</v>
      </c>
      <c r="L128" s="137">
        <f t="shared" si="47"/>
        <v>260</v>
      </c>
      <c r="M128" s="139"/>
      <c r="N128" s="139"/>
      <c r="O128" s="142">
        <f t="shared" si="30"/>
        <v>195</v>
      </c>
      <c r="P128" s="137">
        <f t="shared" si="27"/>
        <v>100.64516129032258</v>
      </c>
      <c r="Q128" s="143">
        <f t="shared" si="28"/>
        <v>66.38297872340425</v>
      </c>
    </row>
    <row r="129" spans="1:17" ht="13.5" customHeight="1" hidden="1">
      <c r="A129" s="144" t="s">
        <v>11</v>
      </c>
      <c r="B129" s="144"/>
      <c r="C129" s="140" t="s">
        <v>17</v>
      </c>
      <c r="D129" s="141">
        <f t="shared" si="49"/>
        <v>65</v>
      </c>
      <c r="E129" s="136">
        <f t="shared" si="48"/>
        <v>36.5</v>
      </c>
      <c r="F129" s="168">
        <f>3.5+1.5</f>
        <v>5</v>
      </c>
      <c r="G129" s="168">
        <f>7+3</f>
        <v>10</v>
      </c>
      <c r="H129" s="142">
        <f>18.5+3</f>
        <v>21.5</v>
      </c>
      <c r="I129" s="143">
        <f>21+7.5</f>
        <v>28.5</v>
      </c>
      <c r="J129" s="143">
        <v>94.2</v>
      </c>
      <c r="K129" s="137" t="e">
        <f>J129/#REF!*100</f>
        <v>#REF!</v>
      </c>
      <c r="L129" s="137">
        <f t="shared" si="47"/>
        <v>438.1395348837209</v>
      </c>
      <c r="M129" s="139"/>
      <c r="N129" s="139"/>
      <c r="O129" s="142">
        <f t="shared" si="30"/>
        <v>330.5263157894737</v>
      </c>
      <c r="P129" s="137">
        <f t="shared" si="27"/>
        <v>258.0821917808219</v>
      </c>
      <c r="Q129" s="143">
        <f t="shared" si="28"/>
        <v>144.92307692307693</v>
      </c>
    </row>
    <row r="130" spans="1:17" ht="14.25" customHeight="1" hidden="1">
      <c r="A130" s="146" t="s">
        <v>42</v>
      </c>
      <c r="B130" s="146"/>
      <c r="C130" s="140" t="s">
        <v>43</v>
      </c>
      <c r="D130" s="141">
        <f t="shared" si="49"/>
        <v>80</v>
      </c>
      <c r="E130" s="136">
        <f t="shared" si="48"/>
        <v>54</v>
      </c>
      <c r="F130" s="168">
        <v>15</v>
      </c>
      <c r="G130" s="168">
        <v>22</v>
      </c>
      <c r="H130" s="142">
        <v>17</v>
      </c>
      <c r="I130" s="143">
        <v>26</v>
      </c>
      <c r="J130" s="143">
        <v>60</v>
      </c>
      <c r="K130" s="137" t="e">
        <f>J130/#REF!*100</f>
        <v>#REF!</v>
      </c>
      <c r="L130" s="137">
        <f t="shared" si="47"/>
        <v>352.94117647058823</v>
      </c>
      <c r="M130" s="139"/>
      <c r="N130" s="139"/>
      <c r="O130" s="142">
        <f t="shared" si="30"/>
        <v>230.76923076923077</v>
      </c>
      <c r="P130" s="137">
        <f t="shared" si="27"/>
        <v>111.11111111111111</v>
      </c>
      <c r="Q130" s="143">
        <f t="shared" si="28"/>
        <v>75</v>
      </c>
    </row>
    <row r="131" spans="1:17" ht="12.75">
      <c r="A131" s="146" t="s">
        <v>18</v>
      </c>
      <c r="B131" s="146"/>
      <c r="C131" s="140" t="s">
        <v>15</v>
      </c>
      <c r="D131" s="141">
        <f t="shared" si="49"/>
        <v>0</v>
      </c>
      <c r="E131" s="136">
        <f t="shared" si="48"/>
        <v>0</v>
      </c>
      <c r="F131" s="168"/>
      <c r="G131" s="168"/>
      <c r="H131" s="142"/>
      <c r="I131" s="143"/>
      <c r="J131" s="143"/>
      <c r="K131" s="137" t="e">
        <f>J131/#REF!*100</f>
        <v>#REF!</v>
      </c>
      <c r="L131" s="137" t="e">
        <f t="shared" si="47"/>
        <v>#DIV/0!</v>
      </c>
      <c r="M131" s="139"/>
      <c r="N131" s="139"/>
      <c r="O131" s="142" t="e">
        <f t="shared" si="30"/>
        <v>#DIV/0!</v>
      </c>
      <c r="P131" s="137"/>
      <c r="Q131" s="143"/>
    </row>
    <row r="132" spans="1:17" ht="12.75">
      <c r="A132" s="147" t="s">
        <v>12</v>
      </c>
      <c r="B132" s="147"/>
      <c r="C132" s="140" t="s">
        <v>7</v>
      </c>
      <c r="D132" s="141">
        <f t="shared" si="49"/>
        <v>0</v>
      </c>
      <c r="E132" s="136">
        <f t="shared" si="48"/>
        <v>0</v>
      </c>
      <c r="F132" s="168"/>
      <c r="G132" s="168"/>
      <c r="H132" s="142"/>
      <c r="I132" s="143"/>
      <c r="J132" s="143"/>
      <c r="K132" s="137"/>
      <c r="L132" s="137"/>
      <c r="M132" s="139"/>
      <c r="N132" s="139"/>
      <c r="O132" s="142"/>
      <c r="P132" s="137"/>
      <c r="Q132" s="143"/>
    </row>
    <row r="133" spans="1:17" ht="12.75">
      <c r="A133" s="146" t="s">
        <v>39</v>
      </c>
      <c r="B133" s="179"/>
      <c r="C133" s="150" t="s">
        <v>40</v>
      </c>
      <c r="D133" s="141">
        <f t="shared" si="49"/>
        <v>0</v>
      </c>
      <c r="E133" s="136">
        <f t="shared" si="48"/>
        <v>0</v>
      </c>
      <c r="F133" s="168"/>
      <c r="G133" s="168"/>
      <c r="H133" s="142"/>
      <c r="I133" s="143"/>
      <c r="J133" s="142">
        <v>0</v>
      </c>
      <c r="K133" s="137"/>
      <c r="L133" s="137"/>
      <c r="M133" s="139"/>
      <c r="N133" s="139"/>
      <c r="O133" s="142"/>
      <c r="P133" s="137"/>
      <c r="Q133" s="143"/>
    </row>
    <row r="134" spans="1:17" ht="12.75" customHeight="1" hidden="1">
      <c r="A134" s="129" t="s">
        <v>1</v>
      </c>
      <c r="B134" s="129"/>
      <c r="C134" s="152" t="s">
        <v>0</v>
      </c>
      <c r="D134" s="153">
        <f aca="true" t="shared" si="50" ref="D134:J134">D135+D136</f>
        <v>46264.600000000006</v>
      </c>
      <c r="E134" s="153">
        <f t="shared" si="50"/>
        <v>35166.3</v>
      </c>
      <c r="F134" s="153">
        <f t="shared" si="50"/>
        <v>10444.3</v>
      </c>
      <c r="G134" s="153">
        <f t="shared" si="50"/>
        <v>13420</v>
      </c>
      <c r="H134" s="153">
        <f t="shared" si="50"/>
        <v>11302</v>
      </c>
      <c r="I134" s="153">
        <f t="shared" si="50"/>
        <v>11098.3</v>
      </c>
      <c r="J134" s="153">
        <f t="shared" si="50"/>
        <v>25048.7</v>
      </c>
      <c r="K134" s="154" t="e">
        <f>J134/#REF!*100</f>
        <v>#REF!</v>
      </c>
      <c r="L134" s="154">
        <f>J134/H134*100</f>
        <v>221.6306848345426</v>
      </c>
      <c r="M134" s="139"/>
      <c r="N134" s="139"/>
      <c r="O134" s="131">
        <f t="shared" si="30"/>
        <v>225.69853040555762</v>
      </c>
      <c r="P134" s="154">
        <f t="shared" si="27"/>
        <v>71.22927348057657</v>
      </c>
      <c r="Q134" s="133">
        <f t="shared" si="28"/>
        <v>54.142259956856854</v>
      </c>
    </row>
    <row r="135" spans="1:17" ht="24">
      <c r="A135" s="155" t="s">
        <v>65</v>
      </c>
      <c r="B135" s="134"/>
      <c r="C135" s="156" t="s">
        <v>20</v>
      </c>
      <c r="D135" s="141">
        <f t="shared" si="49"/>
        <v>46264.600000000006</v>
      </c>
      <c r="E135" s="136">
        <f t="shared" si="48"/>
        <v>35166.3</v>
      </c>
      <c r="F135" s="168">
        <v>10444.3</v>
      </c>
      <c r="G135" s="168">
        <v>13420</v>
      </c>
      <c r="H135" s="142">
        <f>11114.2+187.8</f>
        <v>11302</v>
      </c>
      <c r="I135" s="143">
        <v>11098.3</v>
      </c>
      <c r="J135" s="143">
        <v>25048.7</v>
      </c>
      <c r="K135" s="137" t="e">
        <f>J135/#REF!*100</f>
        <v>#REF!</v>
      </c>
      <c r="L135" s="137">
        <f>J135/H135*100</f>
        <v>221.6306848345426</v>
      </c>
      <c r="M135" s="139"/>
      <c r="N135" s="139"/>
      <c r="O135" s="142">
        <f t="shared" si="30"/>
        <v>225.69853040555762</v>
      </c>
      <c r="P135" s="137">
        <f t="shared" si="27"/>
        <v>71.22927348057657</v>
      </c>
      <c r="Q135" s="143">
        <f t="shared" si="28"/>
        <v>54.142259956856854</v>
      </c>
    </row>
    <row r="136" spans="1:17" ht="12.75">
      <c r="A136" s="155" t="s">
        <v>2</v>
      </c>
      <c r="B136" s="155"/>
      <c r="C136" s="157" t="s">
        <v>19</v>
      </c>
      <c r="D136" s="141">
        <f t="shared" si="49"/>
        <v>0</v>
      </c>
      <c r="E136" s="141">
        <f>F136</f>
        <v>0</v>
      </c>
      <c r="F136" s="178"/>
      <c r="G136" s="178"/>
      <c r="H136" s="142"/>
      <c r="I136" s="143"/>
      <c r="J136" s="143"/>
      <c r="K136" s="137"/>
      <c r="L136" s="137"/>
      <c r="M136" s="139"/>
      <c r="N136" s="139"/>
      <c r="O136" s="142" t="e">
        <f t="shared" si="30"/>
        <v>#DIV/0!</v>
      </c>
      <c r="P136" s="137"/>
      <c r="Q136" s="143"/>
    </row>
    <row r="137" spans="1:17" ht="12.75">
      <c r="A137" s="147"/>
      <c r="B137" s="163"/>
      <c r="C137" s="164" t="s">
        <v>4</v>
      </c>
      <c r="D137" s="133">
        <f aca="true" t="shared" si="51" ref="D137:J137">D134+D125</f>
        <v>48954.600000000006</v>
      </c>
      <c r="E137" s="133">
        <f t="shared" si="51"/>
        <v>37094.200000000004</v>
      </c>
      <c r="F137" s="131">
        <f t="shared" si="51"/>
        <v>10838.4</v>
      </c>
      <c r="G137" s="131">
        <f t="shared" si="51"/>
        <v>14199.8</v>
      </c>
      <c r="H137" s="131">
        <f t="shared" si="51"/>
        <v>12056</v>
      </c>
      <c r="I137" s="133">
        <f t="shared" si="51"/>
        <v>11860.4</v>
      </c>
      <c r="J137" s="133">
        <f t="shared" si="51"/>
        <v>26696.7</v>
      </c>
      <c r="K137" s="154" t="e">
        <f>J137/#REF!*100</f>
        <v>#REF!</v>
      </c>
      <c r="L137" s="154">
        <f>J137/H137*100</f>
        <v>221.43911745189118</v>
      </c>
      <c r="M137" s="139"/>
      <c r="N137" s="165" t="e">
        <f>I137+#REF!+#REF!</f>
        <v>#REF!</v>
      </c>
      <c r="O137" s="131">
        <f t="shared" si="30"/>
        <v>225.09105932346296</v>
      </c>
      <c r="P137" s="154">
        <f t="shared" si="27"/>
        <v>71.97001148427516</v>
      </c>
      <c r="Q137" s="133">
        <f t="shared" si="28"/>
        <v>54.533588263411396</v>
      </c>
    </row>
    <row r="138" spans="1:17" ht="12.75">
      <c r="A138" s="194"/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6"/>
      <c r="M138" s="139"/>
      <c r="N138" s="139"/>
      <c r="O138" s="166"/>
      <c r="P138" s="154"/>
      <c r="Q138" s="133"/>
    </row>
    <row r="139" spans="1:17" ht="12.75">
      <c r="A139" s="187" t="s">
        <v>32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54"/>
      <c r="Q139" s="133"/>
    </row>
    <row r="140" spans="1:17" ht="12.75" customHeight="1">
      <c r="A140" s="151" t="s">
        <v>3</v>
      </c>
      <c r="B140" s="151"/>
      <c r="C140" s="167" t="s">
        <v>66</v>
      </c>
      <c r="D140" s="154">
        <f aca="true" t="shared" si="52" ref="D140:J140">D141+D143+D145+D147+D144+D148+D146+D149+D142</f>
        <v>14337.3</v>
      </c>
      <c r="E140" s="154">
        <f t="shared" si="52"/>
        <v>10884.199999999999</v>
      </c>
      <c r="F140" s="154">
        <f t="shared" si="52"/>
        <v>2709.3</v>
      </c>
      <c r="G140" s="154">
        <f t="shared" si="52"/>
        <v>4627.6</v>
      </c>
      <c r="H140" s="154">
        <f t="shared" si="52"/>
        <v>3547.3</v>
      </c>
      <c r="I140" s="154">
        <f t="shared" si="52"/>
        <v>3453.1</v>
      </c>
      <c r="J140" s="154">
        <f t="shared" si="52"/>
        <v>9360.000000000002</v>
      </c>
      <c r="K140" s="154" t="e">
        <f>J140/#REF!*100</f>
        <v>#REF!</v>
      </c>
      <c r="L140" s="154">
        <f>J140/H140*100</f>
        <v>263.862656104643</v>
      </c>
      <c r="M140" s="139"/>
      <c r="N140" s="139"/>
      <c r="O140" s="154">
        <f t="shared" si="30"/>
        <v>271.0607859604414</v>
      </c>
      <c r="P140" s="154">
        <f t="shared" si="27"/>
        <v>85.99621469653262</v>
      </c>
      <c r="Q140" s="133">
        <f t="shared" si="28"/>
        <v>65.2842585424034</v>
      </c>
    </row>
    <row r="141" spans="1:17" ht="12.75">
      <c r="A141" s="147" t="s">
        <v>23</v>
      </c>
      <c r="B141" s="147"/>
      <c r="C141" s="140" t="s">
        <v>22</v>
      </c>
      <c r="D141" s="168">
        <f>F141+G141+H141+I141</f>
        <v>12500</v>
      </c>
      <c r="E141" s="136">
        <f aca="true" t="shared" si="53" ref="E141:E151">F141+G141+H141</f>
        <v>9490</v>
      </c>
      <c r="F141" s="168">
        <v>2590</v>
      </c>
      <c r="G141" s="168">
        <f>3500</f>
        <v>3500</v>
      </c>
      <c r="H141" s="142">
        <v>3400</v>
      </c>
      <c r="I141" s="143">
        <v>3010</v>
      </c>
      <c r="J141" s="143">
        <v>8519.2</v>
      </c>
      <c r="K141" s="137" t="e">
        <f>J141/#REF!*100</f>
        <v>#REF!</v>
      </c>
      <c r="L141" s="137">
        <f>J141/H141*100</f>
        <v>250.56470588235297</v>
      </c>
      <c r="M141" s="139"/>
      <c r="N141" s="139"/>
      <c r="O141" s="142">
        <f t="shared" si="30"/>
        <v>283.02990033222596</v>
      </c>
      <c r="P141" s="137">
        <f t="shared" si="27"/>
        <v>89.77028451001055</v>
      </c>
      <c r="Q141" s="143">
        <f t="shared" si="28"/>
        <v>68.15360000000001</v>
      </c>
    </row>
    <row r="142" spans="1:17" ht="12.75">
      <c r="A142" s="134" t="s">
        <v>8</v>
      </c>
      <c r="B142" s="134"/>
      <c r="C142" s="140" t="s">
        <v>5</v>
      </c>
      <c r="D142" s="168">
        <f aca="true" t="shared" si="54" ref="D142:D151">F142+G142+H142+I142</f>
        <v>0</v>
      </c>
      <c r="E142" s="136">
        <f t="shared" si="53"/>
        <v>0</v>
      </c>
      <c r="F142" s="168"/>
      <c r="G142" s="168"/>
      <c r="H142" s="142"/>
      <c r="I142" s="143"/>
      <c r="J142" s="143">
        <v>9.4</v>
      </c>
      <c r="K142" s="137"/>
      <c r="L142" s="137"/>
      <c r="M142" s="139"/>
      <c r="N142" s="139"/>
      <c r="O142" s="142" t="e">
        <f t="shared" si="30"/>
        <v>#DIV/0!</v>
      </c>
      <c r="P142" s="137"/>
      <c r="Q142" s="143"/>
    </row>
    <row r="143" spans="1:17" ht="12.75">
      <c r="A143" s="134" t="s">
        <v>9</v>
      </c>
      <c r="B143" s="134"/>
      <c r="C143" s="140" t="s">
        <v>6</v>
      </c>
      <c r="D143" s="168">
        <f t="shared" si="54"/>
        <v>845</v>
      </c>
      <c r="E143" s="136">
        <f t="shared" si="53"/>
        <v>496</v>
      </c>
      <c r="F143" s="168">
        <f>40+9+12</f>
        <v>61</v>
      </c>
      <c r="G143" s="168">
        <f>351</f>
        <v>351</v>
      </c>
      <c r="H143" s="142">
        <f>60+9+15</f>
        <v>84</v>
      </c>
      <c r="I143" s="143">
        <f>270+28+51</f>
        <v>349</v>
      </c>
      <c r="J143" s="143">
        <v>578.2</v>
      </c>
      <c r="K143" s="137" t="e">
        <f>J143/#REF!*100</f>
        <v>#REF!</v>
      </c>
      <c r="L143" s="137">
        <f>J143/H143*100</f>
        <v>688.3333333333334</v>
      </c>
      <c r="M143" s="139"/>
      <c r="N143" s="139"/>
      <c r="O143" s="142">
        <f t="shared" si="30"/>
        <v>165.67335243553012</v>
      </c>
      <c r="P143" s="137">
        <f aca="true" t="shared" si="55" ref="P143:P206">J143*100/E143</f>
        <v>116.57258064516131</v>
      </c>
      <c r="Q143" s="143">
        <f aca="true" t="shared" si="56" ref="Q143:Q206">J143*100/D143</f>
        <v>68.42603550295858</v>
      </c>
    </row>
    <row r="144" spans="1:17" ht="12.75" customHeight="1" hidden="1">
      <c r="A144" s="134" t="s">
        <v>10</v>
      </c>
      <c r="B144" s="134"/>
      <c r="C144" s="140" t="s">
        <v>21</v>
      </c>
      <c r="D144" s="168">
        <f t="shared" si="54"/>
        <v>160</v>
      </c>
      <c r="E144" s="136">
        <f t="shared" si="53"/>
        <v>102</v>
      </c>
      <c r="F144" s="168">
        <v>22</v>
      </c>
      <c r="G144" s="168">
        <v>53</v>
      </c>
      <c r="H144" s="142">
        <v>27</v>
      </c>
      <c r="I144" s="143">
        <v>58</v>
      </c>
      <c r="J144" s="143">
        <v>86.2</v>
      </c>
      <c r="K144" s="137" t="e">
        <f>J144/#REF!*100</f>
        <v>#REF!</v>
      </c>
      <c r="L144" s="137">
        <f>J144/H144*100</f>
        <v>319.25925925925924</v>
      </c>
      <c r="M144" s="139"/>
      <c r="N144" s="139"/>
      <c r="O144" s="142">
        <f t="shared" si="30"/>
        <v>148.6206896551724</v>
      </c>
      <c r="P144" s="137">
        <f t="shared" si="55"/>
        <v>84.50980392156863</v>
      </c>
      <c r="Q144" s="143">
        <f t="shared" si="56"/>
        <v>53.875</v>
      </c>
    </row>
    <row r="145" spans="1:17" ht="18.75" customHeight="1">
      <c r="A145" s="144" t="s">
        <v>11</v>
      </c>
      <c r="B145" s="144"/>
      <c r="C145" s="140" t="s">
        <v>17</v>
      </c>
      <c r="D145" s="168">
        <f t="shared" si="54"/>
        <v>145</v>
      </c>
      <c r="E145" s="136">
        <f t="shared" si="53"/>
        <v>108.89999999999999</v>
      </c>
      <c r="F145" s="168">
        <v>36.3</v>
      </c>
      <c r="G145" s="168">
        <v>36.3</v>
      </c>
      <c r="H145" s="142">
        <v>36.3</v>
      </c>
      <c r="I145" s="143">
        <v>36.1</v>
      </c>
      <c r="J145" s="143">
        <v>81.2</v>
      </c>
      <c r="K145" s="137" t="e">
        <f>J145/#REF!*100</f>
        <v>#REF!</v>
      </c>
      <c r="L145" s="137">
        <f>J145/H145*100</f>
        <v>223.69146005509646</v>
      </c>
      <c r="M145" s="139"/>
      <c r="N145" s="139"/>
      <c r="O145" s="142">
        <f t="shared" si="30"/>
        <v>224.93074792243766</v>
      </c>
      <c r="P145" s="137">
        <f t="shared" si="55"/>
        <v>74.56382001836548</v>
      </c>
      <c r="Q145" s="143">
        <f t="shared" si="56"/>
        <v>56</v>
      </c>
    </row>
    <row r="146" spans="1:17" ht="17.25" customHeight="1" hidden="1">
      <c r="A146" s="146" t="s">
        <v>42</v>
      </c>
      <c r="B146" s="146"/>
      <c r="C146" s="140" t="s">
        <v>43</v>
      </c>
      <c r="D146" s="168">
        <f t="shared" si="54"/>
        <v>0</v>
      </c>
      <c r="E146" s="136">
        <f t="shared" si="53"/>
        <v>0</v>
      </c>
      <c r="F146" s="168"/>
      <c r="G146" s="168"/>
      <c r="H146" s="142"/>
      <c r="I146" s="143"/>
      <c r="J146" s="143"/>
      <c r="K146" s="137"/>
      <c r="L146" s="137"/>
      <c r="M146" s="139"/>
      <c r="N146" s="139"/>
      <c r="O146" s="142" t="e">
        <f aca="true" t="shared" si="57" ref="O146:O210">J146*100/I146</f>
        <v>#DIV/0!</v>
      </c>
      <c r="P146" s="137" t="e">
        <f t="shared" si="55"/>
        <v>#DIV/0!</v>
      </c>
      <c r="Q146" s="143" t="e">
        <f t="shared" si="56"/>
        <v>#DIV/0!</v>
      </c>
    </row>
    <row r="147" spans="1:17" ht="16.5" customHeight="1">
      <c r="A147" s="145" t="s">
        <v>18</v>
      </c>
      <c r="B147" s="145"/>
      <c r="C147" s="140" t="s">
        <v>15</v>
      </c>
      <c r="D147" s="168">
        <f t="shared" si="54"/>
        <v>687.3</v>
      </c>
      <c r="E147" s="136">
        <f t="shared" si="53"/>
        <v>687.3</v>
      </c>
      <c r="F147" s="168"/>
      <c r="G147" s="168">
        <v>687.3</v>
      </c>
      <c r="H147" s="142"/>
      <c r="I147" s="143"/>
      <c r="J147" s="143">
        <v>0</v>
      </c>
      <c r="K147" s="137" t="e">
        <f>J147/#REF!*100</f>
        <v>#REF!</v>
      </c>
      <c r="L147" s="137" t="e">
        <f>J147/H147*100</f>
        <v>#DIV/0!</v>
      </c>
      <c r="M147" s="139"/>
      <c r="N147" s="139"/>
      <c r="O147" s="142" t="e">
        <f t="shared" si="57"/>
        <v>#DIV/0!</v>
      </c>
      <c r="P147" s="137"/>
      <c r="Q147" s="143"/>
    </row>
    <row r="148" spans="1:17" ht="12.75">
      <c r="A148" s="147" t="s">
        <v>12</v>
      </c>
      <c r="B148" s="147"/>
      <c r="C148" s="140" t="s">
        <v>7</v>
      </c>
      <c r="D148" s="168">
        <f t="shared" si="54"/>
        <v>0</v>
      </c>
      <c r="E148" s="136">
        <f t="shared" si="53"/>
        <v>0</v>
      </c>
      <c r="F148" s="168"/>
      <c r="G148" s="168"/>
      <c r="H148" s="142"/>
      <c r="I148" s="143"/>
      <c r="J148" s="143">
        <v>30</v>
      </c>
      <c r="K148" s="137" t="e">
        <f>J148/#REF!*100</f>
        <v>#REF!</v>
      </c>
      <c r="L148" s="137"/>
      <c r="M148" s="139"/>
      <c r="N148" s="139"/>
      <c r="O148" s="142" t="e">
        <f t="shared" si="57"/>
        <v>#DIV/0!</v>
      </c>
      <c r="P148" s="137"/>
      <c r="Q148" s="143"/>
    </row>
    <row r="149" spans="1:17" ht="12.75">
      <c r="A149" s="145" t="s">
        <v>39</v>
      </c>
      <c r="B149" s="180"/>
      <c r="C149" s="150" t="s">
        <v>40</v>
      </c>
      <c r="D149" s="168">
        <f t="shared" si="54"/>
        <v>0</v>
      </c>
      <c r="E149" s="136">
        <f t="shared" si="53"/>
        <v>0</v>
      </c>
      <c r="F149" s="168"/>
      <c r="G149" s="168"/>
      <c r="H149" s="142"/>
      <c r="I149" s="143"/>
      <c r="J149" s="143">
        <v>55.8</v>
      </c>
      <c r="K149" s="137"/>
      <c r="L149" s="137"/>
      <c r="M149" s="139"/>
      <c r="N149" s="139"/>
      <c r="O149" s="142" t="e">
        <f t="shared" si="57"/>
        <v>#DIV/0!</v>
      </c>
      <c r="P149" s="154"/>
      <c r="Q149" s="133"/>
    </row>
    <row r="150" spans="1:17" ht="12.75" customHeight="1" hidden="1">
      <c r="A150" s="151" t="s">
        <v>1</v>
      </c>
      <c r="B150" s="151"/>
      <c r="C150" s="152" t="s">
        <v>0</v>
      </c>
      <c r="D150" s="153">
        <f>D151+D152</f>
        <v>42388.600000000006</v>
      </c>
      <c r="E150" s="153">
        <f aca="true" t="shared" si="58" ref="E150:J150">E151+E152</f>
        <v>32275.9</v>
      </c>
      <c r="F150" s="153">
        <f t="shared" si="58"/>
        <v>10643.7</v>
      </c>
      <c r="G150" s="153">
        <f t="shared" si="58"/>
        <v>11149.7</v>
      </c>
      <c r="H150" s="153">
        <f t="shared" si="58"/>
        <v>10482.5</v>
      </c>
      <c r="I150" s="153">
        <f t="shared" si="58"/>
        <v>10112.7</v>
      </c>
      <c r="J150" s="153">
        <f t="shared" si="58"/>
        <v>19801.6</v>
      </c>
      <c r="K150" s="154" t="e">
        <f>J150/#REF!*100</f>
        <v>#REF!</v>
      </c>
      <c r="L150" s="154">
        <f>J150/H150*100</f>
        <v>188.9015025041736</v>
      </c>
      <c r="M150" s="139"/>
      <c r="N150" s="139"/>
      <c r="O150" s="131">
        <f t="shared" si="57"/>
        <v>195.80922997814625</v>
      </c>
      <c r="P150" s="154">
        <f t="shared" si="55"/>
        <v>61.35103901053107</v>
      </c>
      <c r="Q150" s="133">
        <f t="shared" si="56"/>
        <v>46.71444680881179</v>
      </c>
    </row>
    <row r="151" spans="1:17" ht="24">
      <c r="A151" s="155" t="s">
        <v>65</v>
      </c>
      <c r="B151" s="134"/>
      <c r="C151" s="156" t="s">
        <v>20</v>
      </c>
      <c r="D151" s="168">
        <f t="shared" si="54"/>
        <v>42388.600000000006</v>
      </c>
      <c r="E151" s="136">
        <f t="shared" si="53"/>
        <v>32275.9</v>
      </c>
      <c r="F151" s="168">
        <f>10110+378+155.7</f>
        <v>10643.7</v>
      </c>
      <c r="G151" s="168">
        <v>11149.7</v>
      </c>
      <c r="H151" s="142">
        <f>10110+372.5</f>
        <v>10482.5</v>
      </c>
      <c r="I151" s="143">
        <v>10112.7</v>
      </c>
      <c r="J151" s="143">
        <v>19801.6</v>
      </c>
      <c r="K151" s="137" t="e">
        <f>J151/#REF!*100</f>
        <v>#REF!</v>
      </c>
      <c r="L151" s="137">
        <f>J151/H151*100</f>
        <v>188.9015025041736</v>
      </c>
      <c r="M151" s="139"/>
      <c r="N151" s="139"/>
      <c r="O151" s="142">
        <f t="shared" si="57"/>
        <v>195.80922997814625</v>
      </c>
      <c r="P151" s="137">
        <f t="shared" si="55"/>
        <v>61.35103901053107</v>
      </c>
      <c r="Q151" s="143">
        <f t="shared" si="56"/>
        <v>46.71444680881179</v>
      </c>
    </row>
    <row r="152" spans="1:17" ht="12.75">
      <c r="A152" s="155" t="s">
        <v>2</v>
      </c>
      <c r="B152" s="155"/>
      <c r="C152" s="157" t="s">
        <v>19</v>
      </c>
      <c r="D152" s="168">
        <f>F152+G152+H152+I152</f>
        <v>0</v>
      </c>
      <c r="E152" s="141">
        <f>F152</f>
        <v>0</v>
      </c>
      <c r="F152" s="168"/>
      <c r="G152" s="168"/>
      <c r="H152" s="142"/>
      <c r="I152" s="143"/>
      <c r="J152" s="143"/>
      <c r="K152" s="137"/>
      <c r="L152" s="137"/>
      <c r="M152" s="139"/>
      <c r="N152" s="139"/>
      <c r="O152" s="142"/>
      <c r="P152" s="137"/>
      <c r="Q152" s="143"/>
    </row>
    <row r="153" spans="1:17" ht="12.75">
      <c r="A153" s="147"/>
      <c r="B153" s="163"/>
      <c r="C153" s="164" t="s">
        <v>4</v>
      </c>
      <c r="D153" s="133">
        <f aca="true" t="shared" si="59" ref="D153:J153">D150+D140</f>
        <v>56725.90000000001</v>
      </c>
      <c r="E153" s="133">
        <f t="shared" si="59"/>
        <v>43160.1</v>
      </c>
      <c r="F153" s="133">
        <f t="shared" si="59"/>
        <v>13353</v>
      </c>
      <c r="G153" s="133">
        <f t="shared" si="59"/>
        <v>15777.300000000001</v>
      </c>
      <c r="H153" s="133">
        <f t="shared" si="59"/>
        <v>14029.8</v>
      </c>
      <c r="I153" s="133">
        <f t="shared" si="59"/>
        <v>13565.800000000001</v>
      </c>
      <c r="J153" s="133">
        <f t="shared" si="59"/>
        <v>29161.6</v>
      </c>
      <c r="K153" s="154" t="e">
        <f>J153/#REF!*100</f>
        <v>#REF!</v>
      </c>
      <c r="L153" s="154">
        <f>J153/H153*100</f>
        <v>207.85470926171436</v>
      </c>
      <c r="M153" s="139"/>
      <c r="N153" s="165" t="e">
        <f>I153+#REF!+#REF!</f>
        <v>#REF!</v>
      </c>
      <c r="O153" s="131">
        <f t="shared" si="57"/>
        <v>214.96410090079462</v>
      </c>
      <c r="P153" s="154">
        <f t="shared" si="55"/>
        <v>67.56610851226017</v>
      </c>
      <c r="Q153" s="133">
        <f t="shared" si="56"/>
        <v>51.407910672197346</v>
      </c>
    </row>
    <row r="154" spans="1:17" ht="12.75">
      <c r="A154" s="188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90"/>
      <c r="M154" s="139"/>
      <c r="N154" s="139"/>
      <c r="O154" s="166"/>
      <c r="P154" s="154"/>
      <c r="Q154" s="133"/>
    </row>
    <row r="155" spans="1:17" ht="12.75">
      <c r="A155" s="187" t="s">
        <v>33</v>
      </c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54"/>
      <c r="Q155" s="133"/>
    </row>
    <row r="156" spans="1:17" ht="12.75">
      <c r="A156" s="151" t="s">
        <v>3</v>
      </c>
      <c r="B156" s="151"/>
      <c r="C156" s="167" t="s">
        <v>66</v>
      </c>
      <c r="D156" s="154">
        <f aca="true" t="shared" si="60" ref="D156:J156">D157+D158+D159+D160+D162+D163+D164+D161</f>
        <v>4552</v>
      </c>
      <c r="E156" s="154">
        <f t="shared" si="60"/>
        <v>3374.5</v>
      </c>
      <c r="F156" s="154">
        <f t="shared" si="60"/>
        <v>921.5</v>
      </c>
      <c r="G156" s="154">
        <f t="shared" si="60"/>
        <v>1573.5</v>
      </c>
      <c r="H156" s="154">
        <f t="shared" si="60"/>
        <v>879.5</v>
      </c>
      <c r="I156" s="154">
        <f t="shared" si="60"/>
        <v>1177.5</v>
      </c>
      <c r="J156" s="154">
        <f t="shared" si="60"/>
        <v>2867.7999999999997</v>
      </c>
      <c r="K156" s="154" t="e">
        <f>J156/#REF!*100</f>
        <v>#REF!</v>
      </c>
      <c r="L156" s="154">
        <f aca="true" t="shared" si="61" ref="L156:L162">J156/H156*100</f>
        <v>326.07163160886864</v>
      </c>
      <c r="M156" s="139"/>
      <c r="N156" s="139"/>
      <c r="O156" s="154">
        <f t="shared" si="57"/>
        <v>243.54989384288749</v>
      </c>
      <c r="P156" s="154">
        <f t="shared" si="55"/>
        <v>84.98444213957623</v>
      </c>
      <c r="Q156" s="133">
        <f t="shared" si="56"/>
        <v>63.00087873462214</v>
      </c>
    </row>
    <row r="157" spans="1:17" ht="12.75">
      <c r="A157" s="147" t="s">
        <v>23</v>
      </c>
      <c r="B157" s="147"/>
      <c r="C157" s="140" t="s">
        <v>22</v>
      </c>
      <c r="D157" s="168">
        <f>F157+G157+H157+I157</f>
        <v>3206</v>
      </c>
      <c r="E157" s="136">
        <f aca="true" t="shared" si="62" ref="E157:E167">F157+G157+H157</f>
        <v>2150</v>
      </c>
      <c r="F157" s="141">
        <v>570</v>
      </c>
      <c r="G157" s="141">
        <v>900</v>
      </c>
      <c r="H157" s="142">
        <v>680</v>
      </c>
      <c r="I157" s="143">
        <v>1056</v>
      </c>
      <c r="J157" s="143">
        <v>1750.8</v>
      </c>
      <c r="K157" s="137" t="e">
        <f>J157/#REF!*100</f>
        <v>#REF!</v>
      </c>
      <c r="L157" s="137">
        <f t="shared" si="61"/>
        <v>257.47058823529414</v>
      </c>
      <c r="M157" s="139"/>
      <c r="N157" s="139"/>
      <c r="O157" s="142">
        <f t="shared" si="57"/>
        <v>165.79545454545453</v>
      </c>
      <c r="P157" s="137">
        <f t="shared" si="55"/>
        <v>81.43255813953489</v>
      </c>
      <c r="Q157" s="143">
        <f t="shared" si="56"/>
        <v>54.610106051154084</v>
      </c>
    </row>
    <row r="158" spans="1:17" ht="12.75">
      <c r="A158" s="134" t="s">
        <v>9</v>
      </c>
      <c r="B158" s="134"/>
      <c r="C158" s="140" t="s">
        <v>6</v>
      </c>
      <c r="D158" s="168">
        <f aca="true" t="shared" si="63" ref="D158:D166">F158+G158+H158+I158</f>
        <v>300</v>
      </c>
      <c r="E158" s="136">
        <f t="shared" si="62"/>
        <v>247.5</v>
      </c>
      <c r="F158" s="141">
        <v>52.5</v>
      </c>
      <c r="G158" s="141">
        <v>52.5</v>
      </c>
      <c r="H158" s="142">
        <f>70+52.5+20</f>
        <v>142.5</v>
      </c>
      <c r="I158" s="143">
        <v>52.5</v>
      </c>
      <c r="J158" s="143">
        <v>201.1</v>
      </c>
      <c r="K158" s="137" t="e">
        <f>J158/#REF!*100</f>
        <v>#REF!</v>
      </c>
      <c r="L158" s="137">
        <f t="shared" si="61"/>
        <v>141.12280701754386</v>
      </c>
      <c r="M158" s="139"/>
      <c r="N158" s="139"/>
      <c r="O158" s="142">
        <f t="shared" si="57"/>
        <v>383.04761904761904</v>
      </c>
      <c r="P158" s="137">
        <f t="shared" si="55"/>
        <v>81.25252525252525</v>
      </c>
      <c r="Q158" s="143">
        <f t="shared" si="56"/>
        <v>67.03333333333333</v>
      </c>
    </row>
    <row r="159" spans="1:17" ht="12.75">
      <c r="A159" s="134" t="s">
        <v>10</v>
      </c>
      <c r="B159" s="134"/>
      <c r="C159" s="140" t="s">
        <v>21</v>
      </c>
      <c r="D159" s="168">
        <f t="shared" si="63"/>
        <v>80</v>
      </c>
      <c r="E159" s="136">
        <f t="shared" si="62"/>
        <v>60</v>
      </c>
      <c r="F159" s="141">
        <v>25</v>
      </c>
      <c r="G159" s="141">
        <v>15</v>
      </c>
      <c r="H159" s="142">
        <v>20</v>
      </c>
      <c r="I159" s="143">
        <v>20</v>
      </c>
      <c r="J159" s="143">
        <v>36</v>
      </c>
      <c r="K159" s="137" t="e">
        <f>J159/#REF!*100</f>
        <v>#REF!</v>
      </c>
      <c r="L159" s="137">
        <f t="shared" si="61"/>
        <v>180</v>
      </c>
      <c r="M159" s="139"/>
      <c r="N159" s="139"/>
      <c r="O159" s="142">
        <f t="shared" si="57"/>
        <v>180</v>
      </c>
      <c r="P159" s="137">
        <f t="shared" si="55"/>
        <v>60</v>
      </c>
      <c r="Q159" s="143">
        <f t="shared" si="56"/>
        <v>45</v>
      </c>
    </row>
    <row r="160" spans="1:17" ht="24">
      <c r="A160" s="144" t="s">
        <v>11</v>
      </c>
      <c r="B160" s="144"/>
      <c r="C160" s="140" t="s">
        <v>17</v>
      </c>
      <c r="D160" s="168">
        <f t="shared" si="63"/>
        <v>510</v>
      </c>
      <c r="E160" s="136">
        <f t="shared" si="62"/>
        <v>481</v>
      </c>
      <c r="F160" s="141">
        <v>27</v>
      </c>
      <c r="G160" s="141">
        <v>427</v>
      </c>
      <c r="H160" s="142">
        <v>27</v>
      </c>
      <c r="I160" s="143">
        <v>29</v>
      </c>
      <c r="J160" s="143">
        <v>450.1</v>
      </c>
      <c r="K160" s="137" t="e">
        <f>J160/#REF!*100</f>
        <v>#REF!</v>
      </c>
      <c r="L160" s="137">
        <f t="shared" si="61"/>
        <v>1667.0370370370372</v>
      </c>
      <c r="M160" s="139"/>
      <c r="N160" s="139"/>
      <c r="O160" s="142">
        <f t="shared" si="57"/>
        <v>1552.0689655172414</v>
      </c>
      <c r="P160" s="137">
        <f t="shared" si="55"/>
        <v>93.57588357588358</v>
      </c>
      <c r="Q160" s="143">
        <f t="shared" si="56"/>
        <v>88.25490196078431</v>
      </c>
    </row>
    <row r="161" spans="1:17" ht="12.75" customHeight="1" hidden="1">
      <c r="A161" s="146" t="s">
        <v>42</v>
      </c>
      <c r="B161" s="146"/>
      <c r="C161" s="140" t="s">
        <v>43</v>
      </c>
      <c r="D161" s="168">
        <f t="shared" si="63"/>
        <v>70</v>
      </c>
      <c r="E161" s="136">
        <f t="shared" si="62"/>
        <v>50</v>
      </c>
      <c r="F161" s="141">
        <v>10</v>
      </c>
      <c r="G161" s="141">
        <v>30</v>
      </c>
      <c r="H161" s="142">
        <v>10</v>
      </c>
      <c r="I161" s="143">
        <v>20</v>
      </c>
      <c r="J161" s="143">
        <v>43.2</v>
      </c>
      <c r="K161" s="137" t="e">
        <f>J161/#REF!*100</f>
        <v>#REF!</v>
      </c>
      <c r="L161" s="137">
        <f t="shared" si="61"/>
        <v>432</v>
      </c>
      <c r="M161" s="139"/>
      <c r="N161" s="139"/>
      <c r="O161" s="142">
        <f t="shared" si="57"/>
        <v>216</v>
      </c>
      <c r="P161" s="137">
        <f t="shared" si="55"/>
        <v>86.4</v>
      </c>
      <c r="Q161" s="143">
        <f t="shared" si="56"/>
        <v>61.714285714285715</v>
      </c>
    </row>
    <row r="162" spans="1:17" ht="14.25" customHeight="1">
      <c r="A162" s="145" t="s">
        <v>18</v>
      </c>
      <c r="B162" s="145"/>
      <c r="C162" s="140" t="s">
        <v>15</v>
      </c>
      <c r="D162" s="168">
        <f t="shared" si="63"/>
        <v>386</v>
      </c>
      <c r="E162" s="136">
        <f t="shared" si="62"/>
        <v>386</v>
      </c>
      <c r="F162" s="141">
        <v>237</v>
      </c>
      <c r="G162" s="141">
        <v>149</v>
      </c>
      <c r="H162" s="142"/>
      <c r="I162" s="143"/>
      <c r="J162" s="143">
        <v>386.6</v>
      </c>
      <c r="K162" s="137" t="e">
        <f>J162/#REF!*100</f>
        <v>#REF!</v>
      </c>
      <c r="L162" s="137" t="e">
        <f t="shared" si="61"/>
        <v>#DIV/0!</v>
      </c>
      <c r="M162" s="139"/>
      <c r="N162" s="139"/>
      <c r="O162" s="142" t="e">
        <f t="shared" si="57"/>
        <v>#DIV/0!</v>
      </c>
      <c r="P162" s="137">
        <f>J162*100/E162</f>
        <v>100.15544041450777</v>
      </c>
      <c r="Q162" s="143">
        <f>J162*100/D162</f>
        <v>100.15544041450777</v>
      </c>
    </row>
    <row r="163" spans="1:17" ht="12.75">
      <c r="A163" s="147" t="s">
        <v>12</v>
      </c>
      <c r="B163" s="147"/>
      <c r="C163" s="140" t="s">
        <v>7</v>
      </c>
      <c r="D163" s="168">
        <f t="shared" si="63"/>
        <v>0</v>
      </c>
      <c r="E163" s="136">
        <f t="shared" si="62"/>
        <v>0</v>
      </c>
      <c r="F163" s="141"/>
      <c r="G163" s="141"/>
      <c r="H163" s="142"/>
      <c r="I163" s="143"/>
      <c r="J163" s="143"/>
      <c r="K163" s="137"/>
      <c r="L163" s="137"/>
      <c r="M163" s="139"/>
      <c r="N163" s="139"/>
      <c r="O163" s="142" t="e">
        <f t="shared" si="57"/>
        <v>#DIV/0!</v>
      </c>
      <c r="P163" s="137" t="e">
        <f>J163*100/E163</f>
        <v>#DIV/0!</v>
      </c>
      <c r="Q163" s="143" t="e">
        <f>J163*100/D163</f>
        <v>#DIV/0!</v>
      </c>
    </row>
    <row r="164" spans="1:17" ht="12.75">
      <c r="A164" s="171" t="s">
        <v>39</v>
      </c>
      <c r="B164" s="149"/>
      <c r="C164" s="150" t="s">
        <v>40</v>
      </c>
      <c r="D164" s="168">
        <f t="shared" si="63"/>
        <v>0</v>
      </c>
      <c r="E164" s="136">
        <f t="shared" si="62"/>
        <v>0</v>
      </c>
      <c r="F164" s="141"/>
      <c r="G164" s="141"/>
      <c r="H164" s="142"/>
      <c r="I164" s="143"/>
      <c r="J164" s="143">
        <v>0</v>
      </c>
      <c r="K164" s="137"/>
      <c r="L164" s="137"/>
      <c r="M164" s="139"/>
      <c r="N164" s="139"/>
      <c r="O164" s="142" t="e">
        <f t="shared" si="57"/>
        <v>#DIV/0!</v>
      </c>
      <c r="P164" s="154"/>
      <c r="Q164" s="133"/>
    </row>
    <row r="165" spans="1:17" ht="16.5" customHeight="1">
      <c r="A165" s="151" t="s">
        <v>1</v>
      </c>
      <c r="B165" s="151"/>
      <c r="C165" s="152" t="s">
        <v>0</v>
      </c>
      <c r="D165" s="153">
        <f aca="true" t="shared" si="64" ref="D165:J165">D166+D167</f>
        <v>29383.9</v>
      </c>
      <c r="E165" s="181">
        <f t="shared" si="64"/>
        <v>23990.9</v>
      </c>
      <c r="F165" s="181">
        <f t="shared" si="64"/>
        <v>8356.7</v>
      </c>
      <c r="G165" s="181">
        <f t="shared" si="64"/>
        <v>6773.8</v>
      </c>
      <c r="H165" s="153">
        <f t="shared" si="64"/>
        <v>8860.4</v>
      </c>
      <c r="I165" s="153">
        <f t="shared" si="64"/>
        <v>5393</v>
      </c>
      <c r="J165" s="153">
        <f t="shared" si="64"/>
        <v>16702.4</v>
      </c>
      <c r="K165" s="154" t="e">
        <f>J165/#REF!*100</f>
        <v>#REF!</v>
      </c>
      <c r="L165" s="154">
        <f>J165/H165*100</f>
        <v>188.5061622500113</v>
      </c>
      <c r="M165" s="139"/>
      <c r="N165" s="139"/>
      <c r="O165" s="131">
        <f t="shared" si="57"/>
        <v>309.70517337289084</v>
      </c>
      <c r="P165" s="154">
        <f t="shared" si="55"/>
        <v>69.61973081460054</v>
      </c>
      <c r="Q165" s="133">
        <f t="shared" si="56"/>
        <v>56.84201212228466</v>
      </c>
    </row>
    <row r="166" spans="1:17" ht="24">
      <c r="A166" s="155" t="s">
        <v>65</v>
      </c>
      <c r="B166" s="134"/>
      <c r="C166" s="156" t="s">
        <v>20</v>
      </c>
      <c r="D166" s="168">
        <f t="shared" si="63"/>
        <v>29333.9</v>
      </c>
      <c r="E166" s="136">
        <f t="shared" si="62"/>
        <v>23940.9</v>
      </c>
      <c r="F166" s="141">
        <f>4403.5+3953.2</f>
        <v>8356.7</v>
      </c>
      <c r="G166" s="141">
        <v>6723.8</v>
      </c>
      <c r="H166" s="142">
        <f>8648.6+211.8</f>
        <v>8860.4</v>
      </c>
      <c r="I166" s="143">
        <v>5393</v>
      </c>
      <c r="J166" s="143">
        <v>16652.4</v>
      </c>
      <c r="K166" s="137" t="e">
        <f>J166/#REF!*100</f>
        <v>#REF!</v>
      </c>
      <c r="L166" s="137">
        <f>J166/H166*100</f>
        <v>187.94185364091916</v>
      </c>
      <c r="M166" s="139"/>
      <c r="N166" s="139"/>
      <c r="O166" s="142">
        <f t="shared" si="57"/>
        <v>308.77804561468577</v>
      </c>
      <c r="P166" s="137">
        <f t="shared" si="55"/>
        <v>69.55628234527525</v>
      </c>
      <c r="Q166" s="143">
        <f t="shared" si="56"/>
        <v>56.76844879133017</v>
      </c>
    </row>
    <row r="167" spans="1:17" ht="12.75">
      <c r="A167" s="155" t="s">
        <v>2</v>
      </c>
      <c r="B167" s="155"/>
      <c r="C167" s="157" t="s">
        <v>19</v>
      </c>
      <c r="D167" s="168">
        <f>F167+G167+H167+I167</f>
        <v>50</v>
      </c>
      <c r="E167" s="136">
        <f t="shared" si="62"/>
        <v>50</v>
      </c>
      <c r="F167" s="158"/>
      <c r="G167" s="158">
        <v>50</v>
      </c>
      <c r="H167" s="142"/>
      <c r="I167" s="143"/>
      <c r="J167" s="143">
        <v>50</v>
      </c>
      <c r="K167" s="137" t="e">
        <f>J167/#REF!*100</f>
        <v>#REF!</v>
      </c>
      <c r="L167" s="137"/>
      <c r="M167" s="139"/>
      <c r="N167" s="139"/>
      <c r="O167" s="142" t="e">
        <f t="shared" si="57"/>
        <v>#DIV/0!</v>
      </c>
      <c r="P167" s="137"/>
      <c r="Q167" s="143"/>
    </row>
    <row r="168" spans="1:17" ht="12.75">
      <c r="A168" s="147"/>
      <c r="B168" s="163"/>
      <c r="C168" s="164" t="s">
        <v>4</v>
      </c>
      <c r="D168" s="133">
        <f aca="true" t="shared" si="65" ref="D168:J168">D165+D156</f>
        <v>33935.9</v>
      </c>
      <c r="E168" s="133">
        <f t="shared" si="65"/>
        <v>27365.4</v>
      </c>
      <c r="F168" s="133">
        <f t="shared" si="65"/>
        <v>9278.2</v>
      </c>
      <c r="G168" s="133">
        <f t="shared" si="65"/>
        <v>8347.3</v>
      </c>
      <c r="H168" s="133">
        <f t="shared" si="65"/>
        <v>9739.9</v>
      </c>
      <c r="I168" s="133">
        <f t="shared" si="65"/>
        <v>6570.5</v>
      </c>
      <c r="J168" s="133">
        <f t="shared" si="65"/>
        <v>19570.2</v>
      </c>
      <c r="K168" s="154" t="e">
        <f>J168/#REF!*100</f>
        <v>#REF!</v>
      </c>
      <c r="L168" s="154">
        <f>J168/H168*100</f>
        <v>200.9281409460056</v>
      </c>
      <c r="M168" s="139"/>
      <c r="N168" s="165" t="e">
        <f>I168+#REF!+#REF!</f>
        <v>#REF!</v>
      </c>
      <c r="O168" s="131">
        <f t="shared" si="57"/>
        <v>297.8494787306902</v>
      </c>
      <c r="P168" s="154">
        <f t="shared" si="55"/>
        <v>71.51439408888596</v>
      </c>
      <c r="Q168" s="133">
        <f t="shared" si="56"/>
        <v>57.668133156922316</v>
      </c>
    </row>
    <row r="169" spans="1:17" ht="12.75">
      <c r="A169" s="188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90"/>
      <c r="M169" s="139"/>
      <c r="N169" s="139"/>
      <c r="O169" s="166"/>
      <c r="P169" s="154"/>
      <c r="Q169" s="133"/>
    </row>
    <row r="170" spans="1:17" ht="12.75">
      <c r="A170" s="187" t="s">
        <v>34</v>
      </c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54"/>
      <c r="Q170" s="133"/>
    </row>
    <row r="171" spans="1:17" ht="12.75" customHeight="1" hidden="1">
      <c r="A171" s="151" t="s">
        <v>3</v>
      </c>
      <c r="B171" s="151"/>
      <c r="C171" s="167" t="s">
        <v>66</v>
      </c>
      <c r="D171" s="154">
        <f aca="true" t="shared" si="66" ref="D171:J171">D172+D173+D174+D175+D176+D178+D180+D179+D177</f>
        <v>16620.5</v>
      </c>
      <c r="E171" s="154">
        <f t="shared" si="66"/>
        <v>13396</v>
      </c>
      <c r="F171" s="154">
        <f t="shared" si="66"/>
        <v>3038</v>
      </c>
      <c r="G171" s="154">
        <f t="shared" si="66"/>
        <v>6933.5</v>
      </c>
      <c r="H171" s="154">
        <f t="shared" si="66"/>
        <v>3424.5</v>
      </c>
      <c r="I171" s="154">
        <f t="shared" si="66"/>
        <v>3224.5</v>
      </c>
      <c r="J171" s="154">
        <f t="shared" si="66"/>
        <v>11728</v>
      </c>
      <c r="K171" s="154" t="e">
        <f>J171/#REF!*100</f>
        <v>#REF!</v>
      </c>
      <c r="L171" s="154">
        <f>J171/H171*100</f>
        <v>342.4733537742736</v>
      </c>
      <c r="M171" s="139"/>
      <c r="N171" s="139"/>
      <c r="O171" s="154">
        <f t="shared" si="57"/>
        <v>363.71530469840286</v>
      </c>
      <c r="P171" s="154">
        <f t="shared" si="55"/>
        <v>87.5485219468498</v>
      </c>
      <c r="Q171" s="133">
        <f t="shared" si="56"/>
        <v>70.56346078637827</v>
      </c>
    </row>
    <row r="172" spans="1:17" ht="12.75">
      <c r="A172" s="147" t="s">
        <v>23</v>
      </c>
      <c r="B172" s="147"/>
      <c r="C172" s="140" t="s">
        <v>22</v>
      </c>
      <c r="D172" s="168">
        <f>F172+G172+H172+I172</f>
        <v>14220</v>
      </c>
      <c r="E172" s="136">
        <f aca="true" t="shared" si="67" ref="E172:E183">F172+G172+H172</f>
        <v>11812.5</v>
      </c>
      <c r="F172" s="168">
        <v>2900</v>
      </c>
      <c r="G172" s="168">
        <v>6161</v>
      </c>
      <c r="H172" s="142">
        <v>2751.5</v>
      </c>
      <c r="I172" s="143">
        <v>2407.5</v>
      </c>
      <c r="J172" s="143">
        <v>10634</v>
      </c>
      <c r="K172" s="137" t="e">
        <f>J172/#REF!*100</f>
        <v>#REF!</v>
      </c>
      <c r="L172" s="137">
        <f>J172/H172*100</f>
        <v>386.4801017626749</v>
      </c>
      <c r="M172" s="139"/>
      <c r="N172" s="139"/>
      <c r="O172" s="142">
        <f t="shared" si="57"/>
        <v>441.7030114226376</v>
      </c>
      <c r="P172" s="137">
        <f t="shared" si="55"/>
        <v>90.02328042328043</v>
      </c>
      <c r="Q172" s="143">
        <f t="shared" si="56"/>
        <v>74.78199718706048</v>
      </c>
    </row>
    <row r="173" spans="1:17" ht="12.75">
      <c r="A173" s="134" t="s">
        <v>8</v>
      </c>
      <c r="B173" s="134"/>
      <c r="C173" s="140" t="s">
        <v>5</v>
      </c>
      <c r="D173" s="168">
        <f aca="true" t="shared" si="68" ref="D173:D182">F173+G173+H173+I173</f>
        <v>0</v>
      </c>
      <c r="E173" s="136">
        <f t="shared" si="67"/>
        <v>0</v>
      </c>
      <c r="F173" s="168"/>
      <c r="G173" s="168"/>
      <c r="H173" s="142"/>
      <c r="I173" s="143"/>
      <c r="J173" s="143"/>
      <c r="K173" s="137"/>
      <c r="L173" s="137"/>
      <c r="M173" s="139"/>
      <c r="N173" s="139"/>
      <c r="O173" s="142" t="e">
        <f t="shared" si="57"/>
        <v>#DIV/0!</v>
      </c>
      <c r="P173" s="137"/>
      <c r="Q173" s="143"/>
    </row>
    <row r="174" spans="1:17" ht="12.75">
      <c r="A174" s="134" t="s">
        <v>9</v>
      </c>
      <c r="B174" s="134"/>
      <c r="C174" s="140" t="s">
        <v>6</v>
      </c>
      <c r="D174" s="168">
        <f t="shared" si="68"/>
        <v>1827</v>
      </c>
      <c r="E174" s="136">
        <f t="shared" si="67"/>
        <v>1193</v>
      </c>
      <c r="F174" s="168">
        <f>20+3+30</f>
        <v>53</v>
      </c>
      <c r="G174" s="168">
        <v>625</v>
      </c>
      <c r="H174" s="142">
        <v>515</v>
      </c>
      <c r="I174" s="143">
        <v>634</v>
      </c>
      <c r="J174" s="143">
        <v>725.4</v>
      </c>
      <c r="K174" s="137" t="e">
        <f>J174/#REF!*100</f>
        <v>#REF!</v>
      </c>
      <c r="L174" s="137">
        <f>J174/H174*100</f>
        <v>140.85436893203882</v>
      </c>
      <c r="M174" s="139"/>
      <c r="N174" s="139"/>
      <c r="O174" s="142">
        <f t="shared" si="57"/>
        <v>114.41640378548895</v>
      </c>
      <c r="P174" s="137">
        <f t="shared" si="55"/>
        <v>60.80469404861693</v>
      </c>
      <c r="Q174" s="143">
        <f t="shared" si="56"/>
        <v>39.70443349753695</v>
      </c>
    </row>
    <row r="175" spans="1:17" ht="12.75">
      <c r="A175" s="134" t="s">
        <v>10</v>
      </c>
      <c r="B175" s="134"/>
      <c r="C175" s="140" t="s">
        <v>21</v>
      </c>
      <c r="D175" s="168">
        <f t="shared" si="68"/>
        <v>116</v>
      </c>
      <c r="E175" s="136">
        <f t="shared" si="67"/>
        <v>95</v>
      </c>
      <c r="F175" s="168">
        <v>15</v>
      </c>
      <c r="G175" s="168">
        <v>35</v>
      </c>
      <c r="H175" s="142">
        <v>45</v>
      </c>
      <c r="I175" s="143">
        <v>21</v>
      </c>
      <c r="J175" s="143">
        <v>78.4</v>
      </c>
      <c r="K175" s="137" t="e">
        <f>J175/#REF!*100</f>
        <v>#REF!</v>
      </c>
      <c r="L175" s="137">
        <f>J175/H175*100</f>
        <v>174.22222222222223</v>
      </c>
      <c r="M175" s="139"/>
      <c r="N175" s="139"/>
      <c r="O175" s="142">
        <f t="shared" si="57"/>
        <v>373.33333333333337</v>
      </c>
      <c r="P175" s="137">
        <f t="shared" si="55"/>
        <v>82.5263157894737</v>
      </c>
      <c r="Q175" s="143">
        <f t="shared" si="56"/>
        <v>67.58620689655173</v>
      </c>
    </row>
    <row r="176" spans="1:17" ht="24">
      <c r="A176" s="144" t="s">
        <v>11</v>
      </c>
      <c r="B176" s="144"/>
      <c r="C176" s="140" t="s">
        <v>17</v>
      </c>
      <c r="D176" s="168">
        <f t="shared" si="68"/>
        <v>341</v>
      </c>
      <c r="E176" s="136">
        <f t="shared" si="67"/>
        <v>239</v>
      </c>
      <c r="F176" s="168">
        <f>25+30</f>
        <v>55</v>
      </c>
      <c r="G176" s="168">
        <f>43+48</f>
        <v>91</v>
      </c>
      <c r="H176" s="142">
        <f>45+48</f>
        <v>93</v>
      </c>
      <c r="I176" s="143">
        <f>54+48</f>
        <v>102</v>
      </c>
      <c r="J176" s="143">
        <v>249.6</v>
      </c>
      <c r="K176" s="137" t="e">
        <f>J176/#REF!*100</f>
        <v>#REF!</v>
      </c>
      <c r="L176" s="137">
        <f>J176/H176*100</f>
        <v>268.38709677419354</v>
      </c>
      <c r="M176" s="139"/>
      <c r="N176" s="139"/>
      <c r="O176" s="142">
        <f t="shared" si="57"/>
        <v>244.7058823529412</v>
      </c>
      <c r="P176" s="137">
        <f t="shared" si="55"/>
        <v>104.43514644351464</v>
      </c>
      <c r="Q176" s="143">
        <f t="shared" si="56"/>
        <v>73.19648093841643</v>
      </c>
    </row>
    <row r="177" spans="1:17" ht="18" customHeight="1" hidden="1">
      <c r="A177" s="145" t="s">
        <v>42</v>
      </c>
      <c r="B177" s="146"/>
      <c r="C177" s="140" t="s">
        <v>43</v>
      </c>
      <c r="D177" s="168">
        <f t="shared" si="68"/>
        <v>113.5</v>
      </c>
      <c r="E177" s="136">
        <f t="shared" si="67"/>
        <v>53.5</v>
      </c>
      <c r="F177" s="168">
        <v>15</v>
      </c>
      <c r="G177" s="168">
        <v>18.5</v>
      </c>
      <c r="H177" s="142">
        <v>20</v>
      </c>
      <c r="I177" s="143">
        <v>60</v>
      </c>
      <c r="J177" s="143">
        <v>37.6</v>
      </c>
      <c r="K177" s="137" t="e">
        <f>J177/#REF!*100</f>
        <v>#REF!</v>
      </c>
      <c r="L177" s="137">
        <f>J177/H177*100</f>
        <v>188</v>
      </c>
      <c r="M177" s="139"/>
      <c r="N177" s="139"/>
      <c r="O177" s="142">
        <f t="shared" si="57"/>
        <v>62.666666666666664</v>
      </c>
      <c r="P177" s="137">
        <f t="shared" si="55"/>
        <v>70.2803738317757</v>
      </c>
      <c r="Q177" s="143">
        <f t="shared" si="56"/>
        <v>33.12775330396476</v>
      </c>
    </row>
    <row r="178" spans="1:17" ht="11.25" customHeight="1">
      <c r="A178" s="145" t="s">
        <v>18</v>
      </c>
      <c r="B178" s="146"/>
      <c r="C178" s="140" t="s">
        <v>15</v>
      </c>
      <c r="D178" s="168">
        <f t="shared" si="68"/>
        <v>3</v>
      </c>
      <c r="E178" s="136">
        <f t="shared" si="67"/>
        <v>3</v>
      </c>
      <c r="F178" s="168"/>
      <c r="G178" s="168">
        <v>3</v>
      </c>
      <c r="H178" s="142"/>
      <c r="I178" s="143"/>
      <c r="J178" s="143">
        <v>3</v>
      </c>
      <c r="K178" s="137" t="e">
        <f>J178/#REF!*100</f>
        <v>#REF!</v>
      </c>
      <c r="L178" s="137" t="e">
        <f>J178/H178*100</f>
        <v>#DIV/0!</v>
      </c>
      <c r="M178" s="139"/>
      <c r="N178" s="139"/>
      <c r="O178" s="142" t="e">
        <f t="shared" si="57"/>
        <v>#DIV/0!</v>
      </c>
      <c r="P178" s="137"/>
      <c r="Q178" s="143"/>
    </row>
    <row r="179" spans="1:17" ht="12.75">
      <c r="A179" s="147" t="s">
        <v>12</v>
      </c>
      <c r="B179" s="147"/>
      <c r="C179" s="140" t="s">
        <v>7</v>
      </c>
      <c r="D179" s="168">
        <f t="shared" si="68"/>
        <v>0</v>
      </c>
      <c r="E179" s="136">
        <f t="shared" si="67"/>
        <v>0</v>
      </c>
      <c r="F179" s="168"/>
      <c r="G179" s="168"/>
      <c r="H179" s="142"/>
      <c r="I179" s="143"/>
      <c r="J179" s="143"/>
      <c r="K179" s="137" t="e">
        <f>J179/#REF!*100</f>
        <v>#REF!</v>
      </c>
      <c r="L179" s="137"/>
      <c r="M179" s="139"/>
      <c r="N179" s="139"/>
      <c r="O179" s="142" t="e">
        <f t="shared" si="57"/>
        <v>#DIV/0!</v>
      </c>
      <c r="P179" s="137"/>
      <c r="Q179" s="143"/>
    </row>
    <row r="180" spans="1:17" ht="12.75">
      <c r="A180" s="171" t="s">
        <v>39</v>
      </c>
      <c r="B180" s="149"/>
      <c r="C180" s="150" t="s">
        <v>40</v>
      </c>
      <c r="D180" s="168">
        <f t="shared" si="68"/>
        <v>0</v>
      </c>
      <c r="E180" s="136">
        <f t="shared" si="67"/>
        <v>0</v>
      </c>
      <c r="F180" s="182"/>
      <c r="G180" s="182"/>
      <c r="H180" s="142"/>
      <c r="I180" s="143"/>
      <c r="J180" s="143"/>
      <c r="K180" s="137" t="e">
        <f>J180/#REF!*100</f>
        <v>#REF!</v>
      </c>
      <c r="L180" s="137"/>
      <c r="M180" s="139"/>
      <c r="N180" s="139"/>
      <c r="O180" s="142" t="e">
        <f t="shared" si="57"/>
        <v>#DIV/0!</v>
      </c>
      <c r="P180" s="154"/>
      <c r="Q180" s="133"/>
    </row>
    <row r="181" spans="1:17" ht="12.75">
      <c r="A181" s="129" t="s">
        <v>1</v>
      </c>
      <c r="B181" s="151"/>
      <c r="C181" s="152" t="s">
        <v>0</v>
      </c>
      <c r="D181" s="131">
        <f>D182+D183</f>
        <v>40107.2</v>
      </c>
      <c r="E181" s="131">
        <f aca="true" t="shared" si="69" ref="E181:O181">E182+E183</f>
        <v>33190.1</v>
      </c>
      <c r="F181" s="131">
        <f t="shared" si="69"/>
        <v>8653.4</v>
      </c>
      <c r="G181" s="131">
        <f t="shared" si="69"/>
        <v>10200</v>
      </c>
      <c r="H181" s="131">
        <f t="shared" si="69"/>
        <v>14336.699999999999</v>
      </c>
      <c r="I181" s="131">
        <f t="shared" si="69"/>
        <v>6917.1</v>
      </c>
      <c r="J181" s="131">
        <f t="shared" si="69"/>
        <v>22115.9</v>
      </c>
      <c r="K181" s="131" t="e">
        <f t="shared" si="69"/>
        <v>#REF!</v>
      </c>
      <c r="L181" s="131">
        <f t="shared" si="69"/>
        <v>152.16821165261186</v>
      </c>
      <c r="M181" s="131">
        <f t="shared" si="69"/>
        <v>0</v>
      </c>
      <c r="N181" s="131">
        <f t="shared" si="69"/>
        <v>0</v>
      </c>
      <c r="O181" s="131">
        <f t="shared" si="69"/>
        <v>315.39084298333114</v>
      </c>
      <c r="P181" s="154">
        <f t="shared" si="55"/>
        <v>66.63402641149018</v>
      </c>
      <c r="Q181" s="133">
        <f t="shared" si="56"/>
        <v>55.141969521681894</v>
      </c>
    </row>
    <row r="182" spans="1:17" ht="24">
      <c r="A182" s="183" t="s">
        <v>65</v>
      </c>
      <c r="B182" s="134"/>
      <c r="C182" s="156" t="s">
        <v>20</v>
      </c>
      <c r="D182" s="168">
        <f t="shared" si="68"/>
        <v>39807.2</v>
      </c>
      <c r="E182" s="136">
        <f t="shared" si="67"/>
        <v>32890.1</v>
      </c>
      <c r="F182" s="168">
        <v>8653.4</v>
      </c>
      <c r="G182" s="168">
        <v>9900</v>
      </c>
      <c r="H182" s="142">
        <f>14151.3+185.4</f>
        <v>14336.699999999999</v>
      </c>
      <c r="I182" s="143">
        <v>6917.1</v>
      </c>
      <c r="J182" s="143">
        <v>21815.9</v>
      </c>
      <c r="K182" s="137" t="e">
        <f>J182/#REF!*100</f>
        <v>#REF!</v>
      </c>
      <c r="L182" s="137">
        <f>J182/H182*100</f>
        <v>152.16821165261186</v>
      </c>
      <c r="M182" s="139"/>
      <c r="N182" s="139"/>
      <c r="O182" s="142">
        <f t="shared" si="57"/>
        <v>315.39084298333114</v>
      </c>
      <c r="P182" s="137">
        <f t="shared" si="55"/>
        <v>66.32968583251495</v>
      </c>
      <c r="Q182" s="143">
        <f t="shared" si="56"/>
        <v>54.803904821238376</v>
      </c>
    </row>
    <row r="183" spans="1:17" ht="12.75">
      <c r="A183" s="155" t="s">
        <v>2</v>
      </c>
      <c r="B183" s="155"/>
      <c r="C183" s="157" t="s">
        <v>19</v>
      </c>
      <c r="D183" s="168">
        <f>F183+G183+H183+I183</f>
        <v>300</v>
      </c>
      <c r="E183" s="136">
        <f t="shared" si="67"/>
        <v>300</v>
      </c>
      <c r="F183" s="168"/>
      <c r="G183" s="168">
        <v>300</v>
      </c>
      <c r="H183" s="142"/>
      <c r="I183" s="143"/>
      <c r="J183" s="143">
        <v>300</v>
      </c>
      <c r="K183" s="137"/>
      <c r="L183" s="137"/>
      <c r="M183" s="139"/>
      <c r="N183" s="139"/>
      <c r="O183" s="142"/>
      <c r="P183" s="137"/>
      <c r="Q183" s="143"/>
    </row>
    <row r="184" spans="1:17" ht="12.75">
      <c r="A184" s="147"/>
      <c r="B184" s="163"/>
      <c r="C184" s="164" t="s">
        <v>4</v>
      </c>
      <c r="D184" s="133">
        <f aca="true" t="shared" si="70" ref="D184:J184">D181+D171</f>
        <v>56727.7</v>
      </c>
      <c r="E184" s="133">
        <f t="shared" si="70"/>
        <v>46586.1</v>
      </c>
      <c r="F184" s="133">
        <f t="shared" si="70"/>
        <v>11691.4</v>
      </c>
      <c r="G184" s="133">
        <f t="shared" si="70"/>
        <v>17133.5</v>
      </c>
      <c r="H184" s="133">
        <f t="shared" si="70"/>
        <v>17761.199999999997</v>
      </c>
      <c r="I184" s="133">
        <f t="shared" si="70"/>
        <v>10141.6</v>
      </c>
      <c r="J184" s="133">
        <f t="shared" si="70"/>
        <v>33843.9</v>
      </c>
      <c r="K184" s="154" t="e">
        <f>J184/#REF!*100</f>
        <v>#REF!</v>
      </c>
      <c r="L184" s="154">
        <f>J184/H184*100</f>
        <v>190.54962502533616</v>
      </c>
      <c r="M184" s="139"/>
      <c r="N184" s="165" t="e">
        <f>I184+#REF!+#REF!</f>
        <v>#REF!</v>
      </c>
      <c r="O184" s="131">
        <f t="shared" si="57"/>
        <v>333.7136152086456</v>
      </c>
      <c r="P184" s="154">
        <f t="shared" si="55"/>
        <v>72.64806455144345</v>
      </c>
      <c r="Q184" s="133">
        <f t="shared" si="56"/>
        <v>59.660271789619536</v>
      </c>
    </row>
    <row r="185" spans="1:17" ht="12.75">
      <c r="A185" s="188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90"/>
      <c r="M185" s="139"/>
      <c r="N185" s="139"/>
      <c r="O185" s="166"/>
      <c r="P185" s="154"/>
      <c r="Q185" s="133"/>
    </row>
    <row r="186" spans="1:17" ht="12.75">
      <c r="A186" s="187" t="s">
        <v>35</v>
      </c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54"/>
      <c r="Q186" s="133"/>
    </row>
    <row r="187" spans="1:17" ht="12.75">
      <c r="A187" s="151" t="s">
        <v>3</v>
      </c>
      <c r="B187" s="151"/>
      <c r="C187" s="167" t="s">
        <v>66</v>
      </c>
      <c r="D187" s="154">
        <f aca="true" t="shared" si="71" ref="D187:J187">D188+D190+D192+D193+D191+D194+D195+D189</f>
        <v>1291.3</v>
      </c>
      <c r="E187" s="154">
        <f t="shared" si="71"/>
        <v>903.3000000000001</v>
      </c>
      <c r="F187" s="154">
        <f t="shared" si="71"/>
        <v>211</v>
      </c>
      <c r="G187" s="154">
        <f t="shared" si="71"/>
        <v>416.40000000000003</v>
      </c>
      <c r="H187" s="154">
        <f t="shared" si="71"/>
        <v>275.9</v>
      </c>
      <c r="I187" s="154">
        <f t="shared" si="71"/>
        <v>388</v>
      </c>
      <c r="J187" s="154">
        <f t="shared" si="71"/>
        <v>886.1999999999999</v>
      </c>
      <c r="K187" s="154" t="e">
        <f>J187/#REF!*100</f>
        <v>#REF!</v>
      </c>
      <c r="L187" s="154">
        <f aca="true" t="shared" si="72" ref="L187:L193">J187/H187*100</f>
        <v>321.20333454150057</v>
      </c>
      <c r="M187" s="139"/>
      <c r="N187" s="139"/>
      <c r="O187" s="154">
        <f t="shared" si="57"/>
        <v>228.4020618556701</v>
      </c>
      <c r="P187" s="154">
        <f t="shared" si="55"/>
        <v>98.106941215543</v>
      </c>
      <c r="Q187" s="133">
        <f t="shared" si="56"/>
        <v>68.62851390072021</v>
      </c>
    </row>
    <row r="188" spans="1:17" ht="12.75">
      <c r="A188" s="147" t="s">
        <v>23</v>
      </c>
      <c r="B188" s="147"/>
      <c r="C188" s="140" t="s">
        <v>22</v>
      </c>
      <c r="D188" s="168">
        <f>F188+G188+H188+I188</f>
        <v>1015</v>
      </c>
      <c r="E188" s="136">
        <f aca="true" t="shared" si="73" ref="E188:E197">F188+G188+H188</f>
        <v>710</v>
      </c>
      <c r="F188" s="168">
        <v>190</v>
      </c>
      <c r="G188" s="168">
        <v>285</v>
      </c>
      <c r="H188" s="142">
        <v>235</v>
      </c>
      <c r="I188" s="142">
        <v>305</v>
      </c>
      <c r="J188" s="143">
        <v>696.3</v>
      </c>
      <c r="K188" s="137" t="e">
        <f>J188/#REF!*100</f>
        <v>#REF!</v>
      </c>
      <c r="L188" s="137">
        <f t="shared" si="72"/>
        <v>296.29787234042556</v>
      </c>
      <c r="M188" s="139"/>
      <c r="N188" s="139"/>
      <c r="O188" s="142">
        <f t="shared" si="57"/>
        <v>228.29508196721312</v>
      </c>
      <c r="P188" s="137">
        <f t="shared" si="55"/>
        <v>98.07042253521126</v>
      </c>
      <c r="Q188" s="143">
        <f t="shared" si="56"/>
        <v>68.60098522167488</v>
      </c>
    </row>
    <row r="189" spans="1:17" ht="12.75">
      <c r="A189" s="134" t="s">
        <v>8</v>
      </c>
      <c r="B189" s="184" t="s">
        <v>55</v>
      </c>
      <c r="C189" s="140" t="s">
        <v>5</v>
      </c>
      <c r="D189" s="168">
        <f aca="true" t="shared" si="74" ref="D189:D197">F189+G189+H189+I189</f>
        <v>6.6</v>
      </c>
      <c r="E189" s="136">
        <f t="shared" si="73"/>
        <v>6.6</v>
      </c>
      <c r="F189" s="168"/>
      <c r="G189" s="168">
        <v>6.6</v>
      </c>
      <c r="H189" s="142"/>
      <c r="I189" s="142"/>
      <c r="J189" s="143">
        <v>6.6</v>
      </c>
      <c r="K189" s="137" t="e">
        <f>J189/#REF!*100</f>
        <v>#REF!</v>
      </c>
      <c r="L189" s="137"/>
      <c r="M189" s="139"/>
      <c r="N189" s="139"/>
      <c r="O189" s="142" t="e">
        <f t="shared" si="57"/>
        <v>#DIV/0!</v>
      </c>
      <c r="P189" s="137"/>
      <c r="Q189" s="143">
        <f t="shared" si="56"/>
        <v>100</v>
      </c>
    </row>
    <row r="190" spans="1:17" ht="12.75">
      <c r="A190" s="134" t="s">
        <v>9</v>
      </c>
      <c r="B190" s="134"/>
      <c r="C190" s="140" t="s">
        <v>6</v>
      </c>
      <c r="D190" s="168">
        <f t="shared" si="74"/>
        <v>169.7</v>
      </c>
      <c r="E190" s="136">
        <f t="shared" si="73"/>
        <v>116.7</v>
      </c>
      <c r="F190" s="168">
        <f>3+1</f>
        <v>4</v>
      </c>
      <c r="G190" s="168">
        <v>97.8</v>
      </c>
      <c r="H190" s="142">
        <f>6+0.9+8</f>
        <v>14.9</v>
      </c>
      <c r="I190" s="142">
        <f>37+16</f>
        <v>53</v>
      </c>
      <c r="J190" s="143">
        <v>122.9</v>
      </c>
      <c r="K190" s="137" t="e">
        <f>J190/#REF!*100</f>
        <v>#REF!</v>
      </c>
      <c r="L190" s="137">
        <f t="shared" si="72"/>
        <v>824.8322147651006</v>
      </c>
      <c r="M190" s="139"/>
      <c r="N190" s="139"/>
      <c r="O190" s="142">
        <f t="shared" si="57"/>
        <v>231.88679245283018</v>
      </c>
      <c r="P190" s="137">
        <f t="shared" si="55"/>
        <v>105.3127677806341</v>
      </c>
      <c r="Q190" s="143">
        <f t="shared" si="56"/>
        <v>72.42192103712433</v>
      </c>
    </row>
    <row r="191" spans="1:17" ht="12.75" customHeight="1" hidden="1">
      <c r="A191" s="134" t="s">
        <v>10</v>
      </c>
      <c r="B191" s="134"/>
      <c r="C191" s="140" t="s">
        <v>21</v>
      </c>
      <c r="D191" s="168">
        <f t="shared" si="74"/>
        <v>35</v>
      </c>
      <c r="E191" s="136">
        <f t="shared" si="73"/>
        <v>22</v>
      </c>
      <c r="F191" s="168">
        <v>1</v>
      </c>
      <c r="G191" s="168">
        <v>11</v>
      </c>
      <c r="H191" s="142">
        <v>10</v>
      </c>
      <c r="I191" s="142">
        <v>13</v>
      </c>
      <c r="J191" s="143">
        <v>20.6</v>
      </c>
      <c r="K191" s="137" t="e">
        <f>J191/#REF!*100</f>
        <v>#REF!</v>
      </c>
      <c r="L191" s="137">
        <f t="shared" si="72"/>
        <v>206</v>
      </c>
      <c r="M191" s="139"/>
      <c r="N191" s="139"/>
      <c r="O191" s="142">
        <f t="shared" si="57"/>
        <v>158.46153846153845</v>
      </c>
      <c r="P191" s="137">
        <f t="shared" si="55"/>
        <v>93.63636363636364</v>
      </c>
      <c r="Q191" s="143">
        <f t="shared" si="56"/>
        <v>58.857142857142854</v>
      </c>
    </row>
    <row r="192" spans="1:17" ht="15.75" customHeight="1" hidden="1">
      <c r="A192" s="144" t="s">
        <v>11</v>
      </c>
      <c r="B192" s="144"/>
      <c r="C192" s="140" t="s">
        <v>17</v>
      </c>
      <c r="D192" s="168">
        <f t="shared" si="74"/>
        <v>65</v>
      </c>
      <c r="E192" s="136">
        <f t="shared" si="73"/>
        <v>48</v>
      </c>
      <c r="F192" s="168">
        <v>16</v>
      </c>
      <c r="G192" s="168">
        <v>16</v>
      </c>
      <c r="H192" s="142">
        <v>16</v>
      </c>
      <c r="I192" s="142">
        <v>17</v>
      </c>
      <c r="J192" s="143">
        <v>39.8</v>
      </c>
      <c r="K192" s="137" t="e">
        <f>J192/#REF!*100</f>
        <v>#REF!</v>
      </c>
      <c r="L192" s="137">
        <f t="shared" si="72"/>
        <v>248.74999999999997</v>
      </c>
      <c r="M192" s="139"/>
      <c r="N192" s="139"/>
      <c r="O192" s="142">
        <f t="shared" si="57"/>
        <v>234.1176470588235</v>
      </c>
      <c r="P192" s="137">
        <f t="shared" si="55"/>
        <v>82.91666666666666</v>
      </c>
      <c r="Q192" s="143">
        <f t="shared" si="56"/>
        <v>61.230769230769226</v>
      </c>
    </row>
    <row r="193" spans="1:17" ht="13.5" customHeight="1">
      <c r="A193" s="145" t="s">
        <v>18</v>
      </c>
      <c r="B193" s="145"/>
      <c r="C193" s="140" t="s">
        <v>15</v>
      </c>
      <c r="D193" s="168">
        <f t="shared" si="74"/>
        <v>0</v>
      </c>
      <c r="E193" s="136">
        <f t="shared" si="73"/>
        <v>0</v>
      </c>
      <c r="F193" s="168"/>
      <c r="G193" s="168"/>
      <c r="H193" s="142"/>
      <c r="I193" s="142"/>
      <c r="J193" s="143"/>
      <c r="K193" s="137" t="e">
        <f>J193/#REF!*100</f>
        <v>#REF!</v>
      </c>
      <c r="L193" s="137" t="e">
        <f t="shared" si="72"/>
        <v>#DIV/0!</v>
      </c>
      <c r="M193" s="139"/>
      <c r="N193" s="139"/>
      <c r="O193" s="142" t="e">
        <f t="shared" si="57"/>
        <v>#DIV/0!</v>
      </c>
      <c r="P193" s="137"/>
      <c r="Q193" s="143"/>
    </row>
    <row r="194" spans="1:17" ht="12.75">
      <c r="A194" s="145" t="s">
        <v>12</v>
      </c>
      <c r="B194" s="180"/>
      <c r="C194" s="140" t="s">
        <v>7</v>
      </c>
      <c r="D194" s="168">
        <f t="shared" si="74"/>
        <v>0</v>
      </c>
      <c r="E194" s="136">
        <f t="shared" si="73"/>
        <v>0</v>
      </c>
      <c r="F194" s="168"/>
      <c r="G194" s="168"/>
      <c r="H194" s="142"/>
      <c r="I194" s="142"/>
      <c r="J194" s="143"/>
      <c r="K194" s="137" t="e">
        <f>J194/#REF!*100</f>
        <v>#REF!</v>
      </c>
      <c r="L194" s="137"/>
      <c r="M194" s="139"/>
      <c r="N194" s="139"/>
      <c r="O194" s="142" t="e">
        <f t="shared" si="57"/>
        <v>#DIV/0!</v>
      </c>
      <c r="P194" s="137"/>
      <c r="Q194" s="143"/>
    </row>
    <row r="195" spans="1:17" ht="12.75">
      <c r="A195" s="171" t="s">
        <v>39</v>
      </c>
      <c r="B195" s="149"/>
      <c r="C195" s="150" t="s">
        <v>40</v>
      </c>
      <c r="D195" s="168">
        <f t="shared" si="74"/>
        <v>0</v>
      </c>
      <c r="E195" s="136">
        <f t="shared" si="73"/>
        <v>0</v>
      </c>
      <c r="F195" s="168"/>
      <c r="G195" s="168"/>
      <c r="H195" s="142"/>
      <c r="I195" s="142"/>
      <c r="J195" s="143"/>
      <c r="K195" s="137" t="e">
        <f>J195/#REF!*100</f>
        <v>#REF!</v>
      </c>
      <c r="L195" s="137"/>
      <c r="M195" s="139"/>
      <c r="N195" s="139"/>
      <c r="O195" s="142"/>
      <c r="P195" s="137"/>
      <c r="Q195" s="143"/>
    </row>
    <row r="196" spans="1:17" ht="12.75">
      <c r="A196" s="151" t="s">
        <v>1</v>
      </c>
      <c r="B196" s="151"/>
      <c r="C196" s="152" t="s">
        <v>0</v>
      </c>
      <c r="D196" s="153">
        <f aca="true" t="shared" si="75" ref="D196:J196">D197</f>
        <v>22913.300000000003</v>
      </c>
      <c r="E196" s="153">
        <f t="shared" si="75"/>
        <v>18628.7</v>
      </c>
      <c r="F196" s="153">
        <f t="shared" si="75"/>
        <v>4922.8</v>
      </c>
      <c r="G196" s="153">
        <f t="shared" si="75"/>
        <v>6842</v>
      </c>
      <c r="H196" s="153">
        <f t="shared" si="75"/>
        <v>6863.900000000001</v>
      </c>
      <c r="I196" s="153">
        <f t="shared" si="75"/>
        <v>4284.6</v>
      </c>
      <c r="J196" s="153">
        <f t="shared" si="75"/>
        <v>12757.4</v>
      </c>
      <c r="K196" s="154" t="e">
        <f>J196/#REF!*100</f>
        <v>#REF!</v>
      </c>
      <c r="L196" s="154">
        <f>J196/H196*100</f>
        <v>185.86226489313654</v>
      </c>
      <c r="M196" s="139"/>
      <c r="N196" s="139"/>
      <c r="O196" s="131">
        <f t="shared" si="57"/>
        <v>297.7500816879055</v>
      </c>
      <c r="P196" s="154">
        <f t="shared" si="55"/>
        <v>68.48250280481193</v>
      </c>
      <c r="Q196" s="133">
        <f t="shared" si="56"/>
        <v>55.67683397851902</v>
      </c>
    </row>
    <row r="197" spans="1:17" ht="24">
      <c r="A197" s="155" t="s">
        <v>65</v>
      </c>
      <c r="B197" s="134"/>
      <c r="C197" s="156" t="s">
        <v>20</v>
      </c>
      <c r="D197" s="168">
        <f t="shared" si="74"/>
        <v>22913.300000000003</v>
      </c>
      <c r="E197" s="136">
        <f t="shared" si="73"/>
        <v>18628.7</v>
      </c>
      <c r="F197" s="168">
        <f>4815.9+83.1+23.8</f>
        <v>4922.8</v>
      </c>
      <c r="G197" s="168">
        <v>6842</v>
      </c>
      <c r="H197" s="142">
        <f>6239.6+624.3</f>
        <v>6863.900000000001</v>
      </c>
      <c r="I197" s="142">
        <v>4284.6</v>
      </c>
      <c r="J197" s="143">
        <v>12757.4</v>
      </c>
      <c r="K197" s="137" t="e">
        <f>J197/#REF!*100</f>
        <v>#REF!</v>
      </c>
      <c r="L197" s="137">
        <f>J197/H197*100</f>
        <v>185.86226489313654</v>
      </c>
      <c r="M197" s="139"/>
      <c r="N197" s="139"/>
      <c r="O197" s="142">
        <f t="shared" si="57"/>
        <v>297.7500816879055</v>
      </c>
      <c r="P197" s="137">
        <f t="shared" si="55"/>
        <v>68.48250280481193</v>
      </c>
      <c r="Q197" s="143">
        <f t="shared" si="56"/>
        <v>55.67683397851902</v>
      </c>
    </row>
    <row r="198" spans="1:17" ht="12.75">
      <c r="A198" s="147"/>
      <c r="B198" s="163"/>
      <c r="C198" s="164" t="s">
        <v>4</v>
      </c>
      <c r="D198" s="133">
        <f aca="true" t="shared" si="76" ref="D198:J198">D196+D187</f>
        <v>24204.600000000002</v>
      </c>
      <c r="E198" s="133">
        <f t="shared" si="76"/>
        <v>19532</v>
      </c>
      <c r="F198" s="131">
        <f t="shared" si="76"/>
        <v>5133.8</v>
      </c>
      <c r="G198" s="131">
        <f t="shared" si="76"/>
        <v>7258.4</v>
      </c>
      <c r="H198" s="131">
        <f t="shared" si="76"/>
        <v>7139.8</v>
      </c>
      <c r="I198" s="131">
        <f t="shared" si="76"/>
        <v>4672.6</v>
      </c>
      <c r="J198" s="133">
        <f t="shared" si="76"/>
        <v>13643.6</v>
      </c>
      <c r="K198" s="154" t="e">
        <f>J198/#REF!*100</f>
        <v>#REF!</v>
      </c>
      <c r="L198" s="154">
        <f>J198/H198*100</f>
        <v>191.09218745623127</v>
      </c>
      <c r="M198" s="139"/>
      <c r="N198" s="165" t="e">
        <f>I198+#REF!+#REF!</f>
        <v>#REF!</v>
      </c>
      <c r="O198" s="131">
        <f t="shared" si="57"/>
        <v>291.99161066643836</v>
      </c>
      <c r="P198" s="154">
        <f t="shared" si="55"/>
        <v>69.85254966209297</v>
      </c>
      <c r="Q198" s="133">
        <f t="shared" si="56"/>
        <v>56.36779785660576</v>
      </c>
    </row>
    <row r="199" spans="1:17" ht="12.75">
      <c r="A199" s="188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90"/>
      <c r="M199" s="139"/>
      <c r="N199" s="139"/>
      <c r="O199" s="166"/>
      <c r="P199" s="154"/>
      <c r="Q199" s="133"/>
    </row>
    <row r="200" spans="1:17" ht="12.75">
      <c r="A200" s="191" t="s">
        <v>36</v>
      </c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3"/>
    </row>
    <row r="201" spans="1:17" ht="12.75">
      <c r="A201" s="32" t="s">
        <v>3</v>
      </c>
      <c r="B201" s="46"/>
      <c r="C201" s="33" t="s">
        <v>66</v>
      </c>
      <c r="D201" s="34">
        <f aca="true" t="shared" si="77" ref="D201:J201">D202+D204+D205+D206+D208+D209+D211+D213+D210+D207+D214+D212+D203</f>
        <v>833627.3999999999</v>
      </c>
      <c r="E201" s="34">
        <f t="shared" si="77"/>
        <v>607482.0999999999</v>
      </c>
      <c r="F201" s="34">
        <f t="shared" si="77"/>
        <v>196002.99999999997</v>
      </c>
      <c r="G201" s="34">
        <f t="shared" si="77"/>
        <v>224707.49999999997</v>
      </c>
      <c r="H201" s="34">
        <f t="shared" si="77"/>
        <v>186771.6</v>
      </c>
      <c r="I201" s="34">
        <f t="shared" si="77"/>
        <v>226145.29999999996</v>
      </c>
      <c r="J201" s="34">
        <f t="shared" si="77"/>
        <v>564703.1</v>
      </c>
      <c r="K201" s="34" t="e">
        <f>J201/#REF!*100</f>
        <v>#REF!</v>
      </c>
      <c r="L201" s="34">
        <f aca="true" t="shared" si="78" ref="L201:L212">J201/H201*100</f>
        <v>302.34955421488064</v>
      </c>
      <c r="M201" s="54"/>
      <c r="N201" s="54"/>
      <c r="O201" s="34">
        <f t="shared" si="57"/>
        <v>249.70808590760015</v>
      </c>
      <c r="P201" s="34">
        <f t="shared" si="55"/>
        <v>92.9579818072006</v>
      </c>
      <c r="Q201" s="31">
        <f t="shared" si="56"/>
        <v>67.7404677437426</v>
      </c>
    </row>
    <row r="202" spans="1:17" ht="12.75">
      <c r="A202" s="28" t="s">
        <v>23</v>
      </c>
      <c r="B202" s="47" t="s">
        <v>54</v>
      </c>
      <c r="C202" s="35" t="s">
        <v>22</v>
      </c>
      <c r="D202" s="168">
        <f>F202+G202+H202+I202</f>
        <v>577723.9999999999</v>
      </c>
      <c r="E202" s="57">
        <f aca="true" t="shared" si="79" ref="E202:E218">F202+G202+H202</f>
        <v>421538.29999999993</v>
      </c>
      <c r="F202" s="25">
        <f>F9+F31+F46+F62+F78+F95+F110+F126+F141+F157+F172+F188</f>
        <v>134098.09999999998</v>
      </c>
      <c r="G202" s="25">
        <f>G9+G31+G46+G62+G78+G95+G110+G126+G141+G157+G172+G188</f>
        <v>153649.3</v>
      </c>
      <c r="H202" s="25">
        <f>H9+H31+H46+H62+H78+H95+H110+H126+H141+H157+H172+H188</f>
        <v>133790.9</v>
      </c>
      <c r="I202" s="25">
        <f>I9+I31+I46+I62+I78+I95+I110+I126+I141+I157+I172+I188</f>
        <v>156185.69999999998</v>
      </c>
      <c r="J202" s="25">
        <f>J9+J31+J46+J62+J78+J95+J110+J126+J141+J157+J172+J188+0.2</f>
        <v>365401</v>
      </c>
      <c r="K202" s="27" t="e">
        <f>J202/#REF!*100</f>
        <v>#REF!</v>
      </c>
      <c r="L202" s="27">
        <f t="shared" si="78"/>
        <v>273.1134927711825</v>
      </c>
      <c r="M202" s="54"/>
      <c r="N202" s="54"/>
      <c r="O202" s="24">
        <f t="shared" si="57"/>
        <v>233.9529163041175</v>
      </c>
      <c r="P202" s="27">
        <f t="shared" si="55"/>
        <v>86.6827521959452</v>
      </c>
      <c r="Q202" s="25">
        <f t="shared" si="56"/>
        <v>63.248367732688976</v>
      </c>
    </row>
    <row r="203" spans="1:17" ht="12.75">
      <c r="A203" s="19" t="s">
        <v>68</v>
      </c>
      <c r="B203" s="19"/>
      <c r="C203" s="35" t="s">
        <v>69</v>
      </c>
      <c r="D203" s="168">
        <f aca="true" t="shared" si="80" ref="D203:D218">F203+G203+H203+I203</f>
        <v>35821</v>
      </c>
      <c r="E203" s="57">
        <f t="shared" si="79"/>
        <v>26888</v>
      </c>
      <c r="F203" s="25">
        <f aca="true" t="shared" si="81" ref="F203:O203">F10</f>
        <v>9590</v>
      </c>
      <c r="G203" s="25">
        <f t="shared" si="81"/>
        <v>8649</v>
      </c>
      <c r="H203" s="25">
        <f t="shared" si="81"/>
        <v>8649</v>
      </c>
      <c r="I203" s="25">
        <f t="shared" si="81"/>
        <v>8933</v>
      </c>
      <c r="J203" s="143">
        <f>J10</f>
        <v>27787</v>
      </c>
      <c r="K203" s="25">
        <f t="shared" si="81"/>
        <v>0</v>
      </c>
      <c r="L203" s="25">
        <f t="shared" si="81"/>
        <v>0</v>
      </c>
      <c r="M203" s="25">
        <f t="shared" si="81"/>
        <v>0</v>
      </c>
      <c r="N203" s="25">
        <f t="shared" si="81"/>
        <v>0</v>
      </c>
      <c r="O203" s="25">
        <f t="shared" si="81"/>
        <v>0</v>
      </c>
      <c r="P203" s="27">
        <f t="shared" si="55"/>
        <v>103.34349895864327</v>
      </c>
      <c r="Q203" s="25">
        <f t="shared" si="56"/>
        <v>77.57181541553837</v>
      </c>
    </row>
    <row r="204" spans="1:17" ht="12.75">
      <c r="A204" s="19" t="s">
        <v>8</v>
      </c>
      <c r="B204" s="45" t="s">
        <v>55</v>
      </c>
      <c r="C204" s="35" t="s">
        <v>5</v>
      </c>
      <c r="D204" s="168">
        <f t="shared" si="80"/>
        <v>40029.600000000006</v>
      </c>
      <c r="E204" s="57">
        <f t="shared" si="79"/>
        <v>31668.100000000002</v>
      </c>
      <c r="F204" s="25">
        <f>F11+F47+F63+F189+F142+F111+F173+F79+F96</f>
        <v>11959.6</v>
      </c>
      <c r="G204" s="25">
        <f>G11+G47+G63+G189+G142+G111+G173+G79</f>
        <v>11715.800000000001</v>
      </c>
      <c r="H204" s="25">
        <f>H11+H47+H63+H189+H142+H111+H173+H79</f>
        <v>7992.7</v>
      </c>
      <c r="I204" s="25">
        <f>I11+I47+I63+I189+I142+I111+I173+I79</f>
        <v>8361.5</v>
      </c>
      <c r="J204" s="143">
        <f>J11+J47+J63+J189+J142+J111+J173+J79-0.1</f>
        <v>33454.9</v>
      </c>
      <c r="K204" s="27" t="e">
        <f>J204/#REF!*100</f>
        <v>#REF!</v>
      </c>
      <c r="L204" s="27">
        <f t="shared" si="78"/>
        <v>418.5681934765474</v>
      </c>
      <c r="M204" s="54"/>
      <c r="N204" s="54"/>
      <c r="O204" s="24">
        <f t="shared" si="57"/>
        <v>400.1064402320158</v>
      </c>
      <c r="P204" s="27">
        <f t="shared" si="55"/>
        <v>105.64227092878953</v>
      </c>
      <c r="Q204" s="25">
        <f t="shared" si="56"/>
        <v>83.57540420089133</v>
      </c>
    </row>
    <row r="205" spans="1:17" ht="24" customHeight="1" hidden="1">
      <c r="A205" s="19" t="s">
        <v>9</v>
      </c>
      <c r="B205" s="45" t="s">
        <v>56</v>
      </c>
      <c r="C205" s="35" t="s">
        <v>6</v>
      </c>
      <c r="D205" s="168">
        <f t="shared" si="80"/>
        <v>17465</v>
      </c>
      <c r="E205" s="57">
        <f t="shared" si="79"/>
        <v>13203.300000000001</v>
      </c>
      <c r="F205" s="25">
        <f>F12+F32+F48+F64+F80+F97+F112+F127+F143+F158+F174+F190</f>
        <v>3787.4</v>
      </c>
      <c r="G205" s="25">
        <f>G12+G32+G48+G64+G80+G97+G112+G127+G143+G158+G174+G190</f>
        <v>5488.7</v>
      </c>
      <c r="H205" s="25">
        <f>H12+H32+H48+H64+H80+H97+H112+H127+H143+H158+H174+H190</f>
        <v>3927.2000000000003</v>
      </c>
      <c r="I205" s="25">
        <f>I12+I32+I48+I64+I80+I97+I112+I127+I143+I158+I174+I190</f>
        <v>4261.7</v>
      </c>
      <c r="J205" s="143">
        <f>J12+J32+J48+J64+J80+J97+J112+J127+J143+J158+J174+J190+0.1</f>
        <v>11201.5</v>
      </c>
      <c r="K205" s="27" t="e">
        <f>J205/#REF!*100</f>
        <v>#REF!</v>
      </c>
      <c r="L205" s="27">
        <f t="shared" si="78"/>
        <v>285.22866164188224</v>
      </c>
      <c r="M205" s="54"/>
      <c r="N205" s="54"/>
      <c r="O205" s="24">
        <f t="shared" si="57"/>
        <v>262.84111974094844</v>
      </c>
      <c r="P205" s="27">
        <f t="shared" si="55"/>
        <v>84.8386388251422</v>
      </c>
      <c r="Q205" s="25">
        <f t="shared" si="56"/>
        <v>64.13684511880905</v>
      </c>
    </row>
    <row r="206" spans="1:17" ht="12.75">
      <c r="A206" s="19" t="s">
        <v>10</v>
      </c>
      <c r="B206" s="45" t="s">
        <v>49</v>
      </c>
      <c r="C206" s="35" t="s">
        <v>21</v>
      </c>
      <c r="D206" s="168">
        <f t="shared" si="80"/>
        <v>3884</v>
      </c>
      <c r="E206" s="57">
        <f t="shared" si="79"/>
        <v>2914</v>
      </c>
      <c r="F206" s="25">
        <f>F13+F33+F65+F81+F98+F113+F128+F144+F159+F175+F191</f>
        <v>921</v>
      </c>
      <c r="G206" s="25">
        <f>G13+G33+G65+G81+G98+G113+G128+G144+G159+G175+G191</f>
        <v>1036</v>
      </c>
      <c r="H206" s="25">
        <f>H13+H33+H65+H81+H98+H113+H128+H144+H159+H175+H191</f>
        <v>957</v>
      </c>
      <c r="I206" s="25">
        <f>I13+I33+I65+I81+I98+I113+I128+I144+I159+I175+I191</f>
        <v>970</v>
      </c>
      <c r="J206" s="143">
        <f>J13+J33+J49+J65+J81+J98+J113+J128+J144+J159+J175+J191</f>
        <v>2651.2999999999997</v>
      </c>
      <c r="K206" s="27" t="e">
        <f>J206/#REF!*100</f>
        <v>#REF!</v>
      </c>
      <c r="L206" s="27">
        <f t="shared" si="78"/>
        <v>277.042842215256</v>
      </c>
      <c r="M206" s="54"/>
      <c r="N206" s="54"/>
      <c r="O206" s="24">
        <f t="shared" si="57"/>
        <v>273.3298969072165</v>
      </c>
      <c r="P206" s="27">
        <f t="shared" si="55"/>
        <v>90.98490048043926</v>
      </c>
      <c r="Q206" s="25">
        <f t="shared" si="56"/>
        <v>68.26210092687951</v>
      </c>
    </row>
    <row r="207" spans="1:17" ht="24">
      <c r="A207" s="19" t="s">
        <v>37</v>
      </c>
      <c r="B207" s="45" t="s">
        <v>57</v>
      </c>
      <c r="C207" s="35" t="s">
        <v>38</v>
      </c>
      <c r="D207" s="168">
        <f t="shared" si="80"/>
        <v>0</v>
      </c>
      <c r="E207" s="57">
        <f t="shared" si="79"/>
        <v>0</v>
      </c>
      <c r="F207" s="48">
        <f>F14</f>
        <v>0</v>
      </c>
      <c r="G207" s="48">
        <f>G14</f>
        <v>0</v>
      </c>
      <c r="H207" s="48">
        <f>H14</f>
        <v>0</v>
      </c>
      <c r="I207" s="48">
        <f>I14</f>
        <v>0</v>
      </c>
      <c r="J207" s="185">
        <f>J14</f>
        <v>0</v>
      </c>
      <c r="K207" s="27" t="e">
        <f>J207/#REF!*100</f>
        <v>#REF!</v>
      </c>
      <c r="L207" s="27"/>
      <c r="M207" s="54"/>
      <c r="N207" s="54"/>
      <c r="O207" s="24" t="e">
        <f t="shared" si="57"/>
        <v>#DIV/0!</v>
      </c>
      <c r="P207" s="27"/>
      <c r="Q207" s="25"/>
    </row>
    <row r="208" spans="1:17" ht="24">
      <c r="A208" s="20" t="s">
        <v>11</v>
      </c>
      <c r="B208" s="49" t="s">
        <v>48</v>
      </c>
      <c r="C208" s="35" t="s">
        <v>17</v>
      </c>
      <c r="D208" s="168">
        <f t="shared" si="80"/>
        <v>106250.4</v>
      </c>
      <c r="E208" s="57">
        <f t="shared" si="79"/>
        <v>69736.5</v>
      </c>
      <c r="F208" s="25">
        <f>F15+F34+F50+F66+F82+F99+F114+F129+F145+F160+F176+F192</f>
        <v>16907.499999999996</v>
      </c>
      <c r="G208" s="25">
        <f>G15+G34+G50+G66+G82+G99+G114+G129+G145+G160+G176+G192</f>
        <v>28526</v>
      </c>
      <c r="H208" s="25">
        <f>H15+H34+H50+H66+H82+H99+H114+H129+H145+H160+H176+H192</f>
        <v>24302.999999999996</v>
      </c>
      <c r="I208" s="25">
        <f>I15+I34+I50+I66+I82+I99+I114+I129+I145+I160+I176+I192</f>
        <v>36513.899999999994</v>
      </c>
      <c r="J208" s="143">
        <f>J15+J34+J50+J66+J82+J99+J114+J129+J145+J160+J176+J192</f>
        <v>78856.00000000003</v>
      </c>
      <c r="K208" s="27" t="e">
        <f>J208/#REF!*100</f>
        <v>#REF!</v>
      </c>
      <c r="L208" s="27">
        <f t="shared" si="78"/>
        <v>324.4702300127558</v>
      </c>
      <c r="M208" s="54"/>
      <c r="N208" s="54"/>
      <c r="O208" s="24">
        <f t="shared" si="57"/>
        <v>215.96159270853028</v>
      </c>
      <c r="P208" s="27">
        <f aca="true" t="shared" si="82" ref="P208:P219">J208*100/E208</f>
        <v>113.07708301965259</v>
      </c>
      <c r="Q208" s="25">
        <f aca="true" t="shared" si="83" ref="Q208:Q219">J208*100/D208</f>
        <v>74.21713235903115</v>
      </c>
    </row>
    <row r="209" spans="1:17" ht="12.75">
      <c r="A209" s="36" t="s">
        <v>14</v>
      </c>
      <c r="B209" s="50" t="s">
        <v>47</v>
      </c>
      <c r="C209" s="35" t="s">
        <v>13</v>
      </c>
      <c r="D209" s="168">
        <f t="shared" si="80"/>
        <v>13331.2</v>
      </c>
      <c r="E209" s="57">
        <f t="shared" si="79"/>
        <v>11847.2</v>
      </c>
      <c r="F209" s="25">
        <f>F16</f>
        <v>7342.8</v>
      </c>
      <c r="G209" s="25">
        <f>G16</f>
        <v>3020.4</v>
      </c>
      <c r="H209" s="25">
        <f>H16</f>
        <v>1484</v>
      </c>
      <c r="I209" s="25">
        <f>I16</f>
        <v>1484</v>
      </c>
      <c r="J209" s="143">
        <f>J16</f>
        <v>14548.6</v>
      </c>
      <c r="K209" s="27" t="e">
        <f>J209/#REF!*100</f>
        <v>#REF!</v>
      </c>
      <c r="L209" s="27">
        <f t="shared" si="78"/>
        <v>980.3638814016173</v>
      </c>
      <c r="M209" s="54"/>
      <c r="N209" s="54"/>
      <c r="O209" s="24">
        <f t="shared" si="57"/>
        <v>980.3638814016173</v>
      </c>
      <c r="P209" s="27">
        <f t="shared" si="82"/>
        <v>122.80201228982375</v>
      </c>
      <c r="Q209" s="25">
        <f t="shared" si="83"/>
        <v>109.1319611137782</v>
      </c>
    </row>
    <row r="210" spans="1:17" ht="12.75">
      <c r="A210" s="37" t="s">
        <v>42</v>
      </c>
      <c r="B210" s="51" t="s">
        <v>58</v>
      </c>
      <c r="C210" s="35" t="s">
        <v>43</v>
      </c>
      <c r="D210" s="168">
        <f t="shared" si="80"/>
        <v>10153.5</v>
      </c>
      <c r="E210" s="57">
        <f t="shared" si="79"/>
        <v>7967.7</v>
      </c>
      <c r="F210" s="52">
        <f>F17+F83+F100+F130+F146+F161+F177+F115+F67+F35</f>
        <v>2384.5</v>
      </c>
      <c r="G210" s="52">
        <f>G17+G83+G100+G130+G146+G161+G177+G115+G67+G35</f>
        <v>3650.4</v>
      </c>
      <c r="H210" s="52">
        <f>H17+H83+H100+H130+H146+H161+H177+H115+H67+H35</f>
        <v>1932.8</v>
      </c>
      <c r="I210" s="52">
        <f>I17+I83+I100+I130+I146+I161+I177+I115+I67+I35</f>
        <v>2185.8</v>
      </c>
      <c r="J210" s="186">
        <f>J17+J83+J100+J130+J146+J161+J177+J115+J67+J35</f>
        <v>8486</v>
      </c>
      <c r="K210" s="27" t="e">
        <f>J210/#REF!*100</f>
        <v>#REF!</v>
      </c>
      <c r="L210" s="27">
        <f t="shared" si="78"/>
        <v>439.0521523178808</v>
      </c>
      <c r="M210" s="54"/>
      <c r="N210" s="54"/>
      <c r="O210" s="24">
        <f t="shared" si="57"/>
        <v>388.23314118400583</v>
      </c>
      <c r="P210" s="27">
        <f t="shared" si="82"/>
        <v>106.50501399400078</v>
      </c>
      <c r="Q210" s="25">
        <f t="shared" si="83"/>
        <v>83.57709164327572</v>
      </c>
    </row>
    <row r="211" spans="1:17" ht="12.75">
      <c r="A211" s="37" t="s">
        <v>18</v>
      </c>
      <c r="B211" s="51" t="s">
        <v>53</v>
      </c>
      <c r="C211" s="35" t="s">
        <v>15</v>
      </c>
      <c r="D211" s="168">
        <f t="shared" si="80"/>
        <v>22645.9</v>
      </c>
      <c r="E211" s="57">
        <f t="shared" si="79"/>
        <v>15806.1</v>
      </c>
      <c r="F211" s="25">
        <f>F18+F36+F51+F68+F84+F101+F116+F147+F162+F178+F193+F131</f>
        <v>5952.499999999999</v>
      </c>
      <c r="G211" s="25">
        <f>G18+G36+G51+G68+G84+G101+G116+G147+G162+G178+G193+G131</f>
        <v>6525.400000000001</v>
      </c>
      <c r="H211" s="25">
        <f>H18+H36+H51+H68+H84+H101+H116+H147+H162+H178+H193+H131</f>
        <v>3328.2000000000003</v>
      </c>
      <c r="I211" s="25">
        <f>I18+I36+I51+I68+I84+I101+I116+I147+I162+I178+I193+I131</f>
        <v>6839.8</v>
      </c>
      <c r="J211" s="25">
        <f>J18+J36+J51+J68+J84+J101+J116+J147+J162+J178+J193+J131-0.1</f>
        <v>13318.499999999998</v>
      </c>
      <c r="K211" s="27" t="e">
        <f>J211/#REF!*100</f>
        <v>#REF!</v>
      </c>
      <c r="L211" s="27">
        <f t="shared" si="78"/>
        <v>400.171263746169</v>
      </c>
      <c r="M211" s="54"/>
      <c r="N211" s="54"/>
      <c r="O211" s="24">
        <f aca="true" t="shared" si="84" ref="O211:O219">J211*100/I211</f>
        <v>194.72060586566855</v>
      </c>
      <c r="P211" s="27">
        <f t="shared" si="82"/>
        <v>84.26177235371152</v>
      </c>
      <c r="Q211" s="25">
        <f t="shared" si="83"/>
        <v>58.81197037874404</v>
      </c>
    </row>
    <row r="212" spans="1:17" ht="12.75">
      <c r="A212" s="37" t="s">
        <v>59</v>
      </c>
      <c r="B212" s="37"/>
      <c r="C212" s="35" t="s">
        <v>60</v>
      </c>
      <c r="D212" s="168">
        <f t="shared" si="80"/>
        <v>5</v>
      </c>
      <c r="E212" s="57">
        <f t="shared" si="79"/>
        <v>5</v>
      </c>
      <c r="F212" s="25">
        <f>F19</f>
        <v>5</v>
      </c>
      <c r="G212" s="25">
        <f>G19</f>
        <v>0</v>
      </c>
      <c r="H212" s="25">
        <f>H19</f>
        <v>0</v>
      </c>
      <c r="I212" s="25">
        <f>I19</f>
        <v>0</v>
      </c>
      <c r="J212" s="25">
        <f>J19</f>
        <v>13</v>
      </c>
      <c r="K212" s="27" t="e">
        <f>J212/#REF!*100</f>
        <v>#REF!</v>
      </c>
      <c r="L212" s="27" t="e">
        <f t="shared" si="78"/>
        <v>#DIV/0!</v>
      </c>
      <c r="M212" s="54"/>
      <c r="N212" s="54"/>
      <c r="O212" s="24" t="e">
        <f t="shared" si="84"/>
        <v>#DIV/0!</v>
      </c>
      <c r="P212" s="27">
        <f t="shared" si="82"/>
        <v>260</v>
      </c>
      <c r="Q212" s="25">
        <f t="shared" si="83"/>
        <v>260</v>
      </c>
    </row>
    <row r="213" spans="1:17" ht="12.75">
      <c r="A213" s="28" t="s">
        <v>12</v>
      </c>
      <c r="B213" s="47" t="s">
        <v>50</v>
      </c>
      <c r="C213" s="35" t="s">
        <v>7</v>
      </c>
      <c r="D213" s="168">
        <f t="shared" si="80"/>
        <v>6317.8</v>
      </c>
      <c r="E213" s="57">
        <f t="shared" si="79"/>
        <v>5907.900000000001</v>
      </c>
      <c r="F213" s="25">
        <f>F20+F179+F194+F69+F132+F52+F148+F85+F37</f>
        <v>3054.6</v>
      </c>
      <c r="G213" s="25">
        <f>G20+G179+G194+G69+G132+G52+G148+G85+G37</f>
        <v>2446.5</v>
      </c>
      <c r="H213" s="25">
        <f>H20+H179+H194+H69+H132+H52+H148+H85+H37</f>
        <v>406.8</v>
      </c>
      <c r="I213" s="25">
        <f>I20+I179+I194+I69+I132+I52+I148+I85+I37</f>
        <v>409.9</v>
      </c>
      <c r="J213" s="25">
        <f>J20+J179+J194+J69+J132+J52+J148+J85+J37</f>
        <v>8973.199999999999</v>
      </c>
      <c r="K213" s="25" t="e">
        <f>K20+K179+K194+K69+K132+K52+K148+K85</f>
        <v>#REF!</v>
      </c>
      <c r="L213" s="25">
        <f>L20+L179+L194+L69+L132+L52+L148+L85</f>
        <v>2181.1701081612587</v>
      </c>
      <c r="M213" s="25">
        <f>M20+M179+M194+M69+M132+M52+M148+M85</f>
        <v>0</v>
      </c>
      <c r="N213" s="25">
        <f>N20+N179+N194+N69+N132+N52+N148+N85</f>
        <v>0</v>
      </c>
      <c r="O213" s="25" t="e">
        <f>O20+O179+O194+O69+O132+O52+O148+O85</f>
        <v>#DIV/0!</v>
      </c>
      <c r="P213" s="27">
        <f t="shared" si="82"/>
        <v>151.8847644679158</v>
      </c>
      <c r="Q213" s="25">
        <f t="shared" si="83"/>
        <v>142.0304536389249</v>
      </c>
    </row>
    <row r="214" spans="1:17" ht="12.75">
      <c r="A214" s="38" t="s">
        <v>39</v>
      </c>
      <c r="B214" s="53" t="s">
        <v>57</v>
      </c>
      <c r="C214" s="23" t="s">
        <v>40</v>
      </c>
      <c r="D214" s="44">
        <f t="shared" si="80"/>
        <v>0</v>
      </c>
      <c r="E214" s="57">
        <f t="shared" si="79"/>
        <v>0</v>
      </c>
      <c r="F214" s="25">
        <f>F21+F38+F53+F70+F86+F102+F118+F133+F149+F164+F180+F195</f>
        <v>0</v>
      </c>
      <c r="G214" s="25">
        <f>G21+G38+G53+G70+G86+G102+G118+G133+G149+G164+G180+G195</f>
        <v>0</v>
      </c>
      <c r="H214" s="25">
        <f>H21+H38+H53+H70+H86+H102+H118+H133+H149+H164+H180+H195</f>
        <v>0</v>
      </c>
      <c r="I214" s="25">
        <f>I21+I38+I53+I70+I86+I102+I118+I133+I149+I164+I180+I195</f>
        <v>0</v>
      </c>
      <c r="J214" s="25">
        <f>J21+J38+J53+J70+J86+J102+J118+J133+J149+J164+J180+J195</f>
        <v>12.099999999999987</v>
      </c>
      <c r="K214" s="27"/>
      <c r="L214" s="27"/>
      <c r="M214" s="54"/>
      <c r="N214" s="54"/>
      <c r="O214" s="24" t="e">
        <f t="shared" si="84"/>
        <v>#DIV/0!</v>
      </c>
      <c r="P214" s="27"/>
      <c r="Q214" s="25"/>
    </row>
    <row r="215" spans="1:17" ht="12.75">
      <c r="A215" s="32" t="s">
        <v>1</v>
      </c>
      <c r="B215" s="46"/>
      <c r="C215" s="39" t="s">
        <v>0</v>
      </c>
      <c r="D215" s="40">
        <f aca="true" t="shared" si="85" ref="D215:J215">D216+D217+D218</f>
        <v>3152754.6</v>
      </c>
      <c r="E215" s="40">
        <f t="shared" si="85"/>
        <v>2396178.1</v>
      </c>
      <c r="F215" s="40">
        <f t="shared" si="85"/>
        <v>652462.7000000001</v>
      </c>
      <c r="G215" s="40">
        <f t="shared" si="85"/>
        <v>863302.9</v>
      </c>
      <c r="H215" s="40">
        <f t="shared" si="85"/>
        <v>880412.5</v>
      </c>
      <c r="I215" s="40">
        <f t="shared" si="85"/>
        <v>756576.5</v>
      </c>
      <c r="J215" s="40">
        <f t="shared" si="85"/>
        <v>1949856.9000000001</v>
      </c>
      <c r="K215" s="34" t="e">
        <f>J215/#REF!*100</f>
        <v>#REF!</v>
      </c>
      <c r="L215" s="34">
        <f>J215/H215*100</f>
        <v>221.4708332741755</v>
      </c>
      <c r="M215" s="54"/>
      <c r="N215" s="54"/>
      <c r="O215" s="43">
        <f t="shared" si="84"/>
        <v>257.72105001939656</v>
      </c>
      <c r="P215" s="34">
        <f t="shared" si="82"/>
        <v>81.37362160183335</v>
      </c>
      <c r="Q215" s="31">
        <f t="shared" si="83"/>
        <v>61.84613607414925</v>
      </c>
    </row>
    <row r="216" spans="1:17" ht="24">
      <c r="A216" s="21" t="s">
        <v>65</v>
      </c>
      <c r="B216" s="45" t="s">
        <v>51</v>
      </c>
      <c r="C216" s="41" t="s">
        <v>20</v>
      </c>
      <c r="D216" s="44">
        <f t="shared" si="80"/>
        <v>3099141.9</v>
      </c>
      <c r="E216" s="57">
        <f t="shared" si="79"/>
        <v>2347565.4</v>
      </c>
      <c r="F216" s="24">
        <f>F23</f>
        <v>709965.8</v>
      </c>
      <c r="G216" s="24">
        <f>G23-104.5</f>
        <v>762337.1</v>
      </c>
      <c r="H216" s="24">
        <f>H23</f>
        <v>875262.5</v>
      </c>
      <c r="I216" s="24">
        <f>I23-114.9</f>
        <v>751576.5</v>
      </c>
      <c r="J216" s="24">
        <f>J23-104.5</f>
        <v>1903273.6</v>
      </c>
      <c r="K216" s="27" t="e">
        <f>J216/#REF!*100</f>
        <v>#REF!</v>
      </c>
      <c r="L216" s="27">
        <f>J216/H216*100</f>
        <v>217.45174733294297</v>
      </c>
      <c r="M216" s="54"/>
      <c r="N216" s="54"/>
      <c r="O216" s="24">
        <f t="shared" si="84"/>
        <v>253.23750809132537</v>
      </c>
      <c r="P216" s="27">
        <f t="shared" si="82"/>
        <v>81.07435899336393</v>
      </c>
      <c r="Q216" s="25">
        <f t="shared" si="83"/>
        <v>61.41292207368756</v>
      </c>
    </row>
    <row r="217" spans="1:17" ht="12.75">
      <c r="A217" s="21" t="s">
        <v>2</v>
      </c>
      <c r="B217" s="21" t="s">
        <v>52</v>
      </c>
      <c r="C217" s="42" t="s">
        <v>19</v>
      </c>
      <c r="D217" s="168">
        <f t="shared" si="80"/>
        <v>60480</v>
      </c>
      <c r="E217" s="57">
        <f t="shared" si="79"/>
        <v>55480</v>
      </c>
      <c r="F217" s="25">
        <f>F24+F90+F105+F167+F136+F56+F41+F152+F73+F183+F121</f>
        <v>5010</v>
      </c>
      <c r="G217" s="25">
        <f>G24+G90+G105+G167+G136+G56+G41+G152+G73+G183+G121</f>
        <v>45320</v>
      </c>
      <c r="H217" s="25">
        <f>H24+H90+H105+H167+H136+H56+H41+H152+H73+H183+H121</f>
        <v>5150</v>
      </c>
      <c r="I217" s="25">
        <f>I24+I90+I105+I167+I136+I56+I41+I152+I73+I183+I121</f>
        <v>5000</v>
      </c>
      <c r="J217" s="25">
        <f>J24+J90+J105+J167+J136+J56+J41+J152+J73+J183+J121</f>
        <v>54801.5</v>
      </c>
      <c r="K217" s="27" t="e">
        <f>J217/#REF!*100</f>
        <v>#REF!</v>
      </c>
      <c r="L217" s="27">
        <f>J217/H217*100</f>
        <v>1064.106796116505</v>
      </c>
      <c r="M217" s="54"/>
      <c r="N217" s="54"/>
      <c r="O217" s="24">
        <f t="shared" si="84"/>
        <v>1096.03</v>
      </c>
      <c r="P217" s="27">
        <f t="shared" si="82"/>
        <v>98.77703677000721</v>
      </c>
      <c r="Q217" s="25">
        <f t="shared" si="83"/>
        <v>90.61094576719577</v>
      </c>
    </row>
    <row r="218" spans="1:17" ht="24">
      <c r="A218" s="21" t="s">
        <v>64</v>
      </c>
      <c r="B218" s="22"/>
      <c r="C218" s="26" t="s">
        <v>61</v>
      </c>
      <c r="D218" s="168">
        <f t="shared" si="80"/>
        <v>-6867.299999999996</v>
      </c>
      <c r="E218" s="57">
        <f t="shared" si="79"/>
        <v>-6867.299999999996</v>
      </c>
      <c r="F218" s="25">
        <f>F26</f>
        <v>-62513.1</v>
      </c>
      <c r="G218" s="25">
        <f>G26</f>
        <v>55645.8</v>
      </c>
      <c r="H218" s="25">
        <f>H26</f>
        <v>0</v>
      </c>
      <c r="I218" s="25">
        <f>I26</f>
        <v>0</v>
      </c>
      <c r="J218" s="25">
        <f>J26</f>
        <v>-8218.2</v>
      </c>
      <c r="K218" s="27" t="e">
        <f>J218/#REF!*100</f>
        <v>#REF!</v>
      </c>
      <c r="L218" s="27"/>
      <c r="M218" s="54"/>
      <c r="N218" s="54"/>
      <c r="O218" s="24" t="e">
        <f t="shared" si="84"/>
        <v>#DIV/0!</v>
      </c>
      <c r="P218" s="27">
        <f>J218*100/E218</f>
        <v>119.67148661045835</v>
      </c>
      <c r="Q218" s="25">
        <f>J218*100/D218</f>
        <v>119.67148661045835</v>
      </c>
    </row>
    <row r="219" spans="1:17" ht="12.75">
      <c r="A219" s="28"/>
      <c r="B219" s="29"/>
      <c r="C219" s="30" t="s">
        <v>4</v>
      </c>
      <c r="D219" s="31">
        <f aca="true" t="shared" si="86" ref="D219:J219">D215+D201</f>
        <v>3986382</v>
      </c>
      <c r="E219" s="31">
        <f t="shared" si="86"/>
        <v>3003660.2</v>
      </c>
      <c r="F219" s="31">
        <f t="shared" si="86"/>
        <v>848465.7000000001</v>
      </c>
      <c r="G219" s="31">
        <f t="shared" si="86"/>
        <v>1088010.4</v>
      </c>
      <c r="H219" s="31">
        <f t="shared" si="86"/>
        <v>1067184.1</v>
      </c>
      <c r="I219" s="31">
        <f t="shared" si="86"/>
        <v>982721.7999999999</v>
      </c>
      <c r="J219" s="31">
        <f t="shared" si="86"/>
        <v>2514560</v>
      </c>
      <c r="K219" s="34" t="e">
        <f>J219/#REF!*100</f>
        <v>#REF!</v>
      </c>
      <c r="L219" s="34">
        <f>J219/H219*100</f>
        <v>235.62569944585942</v>
      </c>
      <c r="M219" s="54"/>
      <c r="N219" s="55" t="e">
        <f>I219+#REF!+#REF!</f>
        <v>#REF!</v>
      </c>
      <c r="O219" s="43">
        <f t="shared" si="84"/>
        <v>255.8770956337796</v>
      </c>
      <c r="P219" s="34">
        <f t="shared" si="82"/>
        <v>83.71652692271915</v>
      </c>
      <c r="Q219" s="31">
        <f t="shared" si="83"/>
        <v>63.07875160985576</v>
      </c>
    </row>
    <row r="220" spans="3:8" ht="12.75" customHeight="1" hidden="1">
      <c r="C220" s="8"/>
      <c r="D220" s="8"/>
      <c r="E220" s="8"/>
      <c r="F220" s="8"/>
      <c r="G220" s="8"/>
      <c r="H220" s="2"/>
    </row>
    <row r="221" spans="1:12" ht="12.75" hidden="1">
      <c r="A221" s="2"/>
      <c r="C221" s="9"/>
      <c r="D221" s="9"/>
      <c r="E221" s="9"/>
      <c r="F221" s="9"/>
      <c r="G221" s="9"/>
      <c r="H221" s="6"/>
      <c r="I221" s="3"/>
      <c r="J221" s="5"/>
      <c r="K221" s="5"/>
      <c r="L221" s="2">
        <f>N217-L220</f>
        <v>0</v>
      </c>
    </row>
    <row r="222" spans="3:11" ht="12.75" hidden="1">
      <c r="C222" s="10"/>
      <c r="D222" s="10"/>
      <c r="E222" s="10"/>
      <c r="F222" s="10"/>
      <c r="G222" s="10"/>
      <c r="H222" s="3"/>
      <c r="I222" s="3">
        <f>I221-I213</f>
        <v>-409.9</v>
      </c>
      <c r="J222" s="5"/>
      <c r="K222" s="5"/>
    </row>
    <row r="223" spans="3:11" ht="12.75" hidden="1">
      <c r="C223" s="10"/>
      <c r="D223" s="10"/>
      <c r="E223" s="10"/>
      <c r="F223" s="10"/>
      <c r="G223" s="10"/>
      <c r="H223" s="6"/>
      <c r="I223" s="3" t="e">
        <f>#REF!+#REF!+#REF!+#REF!+#REF!+#REF!+#REF!+#REF!+#REF!+#REF!</f>
        <v>#REF!</v>
      </c>
      <c r="J223" s="5"/>
      <c r="K223" s="5"/>
    </row>
    <row r="224" spans="1:11" ht="12.75" hidden="1">
      <c r="A224" s="2">
        <f>I199+I213</f>
        <v>409.9</v>
      </c>
      <c r="C224" s="18"/>
      <c r="D224" s="18"/>
      <c r="E224" s="18"/>
      <c r="F224" s="18"/>
      <c r="G224" s="18"/>
      <c r="H224" s="6"/>
      <c r="I224" s="3" t="e">
        <f>I223-#REF!</f>
        <v>#REF!</v>
      </c>
      <c r="J224" s="5"/>
      <c r="K224" s="5"/>
    </row>
    <row r="225" spans="1:11" ht="12.75" hidden="1">
      <c r="A225" s="2" t="e">
        <f>#REF!+#REF!</f>
        <v>#REF!</v>
      </c>
      <c r="C225" s="10"/>
      <c r="D225" s="10"/>
      <c r="E225" s="10"/>
      <c r="F225" s="10"/>
      <c r="G225" s="10"/>
      <c r="H225" s="6"/>
      <c r="I225" s="3" t="e">
        <f>I219+I221+I223</f>
        <v>#REF!</v>
      </c>
      <c r="J225" s="5"/>
      <c r="K225" s="5"/>
    </row>
    <row r="226" spans="1:11" ht="12.75" hidden="1">
      <c r="A226" s="2" t="e">
        <f>I199+#REF!</f>
        <v>#REF!</v>
      </c>
      <c r="C226" s="9"/>
      <c r="D226" s="9"/>
      <c r="E226" s="9"/>
      <c r="F226" s="9"/>
      <c r="G226" s="9"/>
      <c r="H226" s="6"/>
      <c r="I226" s="3">
        <f>I27+I41+I57+I73+I90+I105+I120+I135+I151+I166+I182+I196-I194-I179-I163-I148-I132-I118-I102-I87-I70-I38-I53</f>
        <v>992505.6</v>
      </c>
      <c r="J226" s="5"/>
      <c r="K226" s="5"/>
    </row>
    <row r="227" spans="1:11" ht="12.75" hidden="1">
      <c r="A227" s="2" t="e">
        <f>I213+#REF!</f>
        <v>#REF!</v>
      </c>
      <c r="C227" s="9"/>
      <c r="D227" s="9"/>
      <c r="E227" s="9"/>
      <c r="F227" s="9"/>
      <c r="G227" s="9"/>
      <c r="H227" s="6"/>
      <c r="I227" s="3">
        <f>I226-I217</f>
        <v>987505.6</v>
      </c>
      <c r="J227" s="5"/>
      <c r="K227" s="5"/>
    </row>
    <row r="228" spans="3:11" ht="12.75" hidden="1">
      <c r="C228" s="9"/>
      <c r="D228" s="9"/>
      <c r="E228" s="9"/>
      <c r="F228" s="9"/>
      <c r="G228" s="9"/>
      <c r="H228" s="6"/>
      <c r="I228" s="3"/>
      <c r="J228" s="5"/>
      <c r="K228" s="5"/>
    </row>
    <row r="229" spans="3:11" ht="12.75" hidden="1">
      <c r="C229" s="8"/>
      <c r="D229" s="8"/>
      <c r="E229" s="8"/>
      <c r="F229" s="8"/>
      <c r="G229" s="8"/>
      <c r="H229" s="5"/>
      <c r="I229" s="4"/>
      <c r="J229" s="5"/>
      <c r="K229" s="5"/>
    </row>
    <row r="230" spans="3:11" ht="12.75">
      <c r="C230" s="8"/>
      <c r="D230" s="8"/>
      <c r="E230" s="8"/>
      <c r="F230" s="58">
        <f>F8+F30+F44+F60+F76+F93+F108+F123+F138+F154+F169+F185</f>
        <v>170238.19999999998</v>
      </c>
      <c r="G230" s="58">
        <f>G8+G30+G44+G60+G76+G93+G108+G123+G138+G154+G169+G185</f>
        <v>190826.19999999998</v>
      </c>
      <c r="H230" s="58">
        <f>H8+H30+H44+H60+H76+H93+H108+H123+H138+H154+H169+H185</f>
        <v>160139.99999999997</v>
      </c>
      <c r="I230" s="58">
        <f>I8+I30+I44+I60+I76+I93+I108+I123+I138+I154+I169+I185</f>
        <v>196389.2</v>
      </c>
      <c r="J230" s="58"/>
      <c r="K230" s="5"/>
    </row>
    <row r="231" spans="3:11" ht="12.75">
      <c r="C231" s="8"/>
      <c r="D231" s="8"/>
      <c r="E231" s="8"/>
      <c r="F231" s="8"/>
      <c r="G231" s="8"/>
      <c r="H231" s="5"/>
      <c r="I231" s="4"/>
      <c r="J231" s="5"/>
      <c r="K231" s="5"/>
    </row>
    <row r="232" spans="3:11" ht="12.75">
      <c r="C232" s="8"/>
      <c r="D232" s="58"/>
      <c r="E232" s="58"/>
      <c r="F232" s="58"/>
      <c r="G232" s="58"/>
      <c r="H232" s="58"/>
      <c r="I232" s="58"/>
      <c r="J232" s="58"/>
      <c r="K232" s="5"/>
    </row>
    <row r="233" spans="8:11" ht="12.75">
      <c r="H233" s="5"/>
      <c r="I233" s="4"/>
      <c r="J233" s="5"/>
      <c r="K233" s="5"/>
    </row>
    <row r="234" spans="8:11" ht="12.75">
      <c r="H234" s="5"/>
      <c r="I234" s="4"/>
      <c r="J234" s="5"/>
      <c r="K234" s="5"/>
    </row>
    <row r="235" spans="8:11" ht="12.75">
      <c r="H235" s="5"/>
      <c r="I235" s="4"/>
      <c r="J235" s="5"/>
      <c r="K235" s="5"/>
    </row>
    <row r="236" spans="3:11" ht="12.75">
      <c r="C236" s="8"/>
      <c r="D236" s="8"/>
      <c r="E236" s="8"/>
      <c r="F236" s="8"/>
      <c r="G236" s="8"/>
      <c r="H236" s="5"/>
      <c r="I236" s="4"/>
      <c r="J236" s="5"/>
      <c r="K236" s="5"/>
    </row>
    <row r="237" spans="3:11" ht="12.75">
      <c r="C237" s="8"/>
      <c r="D237" s="8"/>
      <c r="E237" s="8"/>
      <c r="F237" s="8"/>
      <c r="G237" s="8"/>
      <c r="H237" s="5"/>
      <c r="I237" s="4"/>
      <c r="J237" s="5"/>
      <c r="K237" s="5"/>
    </row>
    <row r="238" spans="3:11" ht="12.75">
      <c r="C238" s="8"/>
      <c r="D238" s="8"/>
      <c r="E238" s="8"/>
      <c r="F238" s="8"/>
      <c r="G238" s="8"/>
      <c r="H238" s="5"/>
      <c r="I238" s="4"/>
      <c r="J238" s="5"/>
      <c r="K238" s="5"/>
    </row>
    <row r="239" spans="3:11" ht="12.75">
      <c r="C239" s="8"/>
      <c r="D239" s="8"/>
      <c r="E239" s="8"/>
      <c r="F239" s="8"/>
      <c r="G239" s="8"/>
      <c r="H239" s="5"/>
      <c r="I239" s="4"/>
      <c r="J239" s="5"/>
      <c r="K239" s="5"/>
    </row>
    <row r="240" spans="3:11" ht="12.75">
      <c r="C240" s="8"/>
      <c r="D240" s="8"/>
      <c r="E240" s="8"/>
      <c r="F240" s="8"/>
      <c r="G240" s="8"/>
      <c r="H240" s="4"/>
      <c r="I240" s="4"/>
      <c r="J240" s="4"/>
      <c r="K240" s="5"/>
    </row>
    <row r="241" spans="3:11" ht="12.75">
      <c r="C241" s="8"/>
      <c r="D241" s="8"/>
      <c r="E241" s="8"/>
      <c r="F241" s="8"/>
      <c r="G241" s="8"/>
      <c r="H241" s="5"/>
      <c r="I241" s="5"/>
      <c r="J241" s="5"/>
      <c r="K241" s="5"/>
    </row>
    <row r="242" spans="3:11" ht="12.75">
      <c r="C242" s="8"/>
      <c r="D242" s="8"/>
      <c r="E242" s="8"/>
      <c r="F242" s="8"/>
      <c r="G242" s="8"/>
      <c r="H242" s="7"/>
      <c r="I242" s="4"/>
      <c r="J242" s="5"/>
      <c r="K242" s="5"/>
    </row>
  </sheetData>
  <sheetProtection/>
  <mergeCells count="41">
    <mergeCell ref="A60:O60"/>
    <mergeCell ref="A75:L75"/>
    <mergeCell ref="A2:L2"/>
    <mergeCell ref="A29:O29"/>
    <mergeCell ref="F4:F6"/>
    <mergeCell ref="G4:G6"/>
    <mergeCell ref="H4:H6"/>
    <mergeCell ref="I4:I6"/>
    <mergeCell ref="Q4:Q6"/>
    <mergeCell ref="A59:L59"/>
    <mergeCell ref="A28:L28"/>
    <mergeCell ref="A7:O7"/>
    <mergeCell ref="C43:L43"/>
    <mergeCell ref="A44:O44"/>
    <mergeCell ref="A1:Q1"/>
    <mergeCell ref="P4:P6"/>
    <mergeCell ref="J4:J6"/>
    <mergeCell ref="K4:K6"/>
    <mergeCell ref="L4:L6"/>
    <mergeCell ref="M4:M6"/>
    <mergeCell ref="N4:N6"/>
    <mergeCell ref="O4:O6"/>
    <mergeCell ref="D4:D6"/>
    <mergeCell ref="E4:E6"/>
    <mergeCell ref="A169:L169"/>
    <mergeCell ref="A76:O76"/>
    <mergeCell ref="A92:L92"/>
    <mergeCell ref="A93:O93"/>
    <mergeCell ref="A107:L107"/>
    <mergeCell ref="A108:O108"/>
    <mergeCell ref="A123:L123"/>
    <mergeCell ref="A170:O170"/>
    <mergeCell ref="A185:L185"/>
    <mergeCell ref="A186:O186"/>
    <mergeCell ref="A199:L199"/>
    <mergeCell ref="A200:Q200"/>
    <mergeCell ref="A124:O124"/>
    <mergeCell ref="A138:L138"/>
    <mergeCell ref="A139:O139"/>
    <mergeCell ref="A154:L154"/>
    <mergeCell ref="A155:O155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2" max="2" width="52.25390625" style="0" customWidth="1"/>
    <col min="3" max="3" width="15.75390625" style="0" customWidth="1"/>
    <col min="4" max="4" width="14.25390625" style="0" customWidth="1"/>
    <col min="6" max="6" width="14.625" style="0" customWidth="1"/>
    <col min="7" max="7" width="13.75390625" style="0" customWidth="1"/>
    <col min="9" max="9" width="14.25390625" style="0" customWidth="1"/>
    <col min="10" max="10" width="14.625" style="0" customWidth="1"/>
  </cols>
  <sheetData>
    <row r="1" spans="1:11" ht="15.75" customHeight="1">
      <c r="A1" s="227" t="s">
        <v>231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3.5" thickBot="1">
      <c r="A2" s="59"/>
      <c r="B2" s="60"/>
      <c r="C2" s="61"/>
      <c r="D2" s="62"/>
      <c r="E2" s="63"/>
      <c r="F2" s="64"/>
      <c r="G2" s="65"/>
      <c r="H2" s="65"/>
      <c r="I2" s="66"/>
      <c r="J2" s="67"/>
      <c r="K2" s="67"/>
    </row>
    <row r="3" spans="1:11" ht="15" customHeight="1">
      <c r="A3" s="228" t="s">
        <v>82</v>
      </c>
      <c r="B3" s="230" t="s">
        <v>83</v>
      </c>
      <c r="C3" s="232" t="s">
        <v>84</v>
      </c>
      <c r="D3" s="232"/>
      <c r="E3" s="232"/>
      <c r="F3" s="233" t="s">
        <v>85</v>
      </c>
      <c r="G3" s="233"/>
      <c r="H3" s="233"/>
      <c r="I3" s="234" t="s">
        <v>86</v>
      </c>
      <c r="J3" s="234"/>
      <c r="K3" s="235"/>
    </row>
    <row r="4" spans="1:11" ht="12.75" customHeight="1">
      <c r="A4" s="229"/>
      <c r="B4" s="231"/>
      <c r="C4" s="221" t="s">
        <v>87</v>
      </c>
      <c r="D4" s="221" t="s">
        <v>244</v>
      </c>
      <c r="E4" s="221" t="s">
        <v>88</v>
      </c>
      <c r="F4" s="221" t="s">
        <v>87</v>
      </c>
      <c r="G4" s="216" t="s">
        <v>244</v>
      </c>
      <c r="H4" s="216" t="s">
        <v>88</v>
      </c>
      <c r="I4" s="218" t="s">
        <v>87</v>
      </c>
      <c r="J4" s="220" t="s">
        <v>245</v>
      </c>
      <c r="K4" s="223" t="s">
        <v>88</v>
      </c>
    </row>
    <row r="5" spans="1:11" ht="32.25" customHeight="1">
      <c r="A5" s="229"/>
      <c r="B5" s="231"/>
      <c r="C5" s="217"/>
      <c r="D5" s="221"/>
      <c r="E5" s="222"/>
      <c r="F5" s="217"/>
      <c r="G5" s="216"/>
      <c r="H5" s="217"/>
      <c r="I5" s="219"/>
      <c r="J5" s="220"/>
      <c r="K5" s="224"/>
    </row>
    <row r="6" spans="1:11" ht="12.75" customHeight="1">
      <c r="A6" s="229"/>
      <c r="B6" s="225" t="s">
        <v>89</v>
      </c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 customHeight="1">
      <c r="A7" s="229"/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 customHeight="1">
      <c r="A8" s="229"/>
      <c r="B8" s="225"/>
      <c r="C8" s="225"/>
      <c r="D8" s="225"/>
      <c r="E8" s="225"/>
      <c r="F8" s="225"/>
      <c r="G8" s="225"/>
      <c r="H8" s="225"/>
      <c r="I8" s="225"/>
      <c r="J8" s="225"/>
      <c r="K8" s="226"/>
    </row>
    <row r="9" spans="1:11" ht="15">
      <c r="A9" s="70" t="s">
        <v>90</v>
      </c>
      <c r="B9" s="71" t="s">
        <v>91</v>
      </c>
      <c r="C9" s="72">
        <f>SUM(C10:C17)</f>
        <v>314964.9</v>
      </c>
      <c r="D9" s="72">
        <f>SUM(D10:D17)</f>
        <v>162356.8</v>
      </c>
      <c r="E9" s="72">
        <f>D9/C9*100</f>
        <v>51.547585143614405</v>
      </c>
      <c r="F9" s="72">
        <f>F10+F11+F12+F13+F14+F16+F17+F15</f>
        <v>192896.2</v>
      </c>
      <c r="G9" s="72">
        <f>SUM(G10:G17)</f>
        <v>117520</v>
      </c>
      <c r="H9" s="73">
        <f>G9/F9*100</f>
        <v>60.923958066566364</v>
      </c>
      <c r="I9" s="72">
        <f>SUM(I10:I17)</f>
        <v>507571.8</v>
      </c>
      <c r="J9" s="72">
        <f>SUM(J10:J17)</f>
        <v>279702.3</v>
      </c>
      <c r="K9" s="74">
        <f>J9/I9*100</f>
        <v>55.10595742316653</v>
      </c>
    </row>
    <row r="10" spans="1:11" ht="15">
      <c r="A10" s="75" t="s">
        <v>92</v>
      </c>
      <c r="B10" s="76" t="s">
        <v>93</v>
      </c>
      <c r="C10" s="68">
        <v>3567</v>
      </c>
      <c r="D10" s="68">
        <v>2390.1</v>
      </c>
      <c r="E10" s="68">
        <f>D10/C10*100</f>
        <v>67.00588730025231</v>
      </c>
      <c r="F10" s="77">
        <v>38852.9</v>
      </c>
      <c r="G10" s="77">
        <v>26450.5</v>
      </c>
      <c r="H10" s="77">
        <f>G10/F10*100</f>
        <v>68.07857328539183</v>
      </c>
      <c r="I10" s="78">
        <f aca="true" t="shared" si="0" ref="I10:J79">C10+F10</f>
        <v>42419.9</v>
      </c>
      <c r="J10" s="69">
        <f t="shared" si="0"/>
        <v>28840.6</v>
      </c>
      <c r="K10" s="79">
        <f aca="true" t="shared" si="1" ref="K10:K81">J10/I10*100</f>
        <v>67.9883733813611</v>
      </c>
    </row>
    <row r="11" spans="1:11" ht="30">
      <c r="A11" s="75" t="s">
        <v>94</v>
      </c>
      <c r="B11" s="76" t="s">
        <v>95</v>
      </c>
      <c r="C11" s="68">
        <v>12259.6</v>
      </c>
      <c r="D11" s="68">
        <v>9450.2</v>
      </c>
      <c r="E11" s="68">
        <f aca="true" t="shared" si="2" ref="E11:E19">D11/C11*100</f>
        <v>77.08408104668995</v>
      </c>
      <c r="F11" s="77">
        <v>0</v>
      </c>
      <c r="G11" s="77"/>
      <c r="H11" s="77">
        <v>0</v>
      </c>
      <c r="I11" s="78">
        <f t="shared" si="0"/>
        <v>12259.6</v>
      </c>
      <c r="J11" s="69">
        <f t="shared" si="0"/>
        <v>9450.2</v>
      </c>
      <c r="K11" s="79">
        <f t="shared" si="1"/>
        <v>77.08408104668995</v>
      </c>
    </row>
    <row r="12" spans="1:11" ht="30">
      <c r="A12" s="75" t="s">
        <v>96</v>
      </c>
      <c r="B12" s="76" t="s">
        <v>97</v>
      </c>
      <c r="C12" s="68">
        <v>134143</v>
      </c>
      <c r="D12" s="68">
        <v>84827.7</v>
      </c>
      <c r="E12" s="68">
        <f t="shared" si="2"/>
        <v>63.236769715900195</v>
      </c>
      <c r="F12" s="77">
        <v>118180.8</v>
      </c>
      <c r="G12" s="77">
        <v>74080</v>
      </c>
      <c r="H12" s="77">
        <f aca="true" t="shared" si="3" ref="H12:H19">G12/F12*100</f>
        <v>62.683616966546175</v>
      </c>
      <c r="I12" s="78">
        <f t="shared" si="0"/>
        <v>252323.8</v>
      </c>
      <c r="J12" s="69">
        <f t="shared" si="0"/>
        <v>158907.7</v>
      </c>
      <c r="K12" s="79">
        <f t="shared" si="1"/>
        <v>62.97768977797576</v>
      </c>
    </row>
    <row r="13" spans="1:11" ht="15">
      <c r="A13" s="75" t="s">
        <v>98</v>
      </c>
      <c r="B13" s="76" t="s">
        <v>99</v>
      </c>
      <c r="C13" s="68">
        <v>24.7</v>
      </c>
      <c r="D13" s="68"/>
      <c r="E13" s="68">
        <v>0</v>
      </c>
      <c r="F13" s="77">
        <v>0</v>
      </c>
      <c r="G13" s="77"/>
      <c r="H13" s="77">
        <v>0</v>
      </c>
      <c r="I13" s="78">
        <f t="shared" si="0"/>
        <v>24.7</v>
      </c>
      <c r="J13" s="69">
        <f t="shared" si="0"/>
        <v>0</v>
      </c>
      <c r="K13" s="79"/>
    </row>
    <row r="14" spans="1:11" ht="15">
      <c r="A14" s="75" t="s">
        <v>100</v>
      </c>
      <c r="B14" s="76" t="s">
        <v>101</v>
      </c>
      <c r="C14" s="68">
        <v>28515.8</v>
      </c>
      <c r="D14" s="68">
        <v>18649.3</v>
      </c>
      <c r="E14" s="68">
        <f t="shared" si="2"/>
        <v>65.39988357331725</v>
      </c>
      <c r="F14" s="77">
        <v>0</v>
      </c>
      <c r="G14" s="77"/>
      <c r="H14" s="77">
        <v>0</v>
      </c>
      <c r="I14" s="78">
        <f>C14+F14</f>
        <v>28515.8</v>
      </c>
      <c r="J14" s="69">
        <f>D14+G14</f>
        <v>18649.3</v>
      </c>
      <c r="K14" s="79">
        <f t="shared" si="1"/>
        <v>65.39988357331725</v>
      </c>
    </row>
    <row r="15" spans="1:11" ht="15">
      <c r="A15" s="80" t="s">
        <v>102</v>
      </c>
      <c r="B15" s="76" t="s">
        <v>103</v>
      </c>
      <c r="C15" s="68">
        <v>0</v>
      </c>
      <c r="D15" s="68"/>
      <c r="E15" s="68"/>
      <c r="F15" s="77">
        <v>0</v>
      </c>
      <c r="G15" s="77"/>
      <c r="H15" s="77">
        <v>0</v>
      </c>
      <c r="I15" s="78">
        <f>C15+F15</f>
        <v>0</v>
      </c>
      <c r="J15" s="69">
        <f t="shared" si="0"/>
        <v>0</v>
      </c>
      <c r="K15" s="79"/>
    </row>
    <row r="16" spans="1:11" ht="15">
      <c r="A16" s="80" t="s">
        <v>104</v>
      </c>
      <c r="B16" s="76" t="s">
        <v>105</v>
      </c>
      <c r="C16" s="68">
        <v>4036</v>
      </c>
      <c r="D16" s="68"/>
      <c r="E16" s="68">
        <f t="shared" si="2"/>
        <v>0</v>
      </c>
      <c r="F16" s="77">
        <v>1072.2</v>
      </c>
      <c r="G16" s="77"/>
      <c r="H16" s="77">
        <f t="shared" si="3"/>
        <v>0</v>
      </c>
      <c r="I16" s="78">
        <f t="shared" si="0"/>
        <v>5108.2</v>
      </c>
      <c r="J16" s="69">
        <f t="shared" si="0"/>
        <v>0</v>
      </c>
      <c r="K16" s="79">
        <f t="shared" si="1"/>
        <v>0</v>
      </c>
    </row>
    <row r="17" spans="1:11" ht="15">
      <c r="A17" s="75" t="s">
        <v>106</v>
      </c>
      <c r="B17" s="76" t="s">
        <v>107</v>
      </c>
      <c r="C17" s="68">
        <v>132418.8</v>
      </c>
      <c r="D17" s="68">
        <v>47039.5</v>
      </c>
      <c r="E17" s="68">
        <f t="shared" si="2"/>
        <v>35.52327917183965</v>
      </c>
      <c r="F17" s="77">
        <v>34790.3</v>
      </c>
      <c r="G17" s="77">
        <v>16989.5</v>
      </c>
      <c r="H17" s="77">
        <f t="shared" si="3"/>
        <v>48.834014078636855</v>
      </c>
      <c r="I17" s="78">
        <f>C17+F17-289.3</f>
        <v>166919.8</v>
      </c>
      <c r="J17" s="69">
        <f>D17+G17-174.5</f>
        <v>63854.5</v>
      </c>
      <c r="K17" s="79">
        <f t="shared" si="1"/>
        <v>38.25459891516765</v>
      </c>
    </row>
    <row r="18" spans="1:11" ht="15">
      <c r="A18" s="70" t="s">
        <v>108</v>
      </c>
      <c r="B18" s="71" t="s">
        <v>109</v>
      </c>
      <c r="C18" s="72">
        <f aca="true" t="shared" si="4" ref="C18:J18">C19</f>
        <v>4840</v>
      </c>
      <c r="D18" s="72">
        <f t="shared" si="4"/>
        <v>4477</v>
      </c>
      <c r="E18" s="72">
        <f t="shared" si="4"/>
        <v>92.5</v>
      </c>
      <c r="F18" s="72">
        <f t="shared" si="4"/>
        <v>4840</v>
      </c>
      <c r="G18" s="72">
        <f t="shared" si="4"/>
        <v>1960.2</v>
      </c>
      <c r="H18" s="81">
        <f t="shared" si="4"/>
        <v>40.5</v>
      </c>
      <c r="I18" s="72">
        <f t="shared" si="4"/>
        <v>4840</v>
      </c>
      <c r="J18" s="72">
        <f t="shared" si="4"/>
        <v>1960.1999999999998</v>
      </c>
      <c r="K18" s="82">
        <f t="shared" si="1"/>
        <v>40.5</v>
      </c>
    </row>
    <row r="19" spans="1:11" ht="15">
      <c r="A19" s="75" t="s">
        <v>110</v>
      </c>
      <c r="B19" s="76" t="s">
        <v>111</v>
      </c>
      <c r="C19" s="68">
        <v>4840</v>
      </c>
      <c r="D19" s="68">
        <v>4477</v>
      </c>
      <c r="E19" s="68">
        <f t="shared" si="2"/>
        <v>92.5</v>
      </c>
      <c r="F19" s="77">
        <v>4840</v>
      </c>
      <c r="G19" s="77">
        <v>1960.2</v>
      </c>
      <c r="H19" s="77">
        <f t="shared" si="3"/>
        <v>40.5</v>
      </c>
      <c r="I19" s="78">
        <f>C19+F19-4840</f>
        <v>4840</v>
      </c>
      <c r="J19" s="69">
        <f>D19+G19-4477</f>
        <v>1960.1999999999998</v>
      </c>
      <c r="K19" s="79">
        <f t="shared" si="1"/>
        <v>40.5</v>
      </c>
    </row>
    <row r="20" spans="1:11" ht="12.75" customHeight="1">
      <c r="A20" s="214" t="s">
        <v>112</v>
      </c>
      <c r="B20" s="215" t="s">
        <v>113</v>
      </c>
      <c r="C20" s="211">
        <f>C23+C24+C22</f>
        <v>14720.3</v>
      </c>
      <c r="D20" s="211">
        <f>D23+D24+D22</f>
        <v>9097.8</v>
      </c>
      <c r="E20" s="211">
        <f>D20/C20*100</f>
        <v>61.8044469202394</v>
      </c>
      <c r="F20" s="211">
        <f>F23+F24+F22</f>
        <v>7057.3</v>
      </c>
      <c r="G20" s="211">
        <f>G23+G24+G22</f>
        <v>3239.4000000000005</v>
      </c>
      <c r="H20" s="211">
        <f>G20/F20*100</f>
        <v>45.90140705368909</v>
      </c>
      <c r="I20" s="211">
        <f>I23+I24+I22</f>
        <v>20028.3</v>
      </c>
      <c r="J20" s="211">
        <f>SUM(J22:J24)</f>
        <v>11600.899999999998</v>
      </c>
      <c r="K20" s="211">
        <f>J20/I20*100</f>
        <v>57.92253960645686</v>
      </c>
    </row>
    <row r="21" spans="1:11" ht="12.75" customHeight="1">
      <c r="A21" s="214"/>
      <c r="B21" s="215"/>
      <c r="C21" s="211"/>
      <c r="D21" s="211"/>
      <c r="E21" s="211"/>
      <c r="F21" s="211"/>
      <c r="G21" s="211"/>
      <c r="H21" s="211"/>
      <c r="I21" s="211"/>
      <c r="J21" s="211"/>
      <c r="K21" s="211"/>
    </row>
    <row r="22" spans="1:11" ht="15">
      <c r="A22" s="80" t="s">
        <v>114</v>
      </c>
      <c r="B22" s="76" t="s">
        <v>115</v>
      </c>
      <c r="C22" s="68">
        <v>4442.7</v>
      </c>
      <c r="D22" s="68">
        <v>2238.1</v>
      </c>
      <c r="E22" s="68">
        <f aca="true" t="shared" si="5" ref="E22:E92">D22/C22*100</f>
        <v>50.37702298152025</v>
      </c>
      <c r="F22" s="77">
        <v>759</v>
      </c>
      <c r="G22" s="77">
        <v>328.3</v>
      </c>
      <c r="H22" s="77">
        <f>G22/F22*100</f>
        <v>43.254281949934125</v>
      </c>
      <c r="I22" s="78">
        <f>C22+F22-759</f>
        <v>4442.7</v>
      </c>
      <c r="J22" s="69">
        <f>D22+G22-405.6</f>
        <v>2160.8</v>
      </c>
      <c r="K22" s="79">
        <f>J22/I22*100</f>
        <v>48.63709005784771</v>
      </c>
    </row>
    <row r="23" spans="1:11" ht="15">
      <c r="A23" s="75" t="s">
        <v>116</v>
      </c>
      <c r="B23" s="76" t="s">
        <v>117</v>
      </c>
      <c r="C23" s="68">
        <v>9776.9</v>
      </c>
      <c r="D23" s="68">
        <v>6529</v>
      </c>
      <c r="E23" s="68">
        <f t="shared" si="5"/>
        <v>66.77985864640121</v>
      </c>
      <c r="F23" s="77">
        <v>5890.5</v>
      </c>
      <c r="G23" s="77">
        <v>2754.8</v>
      </c>
      <c r="H23" s="77">
        <f>G23/F23*100</f>
        <v>46.76682794329853</v>
      </c>
      <c r="I23" s="78">
        <f>C23+F23-659.6</f>
        <v>15007.8</v>
      </c>
      <c r="J23" s="69">
        <f>D23+G23</f>
        <v>9283.8</v>
      </c>
      <c r="K23" s="79">
        <f>J23/I23*100</f>
        <v>61.859832886898815</v>
      </c>
    </row>
    <row r="24" spans="1:11" ht="30">
      <c r="A24" s="80" t="s">
        <v>118</v>
      </c>
      <c r="B24" s="76" t="s">
        <v>119</v>
      </c>
      <c r="C24" s="68">
        <v>500.7</v>
      </c>
      <c r="D24" s="68">
        <v>330.7</v>
      </c>
      <c r="E24" s="68">
        <f t="shared" si="5"/>
        <v>66.04753345316556</v>
      </c>
      <c r="F24" s="77">
        <v>407.8</v>
      </c>
      <c r="G24" s="77">
        <v>156.3</v>
      </c>
      <c r="H24" s="77">
        <f>G24/F24*100</f>
        <v>38.32761157430113</v>
      </c>
      <c r="I24" s="78">
        <f>C24+F24-330.7</f>
        <v>577.8</v>
      </c>
      <c r="J24" s="78">
        <f>D24+G24-330.7</f>
        <v>156.3</v>
      </c>
      <c r="K24" s="79">
        <f>J24/I24*100</f>
        <v>27.0508826583593</v>
      </c>
    </row>
    <row r="25" spans="1:11" ht="15">
      <c r="A25" s="70" t="s">
        <v>120</v>
      </c>
      <c r="B25" s="71" t="s">
        <v>121</v>
      </c>
      <c r="C25" s="72">
        <f>SUM(C26:C45)</f>
        <v>212602.6</v>
      </c>
      <c r="D25" s="72">
        <f>SUM(D26:D45)</f>
        <v>138300.59999999998</v>
      </c>
      <c r="E25" s="72">
        <f>D25/C25*100</f>
        <v>65.05122703108992</v>
      </c>
      <c r="F25" s="72">
        <f>SUM(F26:F45)</f>
        <v>82759.70000000001</v>
      </c>
      <c r="G25" s="72">
        <f>SUM(G26:G45)</f>
        <v>39581.100000000006</v>
      </c>
      <c r="H25" s="73">
        <f>G25/F25*100</f>
        <v>47.82653876222364</v>
      </c>
      <c r="I25" s="72">
        <f>SUM(I26:I45)</f>
        <v>239296.40000000002</v>
      </c>
      <c r="J25" s="72">
        <f>SUM(J26:J45)</f>
        <v>143723.49999999997</v>
      </c>
      <c r="K25" s="74">
        <f t="shared" si="1"/>
        <v>60.06087011756131</v>
      </c>
    </row>
    <row r="26" spans="1:11" ht="45">
      <c r="A26" s="80" t="s">
        <v>122</v>
      </c>
      <c r="B26" s="83" t="s">
        <v>123</v>
      </c>
      <c r="C26" s="68">
        <v>16281.2</v>
      </c>
      <c r="D26" s="68">
        <v>7925.7</v>
      </c>
      <c r="E26" s="68">
        <f t="shared" si="5"/>
        <v>48.68007272191239</v>
      </c>
      <c r="F26" s="68">
        <v>9848.5</v>
      </c>
      <c r="G26" s="77">
        <v>7913.4</v>
      </c>
      <c r="H26" s="77">
        <f>G26/F26*100</f>
        <v>80.35132253642686</v>
      </c>
      <c r="I26" s="78">
        <f>C26+F26-7644.8</f>
        <v>18484.9</v>
      </c>
      <c r="J26" s="78">
        <f>D26+G26-6558.8</f>
        <v>9280.3</v>
      </c>
      <c r="K26" s="79">
        <f t="shared" si="1"/>
        <v>50.20476172443453</v>
      </c>
    </row>
    <row r="27" spans="1:11" ht="15">
      <c r="A27" s="75" t="s">
        <v>124</v>
      </c>
      <c r="B27" s="76" t="s">
        <v>125</v>
      </c>
      <c r="C27" s="68">
        <v>49700</v>
      </c>
      <c r="D27" s="68">
        <v>37604.1</v>
      </c>
      <c r="E27" s="68">
        <f t="shared" si="5"/>
        <v>75.66217303822937</v>
      </c>
      <c r="F27" s="77">
        <v>0</v>
      </c>
      <c r="G27" s="77">
        <v>0</v>
      </c>
      <c r="H27" s="77">
        <v>0</v>
      </c>
      <c r="I27" s="78">
        <f t="shared" si="0"/>
        <v>49700</v>
      </c>
      <c r="J27" s="69">
        <f t="shared" si="0"/>
        <v>37604.1</v>
      </c>
      <c r="K27" s="79">
        <f t="shared" si="1"/>
        <v>75.66217303822937</v>
      </c>
    </row>
    <row r="28" spans="1:11" ht="15">
      <c r="A28" s="75" t="s">
        <v>126</v>
      </c>
      <c r="B28" s="76" t="s">
        <v>127</v>
      </c>
      <c r="C28" s="68">
        <v>13150</v>
      </c>
      <c r="D28" s="68">
        <v>10680.5</v>
      </c>
      <c r="E28" s="68">
        <f t="shared" si="5"/>
        <v>81.22053231939164</v>
      </c>
      <c r="F28" s="77">
        <v>0</v>
      </c>
      <c r="G28" s="77">
        <v>0</v>
      </c>
      <c r="H28" s="77">
        <v>0</v>
      </c>
      <c r="I28" s="78">
        <f t="shared" si="0"/>
        <v>13150</v>
      </c>
      <c r="J28" s="69">
        <f t="shared" si="0"/>
        <v>10680.5</v>
      </c>
      <c r="K28" s="79">
        <f t="shared" si="1"/>
        <v>81.22053231939164</v>
      </c>
    </row>
    <row r="29" spans="1:11" ht="30">
      <c r="A29" s="75" t="s">
        <v>126</v>
      </c>
      <c r="B29" s="76" t="s">
        <v>128</v>
      </c>
      <c r="C29" s="68">
        <v>16751</v>
      </c>
      <c r="D29" s="68">
        <v>13918.4</v>
      </c>
      <c r="E29" s="68">
        <f t="shared" si="5"/>
        <v>83.0899647782222</v>
      </c>
      <c r="F29" s="77">
        <v>14076.5</v>
      </c>
      <c r="G29" s="77">
        <v>6839.4</v>
      </c>
      <c r="H29" s="77">
        <f>G29/F29*100</f>
        <v>48.58736191524882</v>
      </c>
      <c r="I29" s="78">
        <f t="shared" si="0"/>
        <v>30827.5</v>
      </c>
      <c r="J29" s="69">
        <f t="shared" si="0"/>
        <v>20757.8</v>
      </c>
      <c r="K29" s="79">
        <f t="shared" si="1"/>
        <v>67.3353337117833</v>
      </c>
    </row>
    <row r="30" spans="1:11" ht="15">
      <c r="A30" s="75" t="s">
        <v>126</v>
      </c>
      <c r="B30" s="76" t="s">
        <v>129</v>
      </c>
      <c r="C30" s="68">
        <v>8704</v>
      </c>
      <c r="D30" s="68">
        <v>4013.5</v>
      </c>
      <c r="E30" s="68">
        <f t="shared" si="5"/>
        <v>46.110983455882355</v>
      </c>
      <c r="F30" s="77">
        <v>0</v>
      </c>
      <c r="G30" s="77">
        <v>0</v>
      </c>
      <c r="H30" s="77">
        <v>0</v>
      </c>
      <c r="I30" s="78">
        <f t="shared" si="0"/>
        <v>8704</v>
      </c>
      <c r="J30" s="69">
        <f t="shared" si="0"/>
        <v>4013.5</v>
      </c>
      <c r="K30" s="79">
        <f t="shared" si="1"/>
        <v>46.110983455882355</v>
      </c>
    </row>
    <row r="31" spans="1:11" ht="45">
      <c r="A31" s="75" t="s">
        <v>130</v>
      </c>
      <c r="B31" s="84" t="s">
        <v>131</v>
      </c>
      <c r="C31" s="68">
        <v>1958.5</v>
      </c>
      <c r="D31" s="68"/>
      <c r="E31" s="68">
        <f t="shared" si="5"/>
        <v>0</v>
      </c>
      <c r="F31" s="77">
        <v>543.8</v>
      </c>
      <c r="G31" s="77">
        <v>198.6</v>
      </c>
      <c r="H31" s="77">
        <v>0</v>
      </c>
      <c r="I31" s="78">
        <f t="shared" si="0"/>
        <v>2502.3</v>
      </c>
      <c r="J31" s="69">
        <f t="shared" si="0"/>
        <v>198.6</v>
      </c>
      <c r="K31" s="79">
        <f t="shared" si="1"/>
        <v>7.936698237621388</v>
      </c>
    </row>
    <row r="32" spans="1:11" ht="60">
      <c r="A32" s="80" t="s">
        <v>130</v>
      </c>
      <c r="B32" s="84" t="s">
        <v>132</v>
      </c>
      <c r="C32" s="68">
        <v>15582.7</v>
      </c>
      <c r="D32" s="68">
        <v>4431.8</v>
      </c>
      <c r="E32" s="68">
        <f t="shared" si="5"/>
        <v>28.440514159933773</v>
      </c>
      <c r="F32" s="77">
        <v>10310.7</v>
      </c>
      <c r="G32" s="77">
        <v>2865.1</v>
      </c>
      <c r="H32" s="77">
        <f aca="true" t="shared" si="6" ref="H32:H37">G32/F32*100</f>
        <v>27.787638084708117</v>
      </c>
      <c r="I32" s="78">
        <f>C32+F32-10310.7</f>
        <v>15582.7</v>
      </c>
      <c r="J32" s="69">
        <f>D32+G32-4082.1</f>
        <v>3214.7999999999997</v>
      </c>
      <c r="K32" s="79">
        <f>J32/I32*100</f>
        <v>20.630571082033278</v>
      </c>
    </row>
    <row r="33" spans="1:11" ht="105">
      <c r="A33" s="80" t="s">
        <v>130</v>
      </c>
      <c r="B33" s="76" t="s">
        <v>133</v>
      </c>
      <c r="C33" s="68">
        <v>3296</v>
      </c>
      <c r="D33" s="68">
        <v>545.9</v>
      </c>
      <c r="E33" s="68">
        <f t="shared" si="5"/>
        <v>16.5625</v>
      </c>
      <c r="F33" s="77">
        <v>3296</v>
      </c>
      <c r="G33" s="77">
        <v>545.9</v>
      </c>
      <c r="H33" s="77">
        <f t="shared" si="6"/>
        <v>16.5625</v>
      </c>
      <c r="I33" s="78">
        <f>C33+F33-3296</f>
        <v>3296</v>
      </c>
      <c r="J33" s="69">
        <f>D33+G33-545.9</f>
        <v>545.9</v>
      </c>
      <c r="K33" s="79">
        <f>J33/I33*100</f>
        <v>16.5625</v>
      </c>
    </row>
    <row r="34" spans="1:11" ht="30">
      <c r="A34" s="80" t="s">
        <v>130</v>
      </c>
      <c r="B34" s="76" t="s">
        <v>134</v>
      </c>
      <c r="C34" s="68">
        <v>38137.3</v>
      </c>
      <c r="D34" s="68">
        <v>25187.7</v>
      </c>
      <c r="E34" s="68">
        <f t="shared" si="5"/>
        <v>66.04479079536306</v>
      </c>
      <c r="F34" s="77">
        <v>32177.4</v>
      </c>
      <c r="G34" s="77">
        <v>13865.5</v>
      </c>
      <c r="H34" s="77">
        <f t="shared" si="6"/>
        <v>43.0908028616358</v>
      </c>
      <c r="I34" s="78">
        <f>C34+F34-31877.4</f>
        <v>38437.30000000001</v>
      </c>
      <c r="J34" s="69">
        <f>D34+G34-20090.6</f>
        <v>18962.6</v>
      </c>
      <c r="K34" s="79">
        <f>J34/I34*100</f>
        <v>49.333850192391225</v>
      </c>
    </row>
    <row r="35" spans="1:11" ht="30">
      <c r="A35" s="80" t="s">
        <v>130</v>
      </c>
      <c r="B35" s="76" t="s">
        <v>135</v>
      </c>
      <c r="C35" s="68"/>
      <c r="D35" s="68"/>
      <c r="E35" s="68"/>
      <c r="F35" s="77">
        <v>3807.1</v>
      </c>
      <c r="G35" s="77">
        <v>2410.7</v>
      </c>
      <c r="H35" s="77">
        <f t="shared" si="6"/>
        <v>63.32116309001602</v>
      </c>
      <c r="I35" s="78">
        <f>C35+F35</f>
        <v>3807.1</v>
      </c>
      <c r="J35" s="69">
        <f t="shared" si="0"/>
        <v>2410.7</v>
      </c>
      <c r="K35" s="79">
        <f t="shared" si="1"/>
        <v>63.32116309001602</v>
      </c>
    </row>
    <row r="36" spans="1:11" ht="15">
      <c r="A36" s="75" t="s">
        <v>136</v>
      </c>
      <c r="B36" s="76" t="s">
        <v>137</v>
      </c>
      <c r="C36" s="68">
        <v>5126.6</v>
      </c>
      <c r="D36" s="68">
        <v>2976.1</v>
      </c>
      <c r="E36" s="85">
        <f t="shared" si="5"/>
        <v>58.05212031365817</v>
      </c>
      <c r="F36" s="77">
        <v>5356.6</v>
      </c>
      <c r="G36" s="77">
        <v>3136.8</v>
      </c>
      <c r="H36" s="88">
        <f t="shared" si="6"/>
        <v>58.55953403278199</v>
      </c>
      <c r="I36" s="78">
        <f t="shared" si="0"/>
        <v>10483.2</v>
      </c>
      <c r="J36" s="69">
        <f t="shared" si="0"/>
        <v>6112.9</v>
      </c>
      <c r="K36" s="79">
        <f t="shared" si="1"/>
        <v>58.311393467643455</v>
      </c>
    </row>
    <row r="37" spans="1:11" ht="60">
      <c r="A37" s="75" t="s">
        <v>138</v>
      </c>
      <c r="B37" s="84" t="s">
        <v>139</v>
      </c>
      <c r="C37" s="68">
        <v>3164.6</v>
      </c>
      <c r="D37" s="68">
        <v>2733</v>
      </c>
      <c r="E37" s="85">
        <f t="shared" si="5"/>
        <v>86.36162548189344</v>
      </c>
      <c r="F37" s="77">
        <v>2883</v>
      </c>
      <c r="G37" s="77">
        <v>1637.3</v>
      </c>
      <c r="H37" s="88">
        <f t="shared" si="6"/>
        <v>56.791536593825874</v>
      </c>
      <c r="I37" s="78">
        <f>C37+F37-2733</f>
        <v>3314.6000000000004</v>
      </c>
      <c r="J37" s="69">
        <f>D37+G37-2733</f>
        <v>1637.3000000000002</v>
      </c>
      <c r="K37" s="79">
        <f t="shared" si="1"/>
        <v>49.396608942255476</v>
      </c>
    </row>
    <row r="38" spans="1:11" ht="60">
      <c r="A38" s="75" t="s">
        <v>138</v>
      </c>
      <c r="B38" s="84" t="s">
        <v>140</v>
      </c>
      <c r="C38" s="68">
        <v>4500</v>
      </c>
      <c r="D38" s="77">
        <v>3884.4</v>
      </c>
      <c r="E38" s="85">
        <f t="shared" si="5"/>
        <v>86.32</v>
      </c>
      <c r="F38" s="77">
        <v>0</v>
      </c>
      <c r="G38" s="77">
        <v>0</v>
      </c>
      <c r="H38" s="88">
        <v>0</v>
      </c>
      <c r="I38" s="78">
        <f t="shared" si="0"/>
        <v>4500</v>
      </c>
      <c r="J38" s="69">
        <f t="shared" si="0"/>
        <v>3884.4</v>
      </c>
      <c r="K38" s="79">
        <f t="shared" si="1"/>
        <v>86.32</v>
      </c>
    </row>
    <row r="39" spans="1:11" ht="120">
      <c r="A39" s="75" t="s">
        <v>138</v>
      </c>
      <c r="B39" s="84" t="s">
        <v>232</v>
      </c>
      <c r="C39" s="68">
        <f>11133.9+2400</f>
        <v>13533.9</v>
      </c>
      <c r="D39" s="77">
        <v>12133.8</v>
      </c>
      <c r="E39" s="85">
        <f t="shared" si="5"/>
        <v>89.65486666814444</v>
      </c>
      <c r="F39" s="77"/>
      <c r="G39" s="77"/>
      <c r="H39" s="88"/>
      <c r="I39" s="78">
        <f t="shared" si="0"/>
        <v>13533.9</v>
      </c>
      <c r="J39" s="69">
        <f t="shared" si="0"/>
        <v>12133.8</v>
      </c>
      <c r="K39" s="79">
        <f t="shared" si="1"/>
        <v>89.65486666814444</v>
      </c>
    </row>
    <row r="40" spans="1:11" ht="75">
      <c r="A40" s="80" t="s">
        <v>138</v>
      </c>
      <c r="B40" s="84" t="s">
        <v>141</v>
      </c>
      <c r="C40" s="68">
        <v>18058.5</v>
      </c>
      <c r="D40" s="77">
        <v>11164.6</v>
      </c>
      <c r="E40" s="85">
        <f t="shared" si="5"/>
        <v>61.82462552260708</v>
      </c>
      <c r="F40" s="77"/>
      <c r="G40" s="77"/>
      <c r="H40" s="88"/>
      <c r="I40" s="78">
        <f t="shared" si="0"/>
        <v>18058.5</v>
      </c>
      <c r="J40" s="69">
        <f t="shared" si="0"/>
        <v>11164.6</v>
      </c>
      <c r="K40" s="79">
        <f t="shared" si="1"/>
        <v>61.82462552260708</v>
      </c>
    </row>
    <row r="41" spans="1:11" ht="90">
      <c r="A41" s="80" t="s">
        <v>138</v>
      </c>
      <c r="B41" s="84" t="s">
        <v>142</v>
      </c>
      <c r="C41" s="68">
        <v>2800</v>
      </c>
      <c r="D41" s="77"/>
      <c r="E41" s="85">
        <f t="shared" si="5"/>
        <v>0</v>
      </c>
      <c r="F41" s="77"/>
      <c r="G41" s="77"/>
      <c r="H41" s="88"/>
      <c r="I41" s="78">
        <f t="shared" si="0"/>
        <v>2800</v>
      </c>
      <c r="J41" s="69">
        <f t="shared" si="0"/>
        <v>0</v>
      </c>
      <c r="K41" s="79">
        <f t="shared" si="1"/>
        <v>0</v>
      </c>
    </row>
    <row r="42" spans="1:11" ht="30">
      <c r="A42" s="80" t="s">
        <v>138</v>
      </c>
      <c r="B42" s="84" t="s">
        <v>143</v>
      </c>
      <c r="C42" s="68">
        <v>1455.8</v>
      </c>
      <c r="D42" s="77">
        <v>845</v>
      </c>
      <c r="E42" s="85">
        <f t="shared" si="5"/>
        <v>58.043687319686775</v>
      </c>
      <c r="F42" s="77">
        <v>0</v>
      </c>
      <c r="G42" s="77">
        <v>0</v>
      </c>
      <c r="H42" s="88">
        <v>0</v>
      </c>
      <c r="I42" s="78">
        <f t="shared" si="0"/>
        <v>1455.8</v>
      </c>
      <c r="J42" s="69">
        <f t="shared" si="0"/>
        <v>845</v>
      </c>
      <c r="K42" s="79">
        <f t="shared" si="1"/>
        <v>58.043687319686775</v>
      </c>
    </row>
    <row r="43" spans="1:11" ht="45">
      <c r="A43" s="80" t="s">
        <v>138</v>
      </c>
      <c r="B43" s="84" t="s">
        <v>144</v>
      </c>
      <c r="C43" s="68">
        <v>198.5</v>
      </c>
      <c r="D43" s="77">
        <v>108.3</v>
      </c>
      <c r="E43" s="85">
        <f t="shared" si="5"/>
        <v>54.559193954659946</v>
      </c>
      <c r="F43" s="77"/>
      <c r="G43" s="77"/>
      <c r="H43" s="88">
        <v>0</v>
      </c>
      <c r="I43" s="78">
        <f t="shared" si="0"/>
        <v>198.5</v>
      </c>
      <c r="J43" s="69">
        <f t="shared" si="0"/>
        <v>108.3</v>
      </c>
      <c r="K43" s="79">
        <f t="shared" si="1"/>
        <v>54.559193954659946</v>
      </c>
    </row>
    <row r="44" spans="1:11" ht="45">
      <c r="A44" s="80" t="s">
        <v>138</v>
      </c>
      <c r="B44" s="84" t="s">
        <v>233</v>
      </c>
      <c r="C44" s="68"/>
      <c r="D44" s="77"/>
      <c r="E44" s="85"/>
      <c r="F44" s="77">
        <f>206.1+50</f>
        <v>256.1</v>
      </c>
      <c r="G44" s="77">
        <v>20.6</v>
      </c>
      <c r="H44" s="88">
        <v>0</v>
      </c>
      <c r="I44" s="78">
        <f t="shared" si="0"/>
        <v>256.1</v>
      </c>
      <c r="J44" s="69">
        <f t="shared" si="0"/>
        <v>20.6</v>
      </c>
      <c r="K44" s="79">
        <f t="shared" si="1"/>
        <v>8.043732916829363</v>
      </c>
    </row>
    <row r="45" spans="1:11" ht="75">
      <c r="A45" s="80" t="s">
        <v>138</v>
      </c>
      <c r="B45" s="84" t="s">
        <v>145</v>
      </c>
      <c r="C45" s="68">
        <v>204</v>
      </c>
      <c r="D45" s="77">
        <v>147.8</v>
      </c>
      <c r="E45" s="85">
        <f t="shared" si="5"/>
        <v>72.45098039215688</v>
      </c>
      <c r="F45" s="77">
        <v>204</v>
      </c>
      <c r="G45" s="77">
        <v>147.8</v>
      </c>
      <c r="H45" s="88">
        <f>G45/F45*100</f>
        <v>72.45098039215688</v>
      </c>
      <c r="I45" s="78">
        <f>C45+F45-204</f>
        <v>204</v>
      </c>
      <c r="J45" s="69">
        <f>D45+G45-147.8</f>
        <v>147.8</v>
      </c>
      <c r="K45" s="79">
        <f t="shared" si="1"/>
        <v>72.45098039215688</v>
      </c>
    </row>
    <row r="46" spans="1:11" ht="14.25">
      <c r="A46" s="70" t="s">
        <v>146</v>
      </c>
      <c r="B46" s="71" t="s">
        <v>147</v>
      </c>
      <c r="C46" s="86">
        <f>SUM(C47:C69)</f>
        <v>292756.1</v>
      </c>
      <c r="D46" s="86">
        <f>SUM(D47:D69)</f>
        <v>203778.30000000002</v>
      </c>
      <c r="E46" s="72">
        <f t="shared" si="5"/>
        <v>69.60685020739108</v>
      </c>
      <c r="F46" s="87">
        <f>SUM(F47:F69)</f>
        <v>160554.5</v>
      </c>
      <c r="G46" s="87">
        <f>SUM(G47:G69)</f>
        <v>57361.3</v>
      </c>
      <c r="H46" s="87">
        <f>G46/F46*100</f>
        <v>35.726996129040295</v>
      </c>
      <c r="I46" s="86">
        <f>SUM(I47:I69)</f>
        <v>394734.89999999997</v>
      </c>
      <c r="J46" s="86">
        <f>SUM(J47:J69)</f>
        <v>246411.2</v>
      </c>
      <c r="K46" s="74">
        <f t="shared" si="1"/>
        <v>62.424477795097424</v>
      </c>
    </row>
    <row r="47" spans="1:11" ht="90">
      <c r="A47" s="75" t="s">
        <v>148</v>
      </c>
      <c r="B47" s="76" t="s">
        <v>149</v>
      </c>
      <c r="C47" s="68">
        <v>153200.8</v>
      </c>
      <c r="D47" s="68">
        <v>148330</v>
      </c>
      <c r="E47" s="85">
        <f t="shared" si="5"/>
        <v>96.82064323423899</v>
      </c>
      <c r="F47" s="77">
        <v>0</v>
      </c>
      <c r="G47" s="77">
        <v>0</v>
      </c>
      <c r="H47" s="77">
        <v>0</v>
      </c>
      <c r="I47" s="78">
        <f t="shared" si="0"/>
        <v>153200.8</v>
      </c>
      <c r="J47" s="69">
        <f t="shared" si="0"/>
        <v>148330</v>
      </c>
      <c r="K47" s="79">
        <f t="shared" si="1"/>
        <v>96.82064323423899</v>
      </c>
    </row>
    <row r="48" spans="1:11" ht="120">
      <c r="A48" s="75" t="s">
        <v>148</v>
      </c>
      <c r="B48" s="76" t="s">
        <v>234</v>
      </c>
      <c r="C48" s="68">
        <f>4403.9+544.3</f>
        <v>4948.2</v>
      </c>
      <c r="D48" s="68">
        <v>1103.1</v>
      </c>
      <c r="E48" s="85">
        <f t="shared" si="5"/>
        <v>22.292955013944464</v>
      </c>
      <c r="F48" s="77"/>
      <c r="G48" s="77"/>
      <c r="H48" s="77">
        <v>0</v>
      </c>
      <c r="I48" s="78">
        <f t="shared" si="0"/>
        <v>4948.2</v>
      </c>
      <c r="J48" s="69">
        <f t="shared" si="0"/>
        <v>1103.1</v>
      </c>
      <c r="K48" s="79">
        <f t="shared" si="1"/>
        <v>22.292955013944464</v>
      </c>
    </row>
    <row r="49" spans="1:11" ht="45">
      <c r="A49" s="80" t="s">
        <v>148</v>
      </c>
      <c r="B49" s="76" t="s">
        <v>150</v>
      </c>
      <c r="C49" s="68">
        <f>2140.1+21.6</f>
        <v>2161.7</v>
      </c>
      <c r="D49" s="68">
        <v>1303.2</v>
      </c>
      <c r="E49" s="85">
        <f t="shared" si="5"/>
        <v>60.28588610815563</v>
      </c>
      <c r="F49" s="77"/>
      <c r="G49" s="77"/>
      <c r="H49" s="77">
        <v>0</v>
      </c>
      <c r="I49" s="78">
        <f t="shared" si="0"/>
        <v>2161.7</v>
      </c>
      <c r="J49" s="69">
        <f t="shared" si="0"/>
        <v>1303.2</v>
      </c>
      <c r="K49" s="79">
        <f t="shared" si="1"/>
        <v>60.28588610815563</v>
      </c>
    </row>
    <row r="50" spans="1:11" ht="45">
      <c r="A50" s="80" t="s">
        <v>148</v>
      </c>
      <c r="B50" s="84" t="s">
        <v>151</v>
      </c>
      <c r="C50" s="68">
        <v>50</v>
      </c>
      <c r="D50" s="68">
        <v>50</v>
      </c>
      <c r="E50" s="85">
        <f t="shared" si="5"/>
        <v>100</v>
      </c>
      <c r="F50" s="77">
        <v>50</v>
      </c>
      <c r="G50" s="77"/>
      <c r="H50" s="77">
        <v>0</v>
      </c>
      <c r="I50" s="78">
        <f>C50+F50-50</f>
        <v>50</v>
      </c>
      <c r="J50" s="69">
        <f>D50+G50-50</f>
        <v>0</v>
      </c>
      <c r="K50" s="79">
        <f t="shared" si="1"/>
        <v>0</v>
      </c>
    </row>
    <row r="51" spans="1:11" ht="60">
      <c r="A51" s="80" t="s">
        <v>148</v>
      </c>
      <c r="B51" s="76" t="s">
        <v>152</v>
      </c>
      <c r="C51" s="68"/>
      <c r="D51" s="68"/>
      <c r="E51" s="85"/>
      <c r="F51" s="77">
        <v>26642</v>
      </c>
      <c r="G51" s="77">
        <v>9948.6</v>
      </c>
      <c r="H51" s="77">
        <f>G51/F51*100</f>
        <v>37.34179115682006</v>
      </c>
      <c r="I51" s="78">
        <f t="shared" si="0"/>
        <v>26642</v>
      </c>
      <c r="J51" s="69">
        <f t="shared" si="0"/>
        <v>9948.6</v>
      </c>
      <c r="K51" s="79">
        <f t="shared" si="1"/>
        <v>37.34179115682006</v>
      </c>
    </row>
    <row r="52" spans="1:11" ht="30">
      <c r="A52" s="80" t="s">
        <v>148</v>
      </c>
      <c r="B52" s="76" t="s">
        <v>235</v>
      </c>
      <c r="C52" s="68"/>
      <c r="D52" s="68"/>
      <c r="E52" s="85"/>
      <c r="F52" s="77">
        <v>5783.5</v>
      </c>
      <c r="G52" s="77">
        <v>2538.4</v>
      </c>
      <c r="H52" s="77">
        <f>G52/F52*100</f>
        <v>43.8903777989107</v>
      </c>
      <c r="I52" s="78">
        <f t="shared" si="0"/>
        <v>5783.5</v>
      </c>
      <c r="J52" s="69">
        <f t="shared" si="0"/>
        <v>2538.4</v>
      </c>
      <c r="K52" s="79">
        <f t="shared" si="1"/>
        <v>43.8903777989107</v>
      </c>
    </row>
    <row r="53" spans="1:11" ht="135">
      <c r="A53" s="75" t="s">
        <v>153</v>
      </c>
      <c r="B53" s="76" t="s">
        <v>154</v>
      </c>
      <c r="C53" s="68">
        <v>6603.6</v>
      </c>
      <c r="D53" s="68">
        <v>4342.7</v>
      </c>
      <c r="E53" s="85">
        <f t="shared" si="5"/>
        <v>65.76261433157671</v>
      </c>
      <c r="F53" s="77"/>
      <c r="G53" s="77"/>
      <c r="H53" s="77"/>
      <c r="I53" s="78">
        <f t="shared" si="0"/>
        <v>6603.6</v>
      </c>
      <c r="J53" s="69">
        <f t="shared" si="0"/>
        <v>4342.7</v>
      </c>
      <c r="K53" s="79">
        <f t="shared" si="1"/>
        <v>65.76261433157671</v>
      </c>
    </row>
    <row r="54" spans="1:11" ht="120">
      <c r="A54" s="75" t="s">
        <v>153</v>
      </c>
      <c r="B54" s="76" t="s">
        <v>155</v>
      </c>
      <c r="C54" s="68">
        <v>8303.5</v>
      </c>
      <c r="D54" s="89">
        <v>6160</v>
      </c>
      <c r="E54" s="85">
        <f t="shared" si="5"/>
        <v>74.1855843921238</v>
      </c>
      <c r="F54" s="77"/>
      <c r="G54" s="77"/>
      <c r="H54" s="77"/>
      <c r="I54" s="78">
        <f t="shared" si="0"/>
        <v>8303.5</v>
      </c>
      <c r="J54" s="69">
        <f t="shared" si="0"/>
        <v>6160</v>
      </c>
      <c r="K54" s="79">
        <f t="shared" si="1"/>
        <v>74.1855843921238</v>
      </c>
    </row>
    <row r="55" spans="1:11" ht="120">
      <c r="A55" s="80" t="s">
        <v>153</v>
      </c>
      <c r="B55" s="76" t="s">
        <v>156</v>
      </c>
      <c r="C55" s="68">
        <v>3607.8</v>
      </c>
      <c r="D55" s="89">
        <v>2347</v>
      </c>
      <c r="E55" s="85">
        <f t="shared" si="5"/>
        <v>65.05349520483396</v>
      </c>
      <c r="F55" s="77"/>
      <c r="G55" s="77"/>
      <c r="H55" s="77"/>
      <c r="I55" s="78">
        <f t="shared" si="0"/>
        <v>3607.8</v>
      </c>
      <c r="J55" s="69">
        <f t="shared" si="0"/>
        <v>2347</v>
      </c>
      <c r="K55" s="79">
        <f t="shared" si="1"/>
        <v>65.05349520483396</v>
      </c>
    </row>
    <row r="56" spans="1:11" ht="120">
      <c r="A56" s="80" t="s">
        <v>153</v>
      </c>
      <c r="B56" s="76" t="s">
        <v>157</v>
      </c>
      <c r="C56" s="68">
        <v>4938.7</v>
      </c>
      <c r="D56" s="89">
        <v>2264.2</v>
      </c>
      <c r="E56" s="85">
        <f t="shared" si="5"/>
        <v>45.84607285317999</v>
      </c>
      <c r="F56" s="77"/>
      <c r="G56" s="77"/>
      <c r="H56" s="77"/>
      <c r="I56" s="78">
        <f t="shared" si="0"/>
        <v>4938.7</v>
      </c>
      <c r="J56" s="69">
        <f t="shared" si="0"/>
        <v>2264.2</v>
      </c>
      <c r="K56" s="79">
        <f t="shared" si="1"/>
        <v>45.84607285317999</v>
      </c>
    </row>
    <row r="57" spans="1:11" ht="153">
      <c r="A57" s="75" t="s">
        <v>153</v>
      </c>
      <c r="B57" s="90" t="s">
        <v>158</v>
      </c>
      <c r="C57" s="68">
        <v>43047.3</v>
      </c>
      <c r="D57" s="89">
        <v>19220.2</v>
      </c>
      <c r="E57" s="85">
        <f>D57/C57*100</f>
        <v>44.64902560671633</v>
      </c>
      <c r="F57" s="77"/>
      <c r="G57" s="77"/>
      <c r="H57" s="77"/>
      <c r="I57" s="78">
        <f>C57+F57</f>
        <v>43047.3</v>
      </c>
      <c r="J57" s="69">
        <f>D57+G57</f>
        <v>19220.2</v>
      </c>
      <c r="K57" s="79">
        <f>J57/I57*100</f>
        <v>44.64902560671633</v>
      </c>
    </row>
    <row r="58" spans="1:11" ht="150">
      <c r="A58" s="80" t="s">
        <v>153</v>
      </c>
      <c r="B58" s="84" t="s">
        <v>159</v>
      </c>
      <c r="C58" s="68">
        <v>48097.5</v>
      </c>
      <c r="D58" s="89">
        <v>11572.4</v>
      </c>
      <c r="E58" s="85">
        <f t="shared" si="5"/>
        <v>24.060294194084932</v>
      </c>
      <c r="F58" s="77">
        <f>47831.6+6335.9</f>
        <v>54167.5</v>
      </c>
      <c r="G58" s="77">
        <v>14964.7</v>
      </c>
      <c r="H58" s="77">
        <f>G58/F58*100</f>
        <v>27.626713435177923</v>
      </c>
      <c r="I58" s="78">
        <f>C58+F58-47831.7</f>
        <v>54433.3</v>
      </c>
      <c r="J58" s="69">
        <f>D58+G58-11572.4</f>
        <v>14964.699999999999</v>
      </c>
      <c r="K58" s="79">
        <f t="shared" si="1"/>
        <v>27.49181107888002</v>
      </c>
    </row>
    <row r="59" spans="1:11" ht="45">
      <c r="A59" s="80" t="s">
        <v>153</v>
      </c>
      <c r="B59" s="84" t="s">
        <v>160</v>
      </c>
      <c r="C59" s="68">
        <v>2654.6</v>
      </c>
      <c r="D59" s="89">
        <v>1592.3</v>
      </c>
      <c r="E59" s="85">
        <f t="shared" si="5"/>
        <v>59.98267158893995</v>
      </c>
      <c r="F59" s="77"/>
      <c r="G59" s="77"/>
      <c r="H59" s="77"/>
      <c r="I59" s="78">
        <f>C59+F59</f>
        <v>2654.6</v>
      </c>
      <c r="J59" s="69">
        <f>D59+G59</f>
        <v>1592.3</v>
      </c>
      <c r="K59" s="79">
        <f t="shared" si="1"/>
        <v>59.98267158893995</v>
      </c>
    </row>
    <row r="60" spans="1:11" ht="60">
      <c r="A60" s="80" t="s">
        <v>153</v>
      </c>
      <c r="B60" s="84" t="s">
        <v>236</v>
      </c>
      <c r="C60" s="68"/>
      <c r="D60" s="89"/>
      <c r="E60" s="85"/>
      <c r="F60" s="77">
        <f>3364+348</f>
        <v>3712</v>
      </c>
      <c r="G60" s="77">
        <v>3712</v>
      </c>
      <c r="H60" s="77">
        <f aca="true" t="shared" si="7" ref="H60:H68">G60/F60*100</f>
        <v>100</v>
      </c>
      <c r="I60" s="78">
        <f t="shared" si="0"/>
        <v>3712</v>
      </c>
      <c r="J60" s="69">
        <f>D60+G60</f>
        <v>3712</v>
      </c>
      <c r="K60" s="79">
        <f t="shared" si="1"/>
        <v>100</v>
      </c>
    </row>
    <row r="61" spans="1:11" ht="15">
      <c r="A61" s="80" t="s">
        <v>153</v>
      </c>
      <c r="B61" s="84" t="s">
        <v>237</v>
      </c>
      <c r="C61" s="68"/>
      <c r="D61" s="89"/>
      <c r="E61" s="85"/>
      <c r="F61" s="77">
        <v>9524.5</v>
      </c>
      <c r="G61" s="77">
        <v>1129.9</v>
      </c>
      <c r="H61" s="77">
        <f t="shared" si="7"/>
        <v>11.863089925980368</v>
      </c>
      <c r="I61" s="78">
        <f t="shared" si="0"/>
        <v>9524.5</v>
      </c>
      <c r="J61" s="69">
        <f>D61+G61</f>
        <v>1129.9</v>
      </c>
      <c r="K61" s="79">
        <v>0</v>
      </c>
    </row>
    <row r="62" spans="1:11" ht="60">
      <c r="A62" s="80" t="s">
        <v>153</v>
      </c>
      <c r="B62" s="84" t="s">
        <v>161</v>
      </c>
      <c r="C62" s="68">
        <v>421.3</v>
      </c>
      <c r="D62" s="89">
        <v>404.3</v>
      </c>
      <c r="E62" s="85">
        <f>D62/C62*100</f>
        <v>95.96487063849987</v>
      </c>
      <c r="F62" s="77"/>
      <c r="G62" s="77"/>
      <c r="H62" s="77"/>
      <c r="I62" s="78">
        <f>C62+F62</f>
        <v>421.3</v>
      </c>
      <c r="J62" s="69">
        <f>D62+G62</f>
        <v>404.3</v>
      </c>
      <c r="K62" s="79">
        <f t="shared" si="1"/>
        <v>95.96487063849987</v>
      </c>
    </row>
    <row r="63" spans="1:11" ht="60">
      <c r="A63" s="80" t="s">
        <v>162</v>
      </c>
      <c r="B63" s="84" t="s">
        <v>163</v>
      </c>
      <c r="C63" s="68">
        <v>4865</v>
      </c>
      <c r="D63" s="89">
        <v>1982.9</v>
      </c>
      <c r="E63" s="85">
        <f>D63/C63*100</f>
        <v>40.7584789311408</v>
      </c>
      <c r="F63" s="77">
        <v>1365</v>
      </c>
      <c r="G63" s="77">
        <v>0</v>
      </c>
      <c r="H63" s="77">
        <v>0</v>
      </c>
      <c r="I63" s="78">
        <f>C63+F63-865</f>
        <v>5365</v>
      </c>
      <c r="J63" s="69">
        <f>D63+G63</f>
        <v>1982.9</v>
      </c>
      <c r="K63" s="79">
        <f t="shared" si="1"/>
        <v>36.95992544268407</v>
      </c>
    </row>
    <row r="64" spans="1:11" ht="45">
      <c r="A64" s="80" t="s">
        <v>162</v>
      </c>
      <c r="B64" s="84" t="s">
        <v>151</v>
      </c>
      <c r="C64" s="68">
        <v>1650</v>
      </c>
      <c r="D64" s="89">
        <v>1650</v>
      </c>
      <c r="E64" s="68">
        <f>D64/C64*100</f>
        <v>100</v>
      </c>
      <c r="F64" s="77">
        <v>1450</v>
      </c>
      <c r="G64" s="77">
        <v>1000</v>
      </c>
      <c r="H64" s="77">
        <f t="shared" si="7"/>
        <v>68.96551724137932</v>
      </c>
      <c r="I64" s="78">
        <f>C64+F64-1650</f>
        <v>1450</v>
      </c>
      <c r="J64" s="69">
        <f>D64+G64-1650</f>
        <v>1000</v>
      </c>
      <c r="K64" s="79">
        <f t="shared" si="1"/>
        <v>68.96551724137932</v>
      </c>
    </row>
    <row r="65" spans="1:11" ht="75">
      <c r="A65" s="80" t="s">
        <v>162</v>
      </c>
      <c r="B65" s="76" t="s">
        <v>164</v>
      </c>
      <c r="C65" s="68">
        <v>1500</v>
      </c>
      <c r="D65" s="68">
        <v>1456</v>
      </c>
      <c r="E65" s="68">
        <f t="shared" si="5"/>
        <v>97.06666666666666</v>
      </c>
      <c r="F65" s="68">
        <v>1500</v>
      </c>
      <c r="G65" s="77">
        <v>1256</v>
      </c>
      <c r="H65" s="77">
        <f t="shared" si="7"/>
        <v>83.73333333333333</v>
      </c>
      <c r="I65" s="78">
        <f>C65+F65-1500</f>
        <v>1500</v>
      </c>
      <c r="J65" s="69">
        <f>D65+G65-1456</f>
        <v>1256</v>
      </c>
      <c r="K65" s="79">
        <f t="shared" si="1"/>
        <v>83.73333333333333</v>
      </c>
    </row>
    <row r="66" spans="1:11" ht="75">
      <c r="A66" s="80" t="s">
        <v>162</v>
      </c>
      <c r="B66" s="76" t="s">
        <v>165</v>
      </c>
      <c r="C66" s="68">
        <v>0</v>
      </c>
      <c r="D66" s="68">
        <v>0</v>
      </c>
      <c r="E66" s="68">
        <v>0</v>
      </c>
      <c r="F66" s="68">
        <v>2067.2</v>
      </c>
      <c r="G66" s="77">
        <v>1958.4</v>
      </c>
      <c r="H66" s="77">
        <f t="shared" si="7"/>
        <v>94.73684210526318</v>
      </c>
      <c r="I66" s="78">
        <f>C66+F66</f>
        <v>2067.2</v>
      </c>
      <c r="J66" s="69">
        <f aca="true" t="shared" si="8" ref="I66:J69">D66+G66</f>
        <v>1958.4</v>
      </c>
      <c r="K66" s="79">
        <f t="shared" si="1"/>
        <v>94.73684210526318</v>
      </c>
    </row>
    <row r="67" spans="1:11" ht="30">
      <c r="A67" s="75" t="s">
        <v>162</v>
      </c>
      <c r="B67" s="76" t="s">
        <v>238</v>
      </c>
      <c r="C67" s="68">
        <v>6679</v>
      </c>
      <c r="D67" s="68">
        <v>0</v>
      </c>
      <c r="E67" s="68">
        <v>0</v>
      </c>
      <c r="F67" s="68">
        <v>6679</v>
      </c>
      <c r="G67" s="77">
        <v>0</v>
      </c>
      <c r="H67" s="77">
        <v>0</v>
      </c>
      <c r="I67" s="78">
        <f>C67+F67-6679</f>
        <v>6679</v>
      </c>
      <c r="J67" s="69">
        <f t="shared" si="8"/>
        <v>0</v>
      </c>
      <c r="K67" s="79">
        <f t="shared" si="1"/>
        <v>0</v>
      </c>
    </row>
    <row r="68" spans="1:11" ht="15">
      <c r="A68" s="75" t="s">
        <v>162</v>
      </c>
      <c r="B68" s="76" t="s">
        <v>166</v>
      </c>
      <c r="C68" s="68">
        <v>0</v>
      </c>
      <c r="D68" s="68">
        <v>0</v>
      </c>
      <c r="E68" s="85">
        <v>0</v>
      </c>
      <c r="F68" s="68">
        <v>47613.8</v>
      </c>
      <c r="G68" s="77">
        <v>20853.3</v>
      </c>
      <c r="H68" s="77">
        <f t="shared" si="7"/>
        <v>43.79675640255556</v>
      </c>
      <c r="I68" s="78">
        <f t="shared" si="8"/>
        <v>47613.8</v>
      </c>
      <c r="J68" s="69">
        <f t="shared" si="8"/>
        <v>20853.3</v>
      </c>
      <c r="K68" s="79">
        <f t="shared" si="1"/>
        <v>43.79675640255556</v>
      </c>
    </row>
    <row r="69" spans="1:11" ht="30">
      <c r="A69" s="80" t="s">
        <v>167</v>
      </c>
      <c r="B69" s="76" t="s">
        <v>168</v>
      </c>
      <c r="C69" s="68">
        <v>27.1</v>
      </c>
      <c r="D69" s="68">
        <v>0</v>
      </c>
      <c r="E69" s="68">
        <f>D69/C69*100</f>
        <v>0</v>
      </c>
      <c r="F69" s="68">
        <v>0</v>
      </c>
      <c r="G69" s="77">
        <v>0</v>
      </c>
      <c r="H69" s="77">
        <v>0</v>
      </c>
      <c r="I69" s="78">
        <f t="shared" si="8"/>
        <v>27.1</v>
      </c>
      <c r="J69" s="69">
        <f t="shared" si="8"/>
        <v>0</v>
      </c>
      <c r="K69" s="79">
        <f t="shared" si="1"/>
        <v>0</v>
      </c>
    </row>
    <row r="70" spans="1:11" ht="15">
      <c r="A70" s="91" t="s">
        <v>169</v>
      </c>
      <c r="B70" s="92" t="s">
        <v>170</v>
      </c>
      <c r="C70" s="87">
        <f aca="true" t="shared" si="9" ref="C70:H70">C71</f>
        <v>0</v>
      </c>
      <c r="D70" s="87">
        <f t="shared" si="9"/>
        <v>0</v>
      </c>
      <c r="E70" s="72">
        <v>0</v>
      </c>
      <c r="F70" s="87">
        <f t="shared" si="9"/>
        <v>0</v>
      </c>
      <c r="G70" s="87">
        <f t="shared" si="9"/>
        <v>0</v>
      </c>
      <c r="H70" s="73">
        <f t="shared" si="9"/>
        <v>0</v>
      </c>
      <c r="I70" s="87">
        <f t="shared" si="0"/>
        <v>0</v>
      </c>
      <c r="J70" s="87">
        <f t="shared" si="0"/>
        <v>0</v>
      </c>
      <c r="K70" s="74">
        <v>0</v>
      </c>
    </row>
    <row r="71" spans="1:11" ht="30">
      <c r="A71" s="80" t="s">
        <v>171</v>
      </c>
      <c r="B71" s="93" t="s">
        <v>172</v>
      </c>
      <c r="C71" s="88">
        <v>0</v>
      </c>
      <c r="D71" s="77">
        <v>0</v>
      </c>
      <c r="E71" s="68">
        <v>0</v>
      </c>
      <c r="F71" s="77">
        <v>0</v>
      </c>
      <c r="G71" s="77">
        <v>0</v>
      </c>
      <c r="H71" s="77">
        <v>0</v>
      </c>
      <c r="I71" s="78">
        <f t="shared" si="0"/>
        <v>0</v>
      </c>
      <c r="J71" s="69">
        <f t="shared" si="0"/>
        <v>0</v>
      </c>
      <c r="K71" s="79">
        <v>0</v>
      </c>
    </row>
    <row r="72" spans="1:11" ht="15">
      <c r="A72" s="70" t="s">
        <v>173</v>
      </c>
      <c r="B72" s="71" t="s">
        <v>174</v>
      </c>
      <c r="C72" s="72">
        <f>SUM(C73:C79)</f>
        <v>2118435.4000000004</v>
      </c>
      <c r="D72" s="72">
        <f>SUM(D73:D79)</f>
        <v>1196363.4999999998</v>
      </c>
      <c r="E72" s="72">
        <f>D72/C72*100</f>
        <v>56.47391938408882</v>
      </c>
      <c r="F72" s="87">
        <f>F73+F75+F76+F78+F79</f>
        <v>0</v>
      </c>
      <c r="G72" s="87">
        <f>SUM(G73:G79)</f>
        <v>0</v>
      </c>
      <c r="H72" s="73">
        <v>0</v>
      </c>
      <c r="I72" s="72">
        <f>SUM(I73:I79)</f>
        <v>2118435.4000000004</v>
      </c>
      <c r="J72" s="72">
        <f>SUM(J73:J79)</f>
        <v>1196363.4999999998</v>
      </c>
      <c r="K72" s="74">
        <f t="shared" si="1"/>
        <v>56.47391938408882</v>
      </c>
    </row>
    <row r="73" spans="1:11" ht="15">
      <c r="A73" s="75" t="s">
        <v>175</v>
      </c>
      <c r="B73" s="76" t="s">
        <v>176</v>
      </c>
      <c r="C73" s="68">
        <f>534188.1-C74</f>
        <v>350831.89999999997</v>
      </c>
      <c r="D73" s="68">
        <f>262117.8-D74</f>
        <v>231219.9</v>
      </c>
      <c r="E73" s="68">
        <f t="shared" si="5"/>
        <v>65.90617899911611</v>
      </c>
      <c r="F73" s="77">
        <v>0</v>
      </c>
      <c r="G73" s="77">
        <v>0</v>
      </c>
      <c r="H73" s="77">
        <v>0</v>
      </c>
      <c r="I73" s="78">
        <f t="shared" si="0"/>
        <v>350831.89999999997</v>
      </c>
      <c r="J73" s="69">
        <f t="shared" si="0"/>
        <v>231219.9</v>
      </c>
      <c r="K73" s="79">
        <f t="shared" si="1"/>
        <v>65.90617899911611</v>
      </c>
    </row>
    <row r="74" spans="1:11" ht="105">
      <c r="A74" s="75" t="s">
        <v>175</v>
      </c>
      <c r="B74" s="76" t="s">
        <v>177</v>
      </c>
      <c r="C74" s="68">
        <v>183356.2</v>
      </c>
      <c r="D74" s="68">
        <v>30897.9</v>
      </c>
      <c r="E74" s="68">
        <f t="shared" si="5"/>
        <v>16.851298183535654</v>
      </c>
      <c r="F74" s="77"/>
      <c r="G74" s="77"/>
      <c r="H74" s="77"/>
      <c r="I74" s="78">
        <f t="shared" si="0"/>
        <v>183356.2</v>
      </c>
      <c r="J74" s="69">
        <f t="shared" si="0"/>
        <v>30897.9</v>
      </c>
      <c r="K74" s="79">
        <f t="shared" si="1"/>
        <v>16.851298183535654</v>
      </c>
    </row>
    <row r="75" spans="1:11" ht="15">
      <c r="A75" s="75" t="s">
        <v>178</v>
      </c>
      <c r="B75" s="76" t="s">
        <v>179</v>
      </c>
      <c r="C75" s="68">
        <f>1488813.7-C76-C77</f>
        <v>1132984.5</v>
      </c>
      <c r="D75" s="68">
        <f>882073.1-D76-D77</f>
        <v>682944.8999999999</v>
      </c>
      <c r="E75" s="68">
        <f t="shared" si="5"/>
        <v>60.27839745380452</v>
      </c>
      <c r="F75" s="77">
        <v>0</v>
      </c>
      <c r="G75" s="77">
        <v>0</v>
      </c>
      <c r="H75" s="77">
        <v>0</v>
      </c>
      <c r="I75" s="78">
        <f t="shared" si="0"/>
        <v>1132984.5</v>
      </c>
      <c r="J75" s="69">
        <f t="shared" si="0"/>
        <v>682944.8999999999</v>
      </c>
      <c r="K75" s="79">
        <f t="shared" si="1"/>
        <v>60.27839745380452</v>
      </c>
    </row>
    <row r="76" spans="1:11" ht="15">
      <c r="A76" s="75" t="s">
        <v>178</v>
      </c>
      <c r="B76" s="76" t="s">
        <v>180</v>
      </c>
      <c r="C76" s="68">
        <f>19373.8+23724.8</f>
        <v>43098.6</v>
      </c>
      <c r="D76" s="68">
        <v>19476</v>
      </c>
      <c r="E76" s="68">
        <f t="shared" si="5"/>
        <v>45.18940290403865</v>
      </c>
      <c r="F76" s="77">
        <v>0</v>
      </c>
      <c r="G76" s="77">
        <v>0</v>
      </c>
      <c r="H76" s="77">
        <v>0</v>
      </c>
      <c r="I76" s="78">
        <f t="shared" si="0"/>
        <v>43098.6</v>
      </c>
      <c r="J76" s="69">
        <f t="shared" si="0"/>
        <v>19476</v>
      </c>
      <c r="K76" s="79">
        <f t="shared" si="1"/>
        <v>45.18940290403865</v>
      </c>
    </row>
    <row r="77" spans="1:11" ht="105">
      <c r="A77" s="75" t="s">
        <v>178</v>
      </c>
      <c r="B77" s="76" t="s">
        <v>181</v>
      </c>
      <c r="C77" s="68">
        <v>312730.6</v>
      </c>
      <c r="D77" s="68">
        <v>179652.2</v>
      </c>
      <c r="E77" s="68">
        <f t="shared" si="5"/>
        <v>57.446313216551246</v>
      </c>
      <c r="F77" s="77">
        <v>0</v>
      </c>
      <c r="G77" s="77">
        <v>0</v>
      </c>
      <c r="H77" s="77">
        <v>0</v>
      </c>
      <c r="I77" s="78">
        <f t="shared" si="0"/>
        <v>312730.6</v>
      </c>
      <c r="J77" s="69">
        <f t="shared" si="0"/>
        <v>179652.2</v>
      </c>
      <c r="K77" s="79">
        <f t="shared" si="1"/>
        <v>57.446313216551246</v>
      </c>
    </row>
    <row r="78" spans="1:11" ht="15">
      <c r="A78" s="75" t="s">
        <v>182</v>
      </c>
      <c r="B78" s="76" t="s">
        <v>183</v>
      </c>
      <c r="C78" s="68">
        <v>22838.8</v>
      </c>
      <c r="D78" s="68">
        <v>19597.2</v>
      </c>
      <c r="E78" s="68">
        <f t="shared" si="5"/>
        <v>85.80660980436801</v>
      </c>
      <c r="F78" s="77">
        <v>0</v>
      </c>
      <c r="G78" s="77">
        <v>0</v>
      </c>
      <c r="H78" s="77">
        <v>0</v>
      </c>
      <c r="I78" s="78">
        <f t="shared" si="0"/>
        <v>22838.8</v>
      </c>
      <c r="J78" s="69">
        <f t="shared" si="0"/>
        <v>19597.2</v>
      </c>
      <c r="K78" s="79">
        <f t="shared" si="1"/>
        <v>85.80660980436801</v>
      </c>
    </row>
    <row r="79" spans="1:11" ht="15">
      <c r="A79" s="75" t="s">
        <v>184</v>
      </c>
      <c r="B79" s="76" t="s">
        <v>185</v>
      </c>
      <c r="C79" s="68">
        <v>72594.8</v>
      </c>
      <c r="D79" s="68">
        <v>32575.4</v>
      </c>
      <c r="E79" s="68">
        <f t="shared" si="5"/>
        <v>44.87291100739998</v>
      </c>
      <c r="F79" s="77">
        <v>0</v>
      </c>
      <c r="G79" s="77">
        <v>0</v>
      </c>
      <c r="H79" s="77">
        <v>0</v>
      </c>
      <c r="I79" s="78">
        <f t="shared" si="0"/>
        <v>72594.8</v>
      </c>
      <c r="J79" s="69">
        <f t="shared" si="0"/>
        <v>32575.4</v>
      </c>
      <c r="K79" s="79">
        <f t="shared" si="1"/>
        <v>44.87291100739998</v>
      </c>
    </row>
    <row r="80" spans="1:11" ht="15">
      <c r="A80" s="70" t="s">
        <v>186</v>
      </c>
      <c r="B80" s="71" t="s">
        <v>187</v>
      </c>
      <c r="C80" s="72">
        <f>SUM(C81:C85)</f>
        <v>276394.1000000001</v>
      </c>
      <c r="D80" s="72">
        <f>SUM(D81:D85)</f>
        <v>145829.69999999998</v>
      </c>
      <c r="E80" s="72">
        <f>D80/C80*100</f>
        <v>52.761509742791155</v>
      </c>
      <c r="F80" s="87">
        <f>SUM(F81:F85)</f>
        <v>91965.4</v>
      </c>
      <c r="G80" s="87">
        <f>SUM(G81:G85)</f>
        <v>56807.299999999996</v>
      </c>
      <c r="H80" s="73">
        <f>G80/F80*100</f>
        <v>61.770296220100164</v>
      </c>
      <c r="I80" s="87">
        <f>SUM(I81:I85)</f>
        <v>367368.80000000005</v>
      </c>
      <c r="J80" s="87">
        <f>SUM(J81:J85)</f>
        <v>201646.3</v>
      </c>
      <c r="K80" s="74">
        <f t="shared" si="1"/>
        <v>54.88933736343423</v>
      </c>
    </row>
    <row r="81" spans="1:11" ht="15">
      <c r="A81" s="75" t="s">
        <v>188</v>
      </c>
      <c r="B81" s="76" t="s">
        <v>189</v>
      </c>
      <c r="C81" s="68">
        <f>268538.7-C82-C83</f>
        <v>105809.80000000002</v>
      </c>
      <c r="D81" s="68">
        <f>141039.3-D82-D83</f>
        <v>30946.39999999999</v>
      </c>
      <c r="E81" s="68">
        <f t="shared" si="5"/>
        <v>29.24719638445587</v>
      </c>
      <c r="F81" s="77">
        <f>91444.9-F83</f>
        <v>90977</v>
      </c>
      <c r="G81" s="77">
        <f>56723.6-G82-G83</f>
        <v>56322.5</v>
      </c>
      <c r="H81" s="77">
        <f>G81/F81*100</f>
        <v>61.9085043472526</v>
      </c>
      <c r="I81" s="78">
        <f>C81+F81-498</f>
        <v>196288.80000000002</v>
      </c>
      <c r="J81" s="69">
        <f>D81+G81-498</f>
        <v>86770.9</v>
      </c>
      <c r="K81" s="79">
        <f t="shared" si="1"/>
        <v>44.20573155472955</v>
      </c>
    </row>
    <row r="82" spans="1:11" ht="75">
      <c r="A82" s="94" t="s">
        <v>188</v>
      </c>
      <c r="B82" s="95" t="s">
        <v>190</v>
      </c>
      <c r="C82" s="68">
        <v>161341</v>
      </c>
      <c r="D82" s="68">
        <v>108930.2</v>
      </c>
      <c r="E82" s="68">
        <f t="shared" si="5"/>
        <v>67.51551062656114</v>
      </c>
      <c r="F82" s="77">
        <v>0</v>
      </c>
      <c r="G82" s="77">
        <v>0</v>
      </c>
      <c r="H82" s="77">
        <v>0</v>
      </c>
      <c r="I82" s="78">
        <f aca="true" t="shared" si="10" ref="I82:J94">C82+F82</f>
        <v>161341</v>
      </c>
      <c r="J82" s="69">
        <f t="shared" si="10"/>
        <v>108930.2</v>
      </c>
      <c r="K82" s="79">
        <f>J82/I82*100</f>
        <v>67.51551062656114</v>
      </c>
    </row>
    <row r="83" spans="1:11" ht="15">
      <c r="A83" s="94" t="s">
        <v>188</v>
      </c>
      <c r="B83" s="95" t="s">
        <v>191</v>
      </c>
      <c r="C83" s="68">
        <v>1387.9</v>
      </c>
      <c r="D83" s="68">
        <v>1162.7</v>
      </c>
      <c r="E83" s="68">
        <f t="shared" si="5"/>
        <v>83.77404712155054</v>
      </c>
      <c r="F83" s="77">
        <v>467.9</v>
      </c>
      <c r="G83" s="77">
        <v>401.1</v>
      </c>
      <c r="H83" s="77">
        <f>G83/F83*100</f>
        <v>85.72344518059415</v>
      </c>
      <c r="I83" s="78">
        <f>C83+F83-397.7</f>
        <v>1458.1000000000001</v>
      </c>
      <c r="J83" s="69">
        <f>D83+G83-397.7</f>
        <v>1166.1000000000001</v>
      </c>
      <c r="K83" s="79">
        <f>J83/I83*100</f>
        <v>79.97393868733283</v>
      </c>
    </row>
    <row r="84" spans="1:11" ht="15">
      <c r="A84" s="75" t="s">
        <v>192</v>
      </c>
      <c r="B84" s="76" t="s">
        <v>193</v>
      </c>
      <c r="C84" s="68">
        <v>267</v>
      </c>
      <c r="D84" s="68">
        <v>0</v>
      </c>
      <c r="E84" s="68">
        <f t="shared" si="5"/>
        <v>0</v>
      </c>
      <c r="F84" s="77">
        <v>425.5</v>
      </c>
      <c r="G84" s="77">
        <v>83.7</v>
      </c>
      <c r="H84" s="77">
        <f>G84/F84*100</f>
        <v>19.670975323149236</v>
      </c>
      <c r="I84" s="78">
        <f t="shared" si="10"/>
        <v>692.5</v>
      </c>
      <c r="J84" s="69">
        <f t="shared" si="10"/>
        <v>83.7</v>
      </c>
      <c r="K84" s="79">
        <f aca="true" t="shared" si="11" ref="K84:K108">J84/I84*100</f>
        <v>12.08664259927798</v>
      </c>
    </row>
    <row r="85" spans="1:11" ht="15">
      <c r="A85" s="75" t="s">
        <v>194</v>
      </c>
      <c r="B85" s="76" t="s">
        <v>195</v>
      </c>
      <c r="C85" s="68">
        <v>7588.4</v>
      </c>
      <c r="D85" s="68">
        <v>4790.4</v>
      </c>
      <c r="E85" s="68">
        <f t="shared" si="5"/>
        <v>63.12793210690001</v>
      </c>
      <c r="F85" s="77">
        <v>95</v>
      </c>
      <c r="G85" s="77">
        <v>0</v>
      </c>
      <c r="H85" s="77">
        <f>G85/F85*100</f>
        <v>0</v>
      </c>
      <c r="I85" s="78">
        <f>C85+F85-95</f>
        <v>7588.4</v>
      </c>
      <c r="J85" s="69">
        <f>D85+G85-95</f>
        <v>4695.4</v>
      </c>
      <c r="K85" s="79">
        <f t="shared" si="11"/>
        <v>61.8760212956618</v>
      </c>
    </row>
    <row r="86" spans="1:11" ht="15">
      <c r="A86" s="70" t="s">
        <v>196</v>
      </c>
      <c r="B86" s="71" t="s">
        <v>197</v>
      </c>
      <c r="C86" s="72">
        <f>C87</f>
        <v>139148.8</v>
      </c>
      <c r="D86" s="72">
        <f>D87</f>
        <v>54583.9</v>
      </c>
      <c r="E86" s="72">
        <f>D86/C86*100</f>
        <v>39.227000160978754</v>
      </c>
      <c r="F86" s="87">
        <v>0</v>
      </c>
      <c r="G86" s="87">
        <v>0</v>
      </c>
      <c r="H86" s="73"/>
      <c r="I86" s="87">
        <f>C86+F86</f>
        <v>139148.8</v>
      </c>
      <c r="J86" s="87">
        <f t="shared" si="10"/>
        <v>54583.9</v>
      </c>
      <c r="K86" s="74">
        <f t="shared" si="11"/>
        <v>39.227000160978754</v>
      </c>
    </row>
    <row r="87" spans="1:11" ht="45">
      <c r="A87" s="80" t="s">
        <v>198</v>
      </c>
      <c r="B87" s="95" t="s">
        <v>199</v>
      </c>
      <c r="C87" s="68">
        <v>139148.8</v>
      </c>
      <c r="D87" s="77">
        <v>54583.9</v>
      </c>
      <c r="E87" s="68">
        <f t="shared" si="5"/>
        <v>39.227000160978754</v>
      </c>
      <c r="F87" s="77">
        <v>0</v>
      </c>
      <c r="G87" s="77">
        <v>0</v>
      </c>
      <c r="H87" s="77">
        <v>0</v>
      </c>
      <c r="I87" s="78">
        <f t="shared" si="10"/>
        <v>139148.8</v>
      </c>
      <c r="J87" s="69">
        <f t="shared" si="10"/>
        <v>54583.9</v>
      </c>
      <c r="K87" s="79">
        <f t="shared" si="11"/>
        <v>39.227000160978754</v>
      </c>
    </row>
    <row r="88" spans="1:11" ht="15">
      <c r="A88" s="70">
        <v>10</v>
      </c>
      <c r="B88" s="71" t="s">
        <v>200</v>
      </c>
      <c r="C88" s="72">
        <f>SUM(C89:C96)</f>
        <v>105742.2</v>
      </c>
      <c r="D88" s="72">
        <f>SUM(D89:D96)</f>
        <v>54728.200000000004</v>
      </c>
      <c r="E88" s="72">
        <f>D88/C88*100</f>
        <v>51.756252470631416</v>
      </c>
      <c r="F88" s="72">
        <f>SUM(F89:F93)</f>
        <v>432.9</v>
      </c>
      <c r="G88" s="72">
        <f>SUM(G89:G93)</f>
        <v>228.2</v>
      </c>
      <c r="H88" s="73">
        <f>G88/F88*100</f>
        <v>52.714252714252716</v>
      </c>
      <c r="I88" s="72">
        <f>SUM(I89:I96)</f>
        <v>106175.1</v>
      </c>
      <c r="J88" s="72">
        <f>SUM(J89:J96)</f>
        <v>54956.4</v>
      </c>
      <c r="K88" s="74">
        <f t="shared" si="11"/>
        <v>51.76015845523103</v>
      </c>
    </row>
    <row r="89" spans="1:11" ht="15">
      <c r="A89" s="80">
        <v>1001</v>
      </c>
      <c r="B89" s="76" t="s">
        <v>201</v>
      </c>
      <c r="C89" s="68">
        <v>3180</v>
      </c>
      <c r="D89" s="68">
        <v>2051.1</v>
      </c>
      <c r="E89" s="68">
        <f t="shared" si="5"/>
        <v>64.5</v>
      </c>
      <c r="F89" s="77">
        <v>432.9</v>
      </c>
      <c r="G89" s="77">
        <v>228.2</v>
      </c>
      <c r="H89" s="77">
        <f>G89/F89*100</f>
        <v>52.714252714252716</v>
      </c>
      <c r="I89" s="78">
        <f t="shared" si="10"/>
        <v>3612.9</v>
      </c>
      <c r="J89" s="69">
        <f t="shared" si="10"/>
        <v>2279.2999999999997</v>
      </c>
      <c r="K89" s="79">
        <f t="shared" si="11"/>
        <v>63.087824185557295</v>
      </c>
    </row>
    <row r="90" spans="1:11" ht="60">
      <c r="A90" s="80">
        <v>1003</v>
      </c>
      <c r="B90" s="76" t="s">
        <v>202</v>
      </c>
      <c r="C90" s="68">
        <v>3038.7</v>
      </c>
      <c r="D90" s="68">
        <v>759.7</v>
      </c>
      <c r="E90" s="68">
        <f t="shared" si="5"/>
        <v>25.000822720242212</v>
      </c>
      <c r="F90" s="77">
        <v>0</v>
      </c>
      <c r="G90" s="77">
        <v>0</v>
      </c>
      <c r="H90" s="77">
        <v>0</v>
      </c>
      <c r="I90" s="78">
        <f t="shared" si="10"/>
        <v>3038.7</v>
      </c>
      <c r="J90" s="69">
        <f t="shared" si="10"/>
        <v>759.7</v>
      </c>
      <c r="K90" s="79">
        <f t="shared" si="11"/>
        <v>25.000822720242212</v>
      </c>
    </row>
    <row r="91" spans="1:11" ht="165">
      <c r="A91" s="80" t="s">
        <v>203</v>
      </c>
      <c r="B91" s="76" t="s">
        <v>204</v>
      </c>
      <c r="C91" s="68">
        <f>2416+332.7+144.7</f>
        <v>2893.3999999999996</v>
      </c>
      <c r="D91" s="68">
        <v>1298.1</v>
      </c>
      <c r="E91" s="68">
        <f t="shared" si="5"/>
        <v>44.86417363655216</v>
      </c>
      <c r="F91" s="77"/>
      <c r="G91" s="77"/>
      <c r="H91" s="77"/>
      <c r="I91" s="78">
        <f t="shared" si="10"/>
        <v>2893.3999999999996</v>
      </c>
      <c r="J91" s="69">
        <f t="shared" si="10"/>
        <v>1298.1</v>
      </c>
      <c r="K91" s="79">
        <f t="shared" si="11"/>
        <v>44.86417363655216</v>
      </c>
    </row>
    <row r="92" spans="1:11" ht="75">
      <c r="A92" s="80">
        <v>1004</v>
      </c>
      <c r="B92" s="76" t="s">
        <v>205</v>
      </c>
      <c r="C92" s="68">
        <v>18704</v>
      </c>
      <c r="D92" s="68">
        <v>9279.7</v>
      </c>
      <c r="E92" s="68">
        <f t="shared" si="5"/>
        <v>49.61345166809239</v>
      </c>
      <c r="F92" s="77">
        <v>0</v>
      </c>
      <c r="G92" s="77">
        <v>0</v>
      </c>
      <c r="H92" s="77">
        <v>0</v>
      </c>
      <c r="I92" s="78">
        <f t="shared" si="10"/>
        <v>18704</v>
      </c>
      <c r="J92" s="69">
        <f t="shared" si="10"/>
        <v>9279.7</v>
      </c>
      <c r="K92" s="79">
        <f t="shared" si="11"/>
        <v>49.61345166809239</v>
      </c>
    </row>
    <row r="93" spans="1:11" ht="150">
      <c r="A93" s="80">
        <v>1004</v>
      </c>
      <c r="B93" s="76" t="s">
        <v>206</v>
      </c>
      <c r="C93" s="68">
        <v>44526.2</v>
      </c>
      <c r="D93" s="68">
        <v>30224.3</v>
      </c>
      <c r="E93" s="68">
        <f aca="true" t="shared" si="12" ref="E93:E107">D93/C93*100</f>
        <v>67.87981008934067</v>
      </c>
      <c r="F93" s="77">
        <v>0</v>
      </c>
      <c r="G93" s="77">
        <v>0</v>
      </c>
      <c r="H93" s="77">
        <v>0</v>
      </c>
      <c r="I93" s="78">
        <f t="shared" si="10"/>
        <v>44526.2</v>
      </c>
      <c r="J93" s="69">
        <f t="shared" si="10"/>
        <v>30224.3</v>
      </c>
      <c r="K93" s="79">
        <f t="shared" si="11"/>
        <v>67.87981008934067</v>
      </c>
    </row>
    <row r="94" spans="1:11" ht="75">
      <c r="A94" s="80">
        <v>1004</v>
      </c>
      <c r="B94" s="76" t="s">
        <v>207</v>
      </c>
      <c r="C94" s="68">
        <v>233.3</v>
      </c>
      <c r="D94" s="68"/>
      <c r="E94" s="68"/>
      <c r="F94" s="77"/>
      <c r="G94" s="77"/>
      <c r="H94" s="77"/>
      <c r="I94" s="78">
        <f t="shared" si="10"/>
        <v>233.3</v>
      </c>
      <c r="J94" s="69">
        <f t="shared" si="10"/>
        <v>0</v>
      </c>
      <c r="K94" s="79">
        <f t="shared" si="11"/>
        <v>0</v>
      </c>
    </row>
    <row r="95" spans="1:11" ht="135">
      <c r="A95" s="80" t="s">
        <v>208</v>
      </c>
      <c r="B95" s="76" t="s">
        <v>209</v>
      </c>
      <c r="C95" s="68">
        <v>16400.8</v>
      </c>
      <c r="D95" s="68">
        <v>3616.9</v>
      </c>
      <c r="E95" s="68">
        <f>D95/C95*100</f>
        <v>22.053192527193797</v>
      </c>
      <c r="F95" s="77">
        <v>0</v>
      </c>
      <c r="G95" s="77">
        <v>0</v>
      </c>
      <c r="H95" s="77">
        <v>0</v>
      </c>
      <c r="I95" s="78">
        <f>C95+F95</f>
        <v>16400.8</v>
      </c>
      <c r="J95" s="69">
        <f>D95+G95</f>
        <v>3616.9</v>
      </c>
      <c r="K95" s="79">
        <f>J95/I95*100</f>
        <v>22.053192527193797</v>
      </c>
    </row>
    <row r="96" spans="1:11" ht="30">
      <c r="A96" s="80">
        <v>1006</v>
      </c>
      <c r="B96" s="76" t="s">
        <v>210</v>
      </c>
      <c r="C96" s="68">
        <v>16765.8</v>
      </c>
      <c r="D96" s="68">
        <v>7498.4</v>
      </c>
      <c r="E96" s="68">
        <f t="shared" si="12"/>
        <v>44.72437939138007</v>
      </c>
      <c r="F96" s="77">
        <v>0</v>
      </c>
      <c r="G96" s="77">
        <v>0</v>
      </c>
      <c r="H96" s="77">
        <v>0</v>
      </c>
      <c r="I96" s="78">
        <f>C96+F96</f>
        <v>16765.8</v>
      </c>
      <c r="J96" s="69">
        <f>D96+G96</f>
        <v>7498.4</v>
      </c>
      <c r="K96" s="79">
        <f t="shared" si="11"/>
        <v>44.72437939138007</v>
      </c>
    </row>
    <row r="97" spans="1:11" ht="15">
      <c r="A97" s="91">
        <v>1100</v>
      </c>
      <c r="B97" s="71" t="s">
        <v>211</v>
      </c>
      <c r="C97" s="72">
        <f>SUM(C98:C99)</f>
        <v>197595.4</v>
      </c>
      <c r="D97" s="72">
        <f>SUM(D98:D99)</f>
        <v>108750.2</v>
      </c>
      <c r="E97" s="72">
        <f>D97/C97*100</f>
        <v>55.036807537017566</v>
      </c>
      <c r="F97" s="87">
        <f>F98+F99</f>
        <v>32398.3</v>
      </c>
      <c r="G97" s="87">
        <f>G98+G99</f>
        <v>17084.1</v>
      </c>
      <c r="H97" s="73">
        <f>G97/F97*100</f>
        <v>52.7314704783893</v>
      </c>
      <c r="I97" s="87">
        <f>SUM(I98:I99)</f>
        <v>228749.2</v>
      </c>
      <c r="J97" s="87">
        <f>SUM(J98:J99)</f>
        <v>124589.7</v>
      </c>
      <c r="K97" s="74">
        <f t="shared" si="11"/>
        <v>54.46563310385347</v>
      </c>
    </row>
    <row r="98" spans="1:11" ht="15">
      <c r="A98" s="80">
        <v>1101</v>
      </c>
      <c r="B98" s="76" t="s">
        <v>212</v>
      </c>
      <c r="C98" s="68">
        <v>18518.5</v>
      </c>
      <c r="D98" s="68">
        <v>11718.8</v>
      </c>
      <c r="E98" s="68">
        <f t="shared" si="12"/>
        <v>63.28158328158327</v>
      </c>
      <c r="F98" s="77">
        <v>32398.3</v>
      </c>
      <c r="G98" s="77">
        <v>17084.1</v>
      </c>
      <c r="H98" s="77">
        <f>G98/F98*100</f>
        <v>52.7314704783893</v>
      </c>
      <c r="I98" s="78">
        <f>C98+F98-1244.5</f>
        <v>49672.3</v>
      </c>
      <c r="J98" s="78">
        <f>D98+G98-1244.6</f>
        <v>27558.3</v>
      </c>
      <c r="K98" s="79">
        <f t="shared" si="11"/>
        <v>55.48021734447569</v>
      </c>
    </row>
    <row r="99" spans="1:11" ht="15">
      <c r="A99" s="80">
        <v>1102</v>
      </c>
      <c r="B99" s="76" t="s">
        <v>213</v>
      </c>
      <c r="C99" s="68">
        <v>179076.9</v>
      </c>
      <c r="D99" s="68">
        <v>97031.4</v>
      </c>
      <c r="E99" s="68">
        <f t="shared" si="12"/>
        <v>54.18420801342887</v>
      </c>
      <c r="F99" s="77"/>
      <c r="G99" s="77">
        <v>0</v>
      </c>
      <c r="H99" s="77"/>
      <c r="I99" s="78">
        <f>C99+F99</f>
        <v>179076.9</v>
      </c>
      <c r="J99" s="78">
        <f>D99+G99</f>
        <v>97031.4</v>
      </c>
      <c r="K99" s="79">
        <f t="shared" si="11"/>
        <v>54.18420801342887</v>
      </c>
    </row>
    <row r="100" spans="1:11" ht="15">
      <c r="A100" s="91">
        <v>1200</v>
      </c>
      <c r="B100" s="71" t="s">
        <v>214</v>
      </c>
      <c r="C100" s="72">
        <f>C101</f>
        <v>4500</v>
      </c>
      <c r="D100" s="72">
        <f>D101</f>
        <v>1836.3</v>
      </c>
      <c r="E100" s="96">
        <f>D100/C100*100</f>
        <v>40.806666666666665</v>
      </c>
      <c r="F100" s="72">
        <f>F101</f>
        <v>0</v>
      </c>
      <c r="G100" s="72">
        <f>G101</f>
        <v>0</v>
      </c>
      <c r="H100" s="97"/>
      <c r="I100" s="72">
        <f aca="true" t="shared" si="13" ref="I100:J103">C100+F100</f>
        <v>4500</v>
      </c>
      <c r="J100" s="72">
        <f t="shared" si="13"/>
        <v>1836.3</v>
      </c>
      <c r="K100" s="82">
        <f t="shared" si="11"/>
        <v>40.806666666666665</v>
      </c>
    </row>
    <row r="101" spans="1:11" ht="15">
      <c r="A101" s="80" t="s">
        <v>215</v>
      </c>
      <c r="B101" s="76" t="s">
        <v>216</v>
      </c>
      <c r="C101" s="68">
        <v>4500</v>
      </c>
      <c r="D101" s="68">
        <v>1836.3</v>
      </c>
      <c r="E101" s="68">
        <f>D101/C101*100</f>
        <v>40.806666666666665</v>
      </c>
      <c r="F101" s="77">
        <v>0</v>
      </c>
      <c r="G101" s="77">
        <v>0</v>
      </c>
      <c r="H101" s="77">
        <v>0</v>
      </c>
      <c r="I101" s="78">
        <f t="shared" si="13"/>
        <v>4500</v>
      </c>
      <c r="J101" s="78">
        <f t="shared" si="13"/>
        <v>1836.3</v>
      </c>
      <c r="K101" s="79">
        <f>J101/I101*100</f>
        <v>40.806666666666665</v>
      </c>
    </row>
    <row r="102" spans="1:11" ht="28.5">
      <c r="A102" s="91">
        <v>1300</v>
      </c>
      <c r="B102" s="71" t="s">
        <v>217</v>
      </c>
      <c r="C102" s="72">
        <f aca="true" t="shared" si="14" ref="C102:H102">C103</f>
        <v>15</v>
      </c>
      <c r="D102" s="72">
        <f t="shared" si="14"/>
        <v>3.7</v>
      </c>
      <c r="E102" s="72">
        <f t="shared" si="14"/>
        <v>24.666666666666668</v>
      </c>
      <c r="F102" s="72">
        <f t="shared" si="14"/>
        <v>0</v>
      </c>
      <c r="G102" s="72">
        <f t="shared" si="14"/>
        <v>0</v>
      </c>
      <c r="H102" s="81">
        <f t="shared" si="14"/>
        <v>0</v>
      </c>
      <c r="I102" s="72">
        <f t="shared" si="13"/>
        <v>15</v>
      </c>
      <c r="J102" s="72">
        <f t="shared" si="13"/>
        <v>3.7</v>
      </c>
      <c r="K102" s="82">
        <f t="shared" si="11"/>
        <v>24.666666666666668</v>
      </c>
    </row>
    <row r="103" spans="1:11" ht="30">
      <c r="A103" s="80">
        <v>1301</v>
      </c>
      <c r="B103" s="76" t="s">
        <v>218</v>
      </c>
      <c r="C103" s="68">
        <v>15</v>
      </c>
      <c r="D103" s="68">
        <v>3.7</v>
      </c>
      <c r="E103" s="68">
        <f t="shared" si="12"/>
        <v>24.666666666666668</v>
      </c>
      <c r="F103" s="77"/>
      <c r="G103" s="77">
        <v>0</v>
      </c>
      <c r="H103" s="77">
        <v>0</v>
      </c>
      <c r="I103" s="78">
        <f t="shared" si="13"/>
        <v>15</v>
      </c>
      <c r="J103" s="78">
        <f t="shared" si="13"/>
        <v>3.7</v>
      </c>
      <c r="K103" s="79">
        <f t="shared" si="11"/>
        <v>24.666666666666668</v>
      </c>
    </row>
    <row r="104" spans="1:11" ht="14.25">
      <c r="A104" s="91">
        <v>1400</v>
      </c>
      <c r="B104" s="71" t="s">
        <v>219</v>
      </c>
      <c r="C104" s="72">
        <f>SUM(C105:C107)</f>
        <v>287835.5</v>
      </c>
      <c r="D104" s="72">
        <f>SUM(D105:D107)</f>
        <v>168891.80000000002</v>
      </c>
      <c r="E104" s="72">
        <f>D104/C104*100</f>
        <v>58.676500987543236</v>
      </c>
      <c r="F104" s="87">
        <f>F105+F106+F107</f>
        <v>0</v>
      </c>
      <c r="G104" s="87">
        <f>SUM(G105:G107)</f>
        <v>0</v>
      </c>
      <c r="H104" s="87"/>
      <c r="I104" s="87">
        <v>0</v>
      </c>
      <c r="J104" s="87">
        <v>0</v>
      </c>
      <c r="K104" s="74">
        <v>0</v>
      </c>
    </row>
    <row r="105" spans="1:11" ht="30">
      <c r="A105" s="80">
        <v>1401</v>
      </c>
      <c r="B105" s="76" t="s">
        <v>220</v>
      </c>
      <c r="C105" s="68">
        <v>132924.2</v>
      </c>
      <c r="D105" s="68">
        <v>79754.6</v>
      </c>
      <c r="E105" s="68">
        <f t="shared" si="12"/>
        <v>60.000060184676684</v>
      </c>
      <c r="F105" s="77">
        <v>0</v>
      </c>
      <c r="G105" s="77">
        <v>0</v>
      </c>
      <c r="H105" s="77">
        <v>0</v>
      </c>
      <c r="I105" s="78">
        <v>0</v>
      </c>
      <c r="J105" s="69">
        <v>0</v>
      </c>
      <c r="K105" s="79">
        <v>0</v>
      </c>
    </row>
    <row r="106" spans="1:11" ht="15">
      <c r="A106" s="80">
        <v>1402</v>
      </c>
      <c r="B106" s="76" t="s">
        <v>221</v>
      </c>
      <c r="C106" s="68">
        <v>126729.3</v>
      </c>
      <c r="D106" s="68">
        <v>77532</v>
      </c>
      <c r="E106" s="68">
        <f t="shared" si="12"/>
        <v>61.17922216882757</v>
      </c>
      <c r="F106" s="77">
        <v>0</v>
      </c>
      <c r="G106" s="77">
        <v>0</v>
      </c>
      <c r="H106" s="77">
        <v>0</v>
      </c>
      <c r="I106" s="78">
        <v>0</v>
      </c>
      <c r="J106" s="69">
        <v>0</v>
      </c>
      <c r="K106" s="79">
        <v>0</v>
      </c>
    </row>
    <row r="107" spans="1:11" ht="15">
      <c r="A107" s="80">
        <v>1403</v>
      </c>
      <c r="B107" s="76" t="s">
        <v>222</v>
      </c>
      <c r="C107" s="68">
        <v>28182</v>
      </c>
      <c r="D107" s="68">
        <v>11605.2</v>
      </c>
      <c r="E107" s="68">
        <f t="shared" si="12"/>
        <v>41.179476261443476</v>
      </c>
      <c r="F107" s="77">
        <v>0</v>
      </c>
      <c r="G107" s="77">
        <v>0</v>
      </c>
      <c r="H107" s="77">
        <v>0</v>
      </c>
      <c r="I107" s="78">
        <v>0</v>
      </c>
      <c r="J107" s="69">
        <v>0</v>
      </c>
      <c r="K107" s="79">
        <v>0</v>
      </c>
    </row>
    <row r="108" spans="1:11" ht="15" customHeight="1" thickBot="1">
      <c r="A108" s="212" t="s">
        <v>223</v>
      </c>
      <c r="B108" s="213"/>
      <c r="C108" s="98">
        <f>C9+C18+C20+C25+C46+C70+C72+C80+C86+C88+C97+C100+C102+C104</f>
        <v>3969550.3000000003</v>
      </c>
      <c r="D108" s="98">
        <f>D104+D102+D100+D97+D88+D86+D80+D72+D70+D46+D25+D20+D18+D9</f>
        <v>2248997.8</v>
      </c>
      <c r="E108" s="98">
        <f>D108/C108*100</f>
        <v>56.65623634999661</v>
      </c>
      <c r="F108" s="98">
        <f>F9+F18+F20+F25+F46+F70+F72+F80+F86+F88+F97+F100+F102+F104</f>
        <v>572904.3</v>
      </c>
      <c r="G108" s="98">
        <f>G104+G102+G100+G88+G86+G80+G72+G46+G25+G21+G18+G9+G20+G97</f>
        <v>293781.6</v>
      </c>
      <c r="H108" s="99">
        <f>G108/F108*100</f>
        <v>51.27934979716506</v>
      </c>
      <c r="I108" s="98">
        <f>I104+I102+I100+I97+I88+I86+I80+I72+I70+I46+I25+I20+I18+I9</f>
        <v>4130863.7</v>
      </c>
      <c r="J108" s="98">
        <f>J104+J102+J100+J97+J88+J86+J80+J72+J70+J46+J25+J20+J18+J9</f>
        <v>2317377.8999999994</v>
      </c>
      <c r="K108" s="100">
        <f t="shared" si="11"/>
        <v>56.099113122517196</v>
      </c>
    </row>
    <row r="109" spans="1:11" ht="12.75">
      <c r="A109" s="101"/>
      <c r="B109" s="102"/>
      <c r="C109" s="103"/>
      <c r="D109" s="62"/>
      <c r="E109" s="104"/>
      <c r="F109" s="64"/>
      <c r="G109" s="65"/>
      <c r="H109" s="65"/>
      <c r="I109" s="67"/>
      <c r="J109" s="67"/>
      <c r="K109" s="67"/>
    </row>
    <row r="110" spans="1:11" ht="12.75">
      <c r="A110" s="105"/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</row>
    <row r="111" spans="1:11" ht="12.75">
      <c r="A111" s="105"/>
      <c r="B111" s="106"/>
      <c r="C111" s="107"/>
      <c r="D111" s="108"/>
      <c r="E111" s="104"/>
      <c r="F111" s="64"/>
      <c r="G111" s="65"/>
      <c r="H111" s="65"/>
      <c r="I111" s="66"/>
      <c r="J111" s="66"/>
      <c r="K111" s="67"/>
    </row>
    <row r="112" spans="1:11" ht="12.75" customHeight="1">
      <c r="A112" s="208" t="s">
        <v>224</v>
      </c>
      <c r="B112" s="208"/>
      <c r="C112" s="208"/>
      <c r="D112" s="109"/>
      <c r="E112" s="110"/>
      <c r="F112" s="110"/>
      <c r="G112" s="65"/>
      <c r="H112" s="65"/>
      <c r="I112" s="67"/>
      <c r="J112" s="67"/>
      <c r="K112" s="67"/>
    </row>
    <row r="113" spans="1:11" ht="12.75" customHeight="1">
      <c r="A113" s="208" t="s">
        <v>225</v>
      </c>
      <c r="B113" s="208"/>
      <c r="C113" s="208"/>
      <c r="D113" s="111"/>
      <c r="E113" s="209" t="s">
        <v>226</v>
      </c>
      <c r="F113" s="209"/>
      <c r="G113" s="65"/>
      <c r="H113" s="65"/>
      <c r="I113" s="66"/>
      <c r="J113" s="67"/>
      <c r="K113" s="67"/>
    </row>
    <row r="114" spans="1:11" ht="12.75">
      <c r="A114" s="112"/>
      <c r="B114" s="113"/>
      <c r="C114" s="114"/>
      <c r="D114" s="115"/>
      <c r="E114" s="116"/>
      <c r="F114" s="117"/>
      <c r="G114" s="65"/>
      <c r="H114" s="65"/>
      <c r="I114" s="66"/>
      <c r="J114" s="67"/>
      <c r="K114" s="67"/>
    </row>
    <row r="115" spans="1:11" ht="12.75" customHeight="1">
      <c r="A115" s="208" t="s">
        <v>239</v>
      </c>
      <c r="B115" s="208"/>
      <c r="C115" s="208"/>
      <c r="D115" s="118"/>
      <c r="E115" s="209" t="s">
        <v>240</v>
      </c>
      <c r="F115" s="209"/>
      <c r="G115" s="65"/>
      <c r="H115" s="65"/>
      <c r="I115" s="66"/>
      <c r="J115" s="67"/>
      <c r="K115" s="67"/>
    </row>
    <row r="116" spans="1:11" ht="12.75">
      <c r="A116" s="112"/>
      <c r="B116" s="119"/>
      <c r="C116" s="120"/>
      <c r="D116" s="121"/>
      <c r="E116" s="116"/>
      <c r="F116" s="117"/>
      <c r="G116" s="65"/>
      <c r="H116" s="65"/>
      <c r="I116" s="66"/>
      <c r="J116" s="67"/>
      <c r="K116" s="67"/>
    </row>
    <row r="117" spans="1:11" ht="12.75" customHeight="1">
      <c r="A117" s="208" t="s">
        <v>227</v>
      </c>
      <c r="B117" s="208"/>
      <c r="C117" s="208"/>
      <c r="D117" s="118"/>
      <c r="E117" s="210" t="s">
        <v>228</v>
      </c>
      <c r="F117" s="210"/>
      <c r="G117" s="65"/>
      <c r="H117" s="65"/>
      <c r="I117" s="66"/>
      <c r="J117" s="67"/>
      <c r="K117" s="67"/>
    </row>
    <row r="118" spans="1:11" ht="12.75">
      <c r="A118" s="122"/>
      <c r="B118" s="123"/>
      <c r="C118" s="124"/>
      <c r="D118" s="109"/>
      <c r="E118" s="109"/>
      <c r="F118" s="110"/>
      <c r="G118" s="65"/>
      <c r="H118" s="65"/>
      <c r="I118" s="67"/>
      <c r="J118" s="67"/>
      <c r="K118" s="67"/>
    </row>
    <row r="119" spans="1:6" ht="12.75">
      <c r="A119" s="125"/>
      <c r="B119" s="125"/>
      <c r="C119" s="126" t="s">
        <v>229</v>
      </c>
      <c r="D119" s="128"/>
      <c r="E119" s="127" t="s">
        <v>230</v>
      </c>
      <c r="F119" s="125"/>
    </row>
  </sheetData>
  <sheetProtection/>
  <mergeCells count="35">
    <mergeCell ref="C4:C5"/>
    <mergeCell ref="D4:D5"/>
    <mergeCell ref="G20:G21"/>
    <mergeCell ref="H20:H21"/>
    <mergeCell ref="K4:K5"/>
    <mergeCell ref="B6:K8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E4:E5"/>
    <mergeCell ref="F4:F5"/>
    <mergeCell ref="I20:I21"/>
    <mergeCell ref="J20:J21"/>
    <mergeCell ref="K20:K21"/>
    <mergeCell ref="A108:B108"/>
    <mergeCell ref="A20:A21"/>
    <mergeCell ref="B20:B21"/>
    <mergeCell ref="C20:C21"/>
    <mergeCell ref="D20:D21"/>
    <mergeCell ref="E20:E21"/>
    <mergeCell ref="F20:F21"/>
    <mergeCell ref="A112:C112"/>
    <mergeCell ref="A113:C113"/>
    <mergeCell ref="E113:F113"/>
    <mergeCell ref="A115:C115"/>
    <mergeCell ref="E115:F115"/>
    <mergeCell ref="A117:C117"/>
    <mergeCell ref="E117:F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2016-05-06T11:05:58Z</cp:lastPrinted>
  <dcterms:created xsi:type="dcterms:W3CDTF">2006-05-12T06:58:42Z</dcterms:created>
  <dcterms:modified xsi:type="dcterms:W3CDTF">2016-09-20T11:12:21Z</dcterms:modified>
  <cp:category/>
  <cp:version/>
  <cp:contentType/>
  <cp:contentStatus/>
</cp:coreProperties>
</file>