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Доходы" sheetId="1" r:id="rId1"/>
    <sheet name="Расход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7" i="2" l="1"/>
  <c r="L137" i="2"/>
  <c r="K137" i="2"/>
  <c r="I137" i="2"/>
  <c r="E137" i="2"/>
  <c r="L136" i="2"/>
  <c r="N136" i="2" s="1"/>
  <c r="I136" i="2"/>
  <c r="K136" i="2" s="1"/>
  <c r="E136" i="2"/>
  <c r="N135" i="2"/>
  <c r="N134" i="2" s="1"/>
  <c r="L135" i="2"/>
  <c r="L134" i="2" s="1"/>
  <c r="K135" i="2"/>
  <c r="I135" i="2"/>
  <c r="E135" i="2"/>
  <c r="M134" i="2"/>
  <c r="K134" i="2"/>
  <c r="J134" i="2"/>
  <c r="I134" i="2"/>
  <c r="G134" i="2"/>
  <c r="F134" i="2"/>
  <c r="D134" i="2"/>
  <c r="E134" i="2" s="1"/>
  <c r="C134" i="2"/>
  <c r="L133" i="2"/>
  <c r="I133" i="2"/>
  <c r="K133" i="2" s="1"/>
  <c r="E133" i="2"/>
  <c r="M132" i="2"/>
  <c r="K132" i="2"/>
  <c r="J132" i="2"/>
  <c r="I132" i="2"/>
  <c r="H132" i="2"/>
  <c r="G132" i="2"/>
  <c r="F132" i="2"/>
  <c r="E132" i="2"/>
  <c r="D132" i="2"/>
  <c r="C132" i="2"/>
  <c r="N131" i="2"/>
  <c r="O131" i="2" s="1"/>
  <c r="L131" i="2"/>
  <c r="K131" i="2"/>
  <c r="K130" i="2" s="1"/>
  <c r="I131" i="2"/>
  <c r="E131" i="2"/>
  <c r="M130" i="2"/>
  <c r="L130" i="2"/>
  <c r="J130" i="2"/>
  <c r="I130" i="2"/>
  <c r="D130" i="2"/>
  <c r="C130" i="2"/>
  <c r="E130" i="2" s="1"/>
  <c r="N129" i="2"/>
  <c r="O129" i="2" s="1"/>
  <c r="L129" i="2"/>
  <c r="K129" i="2"/>
  <c r="I129" i="2"/>
  <c r="E129" i="2"/>
  <c r="N128" i="2"/>
  <c r="L128" i="2"/>
  <c r="K128" i="2"/>
  <c r="I128" i="2"/>
  <c r="E128" i="2"/>
  <c r="N127" i="2"/>
  <c r="L127" i="2"/>
  <c r="K127" i="2"/>
  <c r="I127" i="2"/>
  <c r="H127" i="2"/>
  <c r="E127" i="2"/>
  <c r="M126" i="2"/>
  <c r="L126" i="2"/>
  <c r="K126" i="2"/>
  <c r="J126" i="2"/>
  <c r="I126" i="2"/>
  <c r="G126" i="2"/>
  <c r="H126" i="2" s="1"/>
  <c r="F126" i="2"/>
  <c r="D126" i="2"/>
  <c r="C126" i="2"/>
  <c r="E126" i="2" s="1"/>
  <c r="N125" i="2"/>
  <c r="O125" i="2" s="1"/>
  <c r="L125" i="2"/>
  <c r="K125" i="2"/>
  <c r="I125" i="2"/>
  <c r="E125" i="2"/>
  <c r="N124" i="2"/>
  <c r="O124" i="2" s="1"/>
  <c r="L124" i="2"/>
  <c r="K124" i="2"/>
  <c r="I124" i="2"/>
  <c r="E124" i="2"/>
  <c r="N123" i="2"/>
  <c r="L123" i="2"/>
  <c r="K123" i="2"/>
  <c r="I123" i="2"/>
  <c r="E123" i="2"/>
  <c r="N122" i="2"/>
  <c r="L122" i="2"/>
  <c r="K122" i="2"/>
  <c r="I122" i="2"/>
  <c r="E122" i="2"/>
  <c r="N121" i="2"/>
  <c r="O121" i="2" s="1"/>
  <c r="L121" i="2"/>
  <c r="K121" i="2"/>
  <c r="I121" i="2"/>
  <c r="E121" i="2"/>
  <c r="L120" i="2"/>
  <c r="I120" i="2"/>
  <c r="K120" i="2" s="1"/>
  <c r="N119" i="2"/>
  <c r="L119" i="2"/>
  <c r="K119" i="2"/>
  <c r="I119" i="2"/>
  <c r="E119" i="2"/>
  <c r="N118" i="2"/>
  <c r="L118" i="2"/>
  <c r="K118" i="2"/>
  <c r="I118" i="2"/>
  <c r="H118" i="2"/>
  <c r="E118" i="2"/>
  <c r="M117" i="2"/>
  <c r="K117" i="2"/>
  <c r="J117" i="2"/>
  <c r="G117" i="2"/>
  <c r="F117" i="2"/>
  <c r="D117" i="2"/>
  <c r="C117" i="2"/>
  <c r="E117" i="2" s="1"/>
  <c r="N116" i="2"/>
  <c r="O116" i="2" s="1"/>
  <c r="L116" i="2"/>
  <c r="K116" i="2"/>
  <c r="I116" i="2"/>
  <c r="E116" i="2"/>
  <c r="E113" i="2" s="1"/>
  <c r="N115" i="2"/>
  <c r="L115" i="2"/>
  <c r="K115" i="2"/>
  <c r="I115" i="2"/>
  <c r="I113" i="2" s="1"/>
  <c r="E115" i="2"/>
  <c r="N114" i="2"/>
  <c r="L114" i="2"/>
  <c r="K114" i="2"/>
  <c r="K113" i="2" s="1"/>
  <c r="I114" i="2"/>
  <c r="E114" i="2"/>
  <c r="M113" i="2"/>
  <c r="L113" i="2"/>
  <c r="J113" i="2"/>
  <c r="G113" i="2"/>
  <c r="F113" i="2"/>
  <c r="D113" i="2"/>
  <c r="C113" i="2"/>
  <c r="N112" i="2"/>
  <c r="O112" i="2" s="1"/>
  <c r="L112" i="2"/>
  <c r="K112" i="2"/>
  <c r="I112" i="2"/>
  <c r="H112" i="2"/>
  <c r="E112" i="2"/>
  <c r="L111" i="2"/>
  <c r="I111" i="2"/>
  <c r="K111" i="2" s="1"/>
  <c r="H111" i="2"/>
  <c r="E111" i="2"/>
  <c r="N110" i="2"/>
  <c r="L110" i="2"/>
  <c r="H110" i="2"/>
  <c r="C110" i="2"/>
  <c r="N109" i="2"/>
  <c r="L109" i="2"/>
  <c r="K109" i="2"/>
  <c r="I109" i="2"/>
  <c r="H109" i="2"/>
  <c r="E109" i="2"/>
  <c r="M108" i="2"/>
  <c r="J108" i="2"/>
  <c r="G108" i="2"/>
  <c r="H108" i="2" s="1"/>
  <c r="F108" i="2"/>
  <c r="D108" i="2"/>
  <c r="C108" i="2"/>
  <c r="E108" i="2" s="1"/>
  <c r="N107" i="2"/>
  <c r="O107" i="2" s="1"/>
  <c r="L107" i="2"/>
  <c r="K107" i="2"/>
  <c r="I107" i="2"/>
  <c r="E107" i="2"/>
  <c r="N106" i="2"/>
  <c r="L106" i="2"/>
  <c r="K106" i="2"/>
  <c r="I106" i="2"/>
  <c r="E106" i="2"/>
  <c r="N105" i="2"/>
  <c r="L105" i="2"/>
  <c r="K105" i="2"/>
  <c r="I105" i="2"/>
  <c r="E105" i="2"/>
  <c r="L104" i="2"/>
  <c r="N104" i="2" s="1"/>
  <c r="I104" i="2"/>
  <c r="K104" i="2" s="1"/>
  <c r="N103" i="2"/>
  <c r="L103" i="2"/>
  <c r="K103" i="2"/>
  <c r="I103" i="2"/>
  <c r="E103" i="2"/>
  <c r="L102" i="2"/>
  <c r="N102" i="2" s="1"/>
  <c r="I102" i="2"/>
  <c r="N101" i="2"/>
  <c r="O101" i="2" s="1"/>
  <c r="L101" i="2"/>
  <c r="K101" i="2"/>
  <c r="I101" i="2"/>
  <c r="E101" i="2"/>
  <c r="N100" i="2"/>
  <c r="L100" i="2"/>
  <c r="K100" i="2"/>
  <c r="I100" i="2"/>
  <c r="E100" i="2"/>
  <c r="N99" i="2"/>
  <c r="L99" i="2"/>
  <c r="K99" i="2"/>
  <c r="I99" i="2"/>
  <c r="E99" i="2"/>
  <c r="N98" i="2"/>
  <c r="O98" i="2" s="1"/>
  <c r="L98" i="2"/>
  <c r="K98" i="2"/>
  <c r="I98" i="2"/>
  <c r="E98" i="2"/>
  <c r="M97" i="2"/>
  <c r="L97" i="2"/>
  <c r="J97" i="2"/>
  <c r="G97" i="2"/>
  <c r="F97" i="2"/>
  <c r="D97" i="2"/>
  <c r="C97" i="2"/>
  <c r="N96" i="2"/>
  <c r="L96" i="2"/>
  <c r="K96" i="2"/>
  <c r="I96" i="2"/>
  <c r="H96" i="2"/>
  <c r="H95" i="2" s="1"/>
  <c r="E96" i="2"/>
  <c r="M95" i="2"/>
  <c r="L95" i="2"/>
  <c r="K95" i="2"/>
  <c r="J95" i="2"/>
  <c r="I95" i="2"/>
  <c r="G95" i="2"/>
  <c r="F95" i="2"/>
  <c r="E95" i="2"/>
  <c r="D95" i="2"/>
  <c r="C95" i="2"/>
  <c r="N94" i="2"/>
  <c r="L94" i="2"/>
  <c r="K94" i="2"/>
  <c r="I94" i="2"/>
  <c r="E94" i="2"/>
  <c r="N93" i="2"/>
  <c r="O93" i="2" s="1"/>
  <c r="L93" i="2"/>
  <c r="K93" i="2"/>
  <c r="I93" i="2"/>
  <c r="H93" i="2"/>
  <c r="L92" i="2"/>
  <c r="N92" i="2" s="1"/>
  <c r="I92" i="2"/>
  <c r="K92" i="2" s="1"/>
  <c r="L91" i="2"/>
  <c r="N91" i="2" s="1"/>
  <c r="I91" i="2"/>
  <c r="K91" i="2" s="1"/>
  <c r="L90" i="2"/>
  <c r="N90" i="2" s="1"/>
  <c r="I90" i="2"/>
  <c r="K90" i="2" s="1"/>
  <c r="N89" i="2"/>
  <c r="L89" i="2"/>
  <c r="K89" i="2"/>
  <c r="I89" i="2"/>
  <c r="H89" i="2"/>
  <c r="E89" i="2"/>
  <c r="O88" i="2"/>
  <c r="L88" i="2"/>
  <c r="N88" i="2" s="1"/>
  <c r="I88" i="2"/>
  <c r="K88" i="2" s="1"/>
  <c r="H88" i="2"/>
  <c r="O87" i="2"/>
  <c r="L87" i="2"/>
  <c r="N87" i="2" s="1"/>
  <c r="I87" i="2"/>
  <c r="K87" i="2" s="1"/>
  <c r="H87" i="2"/>
  <c r="E87" i="2"/>
  <c r="L86" i="2"/>
  <c r="N86" i="2" s="1"/>
  <c r="I86" i="2"/>
  <c r="K86" i="2" s="1"/>
  <c r="H86" i="2"/>
  <c r="O85" i="2"/>
  <c r="L85" i="2"/>
  <c r="N85" i="2" s="1"/>
  <c r="I85" i="2"/>
  <c r="K85" i="2" s="1"/>
  <c r="H85" i="2"/>
  <c r="O84" i="2"/>
  <c r="L84" i="2"/>
  <c r="N84" i="2" s="1"/>
  <c r="I84" i="2"/>
  <c r="K84" i="2" s="1"/>
  <c r="H84" i="2"/>
  <c r="E84" i="2"/>
  <c r="L83" i="2"/>
  <c r="N83" i="2" s="1"/>
  <c r="I83" i="2"/>
  <c r="K83" i="2" s="1"/>
  <c r="L82" i="2"/>
  <c r="N82" i="2" s="1"/>
  <c r="I82" i="2"/>
  <c r="K82" i="2" s="1"/>
  <c r="N81" i="2"/>
  <c r="L81" i="2"/>
  <c r="K81" i="2"/>
  <c r="I81" i="2"/>
  <c r="H81" i="2"/>
  <c r="E81" i="2"/>
  <c r="N80" i="2"/>
  <c r="L80" i="2"/>
  <c r="K80" i="2"/>
  <c r="I80" i="2"/>
  <c r="N79" i="2"/>
  <c r="L79" i="2"/>
  <c r="K79" i="2"/>
  <c r="I79" i="2"/>
  <c r="H79" i="2"/>
  <c r="N78" i="2"/>
  <c r="O78" i="2" s="1"/>
  <c r="L78" i="2"/>
  <c r="K78" i="2"/>
  <c r="I78" i="2"/>
  <c r="E78" i="2"/>
  <c r="N77" i="2"/>
  <c r="L77" i="2"/>
  <c r="K77" i="2"/>
  <c r="I77" i="2"/>
  <c r="H77" i="2"/>
  <c r="N76" i="2"/>
  <c r="L76" i="2"/>
  <c r="K76" i="2"/>
  <c r="I76" i="2"/>
  <c r="H76" i="2"/>
  <c r="L75" i="2"/>
  <c r="N75" i="2" s="1"/>
  <c r="I75" i="2"/>
  <c r="K75" i="2" s="1"/>
  <c r="N74" i="2"/>
  <c r="L74" i="2"/>
  <c r="K74" i="2"/>
  <c r="I74" i="2"/>
  <c r="H74" i="2"/>
  <c r="L73" i="2"/>
  <c r="N73" i="2" s="1"/>
  <c r="I73" i="2"/>
  <c r="K73" i="2" s="1"/>
  <c r="L72" i="2"/>
  <c r="N72" i="2" s="1"/>
  <c r="I72" i="2"/>
  <c r="K72" i="2" s="1"/>
  <c r="N71" i="2"/>
  <c r="L71" i="2"/>
  <c r="K71" i="2"/>
  <c r="J71" i="2"/>
  <c r="I71" i="2"/>
  <c r="H71" i="2"/>
  <c r="E71" i="2"/>
  <c r="N70" i="2"/>
  <c r="L70" i="2"/>
  <c r="K70" i="2"/>
  <c r="I70" i="2"/>
  <c r="E70" i="2"/>
  <c r="N69" i="2"/>
  <c r="L69" i="2"/>
  <c r="K69" i="2"/>
  <c r="I69" i="2"/>
  <c r="E69" i="2"/>
  <c r="N68" i="2"/>
  <c r="O68" i="2" s="1"/>
  <c r="L68" i="2"/>
  <c r="K68" i="2"/>
  <c r="I68" i="2"/>
  <c r="E68" i="2"/>
  <c r="N67" i="2"/>
  <c r="O67" i="2" s="1"/>
  <c r="L67" i="2"/>
  <c r="K67" i="2"/>
  <c r="I67" i="2"/>
  <c r="H67" i="2"/>
  <c r="E67" i="2"/>
  <c r="L66" i="2"/>
  <c r="N66" i="2" s="1"/>
  <c r="I66" i="2"/>
  <c r="K66" i="2" s="1"/>
  <c r="O66" i="2" s="1"/>
  <c r="H66" i="2"/>
  <c r="E66" i="2"/>
  <c r="N65" i="2"/>
  <c r="O65" i="2" s="1"/>
  <c r="L65" i="2"/>
  <c r="K65" i="2"/>
  <c r="I65" i="2"/>
  <c r="H65" i="2"/>
  <c r="E65" i="2"/>
  <c r="L64" i="2"/>
  <c r="N64" i="2" s="1"/>
  <c r="O64" i="2" s="1"/>
  <c r="I64" i="2"/>
  <c r="K64" i="2" s="1"/>
  <c r="H64" i="2"/>
  <c r="E64" i="2"/>
  <c r="C64" i="2"/>
  <c r="L63" i="2"/>
  <c r="N63" i="2" s="1"/>
  <c r="O63" i="2" s="1"/>
  <c r="I63" i="2"/>
  <c r="K63" i="2" s="1"/>
  <c r="H63" i="2"/>
  <c r="L62" i="2"/>
  <c r="N62" i="2" s="1"/>
  <c r="O62" i="2" s="1"/>
  <c r="I62" i="2"/>
  <c r="K62" i="2" s="1"/>
  <c r="E62" i="2"/>
  <c r="L61" i="2"/>
  <c r="N61" i="2" s="1"/>
  <c r="O61" i="2" s="1"/>
  <c r="I61" i="2"/>
  <c r="K61" i="2" s="1"/>
  <c r="E61" i="2"/>
  <c r="L60" i="2"/>
  <c r="N60" i="2" s="1"/>
  <c r="O60" i="2" s="1"/>
  <c r="I60" i="2"/>
  <c r="K60" i="2" s="1"/>
  <c r="E60" i="2"/>
  <c r="L59" i="2"/>
  <c r="N59" i="2" s="1"/>
  <c r="K59" i="2"/>
  <c r="I59" i="2"/>
  <c r="L58" i="2"/>
  <c r="N58" i="2" s="1"/>
  <c r="K58" i="2"/>
  <c r="I58" i="2"/>
  <c r="L57" i="2"/>
  <c r="N57" i="2" s="1"/>
  <c r="K57" i="2"/>
  <c r="I57" i="2"/>
  <c r="L56" i="2"/>
  <c r="N56" i="2" s="1"/>
  <c r="O56" i="2" s="1"/>
  <c r="I56" i="2"/>
  <c r="K56" i="2" s="1"/>
  <c r="E56" i="2"/>
  <c r="L55" i="2"/>
  <c r="N55" i="2" s="1"/>
  <c r="C55" i="2"/>
  <c r="M54" i="2"/>
  <c r="J54" i="2"/>
  <c r="G54" i="2"/>
  <c r="F54" i="2"/>
  <c r="D54" i="2"/>
  <c r="L53" i="2"/>
  <c r="N53" i="2" s="1"/>
  <c r="O53" i="2" s="1"/>
  <c r="I53" i="2"/>
  <c r="K53" i="2" s="1"/>
  <c r="N52" i="2"/>
  <c r="L52" i="2"/>
  <c r="K52" i="2"/>
  <c r="I52" i="2"/>
  <c r="E52" i="2"/>
  <c r="N51" i="2"/>
  <c r="O51" i="2" s="1"/>
  <c r="L51" i="2"/>
  <c r="K51" i="2"/>
  <c r="I51" i="2"/>
  <c r="E51" i="2"/>
  <c r="N50" i="2"/>
  <c r="O50" i="2" s="1"/>
  <c r="L50" i="2"/>
  <c r="K50" i="2"/>
  <c r="I50" i="2"/>
  <c r="E50" i="2"/>
  <c r="N49" i="2"/>
  <c r="L49" i="2"/>
  <c r="K49" i="2"/>
  <c r="I49" i="2"/>
  <c r="E49" i="2"/>
  <c r="N48" i="2"/>
  <c r="L48" i="2"/>
  <c r="K48" i="2"/>
  <c r="E48" i="2"/>
  <c r="C48" i="2"/>
  <c r="I48" i="2" s="1"/>
  <c r="L47" i="2"/>
  <c r="N47" i="2" s="1"/>
  <c r="O47" i="2" s="1"/>
  <c r="I47" i="2"/>
  <c r="K47" i="2" s="1"/>
  <c r="E47" i="2"/>
  <c r="L46" i="2"/>
  <c r="N46" i="2" s="1"/>
  <c r="O46" i="2" s="1"/>
  <c r="I46" i="2"/>
  <c r="K46" i="2" s="1"/>
  <c r="E46" i="2"/>
  <c r="L45" i="2"/>
  <c r="N45" i="2" s="1"/>
  <c r="O45" i="2" s="1"/>
  <c r="I45" i="2"/>
  <c r="K45" i="2" s="1"/>
  <c r="H45" i="2"/>
  <c r="E45" i="2"/>
  <c r="N44" i="2"/>
  <c r="O44" i="2" s="1"/>
  <c r="L44" i="2"/>
  <c r="K44" i="2"/>
  <c r="I44" i="2"/>
  <c r="H44" i="2"/>
  <c r="E44" i="2"/>
  <c r="L43" i="2"/>
  <c r="N43" i="2" s="1"/>
  <c r="I43" i="2"/>
  <c r="K43" i="2" s="1"/>
  <c r="O43" i="2" s="1"/>
  <c r="H43" i="2"/>
  <c r="L42" i="2"/>
  <c r="N42" i="2" s="1"/>
  <c r="I42" i="2"/>
  <c r="K42" i="2" s="1"/>
  <c r="O42" i="2" s="1"/>
  <c r="H42" i="2"/>
  <c r="L41" i="2"/>
  <c r="N41" i="2" s="1"/>
  <c r="I41" i="2"/>
  <c r="K41" i="2" s="1"/>
  <c r="O41" i="2" s="1"/>
  <c r="H41" i="2"/>
  <c r="L40" i="2"/>
  <c r="N40" i="2" s="1"/>
  <c r="I40" i="2"/>
  <c r="K40" i="2" s="1"/>
  <c r="O40" i="2" s="1"/>
  <c r="H40" i="2"/>
  <c r="L39" i="2"/>
  <c r="N39" i="2" s="1"/>
  <c r="I39" i="2"/>
  <c r="K39" i="2" s="1"/>
  <c r="O39" i="2" s="1"/>
  <c r="H39" i="2"/>
  <c r="L38" i="2"/>
  <c r="N38" i="2" s="1"/>
  <c r="I38" i="2"/>
  <c r="K38" i="2" s="1"/>
  <c r="O38" i="2" s="1"/>
  <c r="H38" i="2"/>
  <c r="E38" i="2"/>
  <c r="N37" i="2"/>
  <c r="O37" i="2" s="1"/>
  <c r="L37" i="2"/>
  <c r="K37" i="2"/>
  <c r="I37" i="2"/>
  <c r="H37" i="2"/>
  <c r="N36" i="2"/>
  <c r="O36" i="2" s="1"/>
  <c r="L36" i="2"/>
  <c r="K36" i="2"/>
  <c r="I36" i="2"/>
  <c r="H36" i="2"/>
  <c r="N35" i="2"/>
  <c r="L35" i="2"/>
  <c r="K35" i="2"/>
  <c r="I35" i="2"/>
  <c r="H35" i="2"/>
  <c r="N34" i="2"/>
  <c r="L34" i="2"/>
  <c r="K34" i="2"/>
  <c r="I34" i="2"/>
  <c r="H34" i="2"/>
  <c r="E34" i="2"/>
  <c r="O33" i="2"/>
  <c r="L33" i="2"/>
  <c r="N33" i="2" s="1"/>
  <c r="K33" i="2"/>
  <c r="I33" i="2"/>
  <c r="H33" i="2"/>
  <c r="E33" i="2"/>
  <c r="L32" i="2"/>
  <c r="N32" i="2" s="1"/>
  <c r="I32" i="2"/>
  <c r="K32" i="2" s="1"/>
  <c r="L31" i="2"/>
  <c r="N31" i="2" s="1"/>
  <c r="I31" i="2"/>
  <c r="K31" i="2" s="1"/>
  <c r="N30" i="2"/>
  <c r="O30" i="2" s="1"/>
  <c r="L30" i="2"/>
  <c r="K30" i="2"/>
  <c r="I30" i="2"/>
  <c r="E30" i="2"/>
  <c r="N29" i="2"/>
  <c r="O29" i="2" s="1"/>
  <c r="L29" i="2"/>
  <c r="K29" i="2"/>
  <c r="I29" i="2"/>
  <c r="H29" i="2"/>
  <c r="E29" i="2"/>
  <c r="L28" i="2"/>
  <c r="N28" i="2" s="1"/>
  <c r="O28" i="2" s="1"/>
  <c r="I28" i="2"/>
  <c r="K28" i="2" s="1"/>
  <c r="E28" i="2"/>
  <c r="L27" i="2"/>
  <c r="N27" i="2" s="1"/>
  <c r="O27" i="2" s="1"/>
  <c r="I27" i="2"/>
  <c r="K27" i="2" s="1"/>
  <c r="E27" i="2"/>
  <c r="L26" i="2"/>
  <c r="N26" i="2" s="1"/>
  <c r="I26" i="2"/>
  <c r="I25" i="2" s="1"/>
  <c r="H26" i="2"/>
  <c r="E26" i="2"/>
  <c r="M25" i="2"/>
  <c r="L25" i="2"/>
  <c r="J25" i="2"/>
  <c r="G25" i="2"/>
  <c r="H25" i="2" s="1"/>
  <c r="F25" i="2"/>
  <c r="D25" i="2"/>
  <c r="C25" i="2"/>
  <c r="L24" i="2"/>
  <c r="I24" i="2"/>
  <c r="K24" i="2" s="1"/>
  <c r="H24" i="2"/>
  <c r="E24" i="2"/>
  <c r="N23" i="2"/>
  <c r="L23" i="2"/>
  <c r="K23" i="2"/>
  <c r="I23" i="2"/>
  <c r="H23" i="2"/>
  <c r="E23" i="2"/>
  <c r="L22" i="2"/>
  <c r="N22" i="2" s="1"/>
  <c r="I22" i="2"/>
  <c r="H22" i="2"/>
  <c r="E22" i="2"/>
  <c r="M21" i="2"/>
  <c r="J21" i="2"/>
  <c r="G21" i="2"/>
  <c r="F21" i="2"/>
  <c r="H21" i="2" s="1"/>
  <c r="D21" i="2"/>
  <c r="E21" i="2" s="1"/>
  <c r="C21" i="2"/>
  <c r="L20" i="2"/>
  <c r="N20" i="2" s="1"/>
  <c r="I20" i="2"/>
  <c r="H20" i="2"/>
  <c r="E20" i="2"/>
  <c r="E19" i="2" s="1"/>
  <c r="N19" i="2"/>
  <c r="M19" i="2"/>
  <c r="L19" i="2"/>
  <c r="J19" i="2"/>
  <c r="H19" i="2"/>
  <c r="G19" i="2"/>
  <c r="F19" i="2"/>
  <c r="D19" i="2"/>
  <c r="C19" i="2"/>
  <c r="L18" i="2"/>
  <c r="N18" i="2" s="1"/>
  <c r="O18" i="2" s="1"/>
  <c r="I18" i="2"/>
  <c r="K18" i="2" s="1"/>
  <c r="H18" i="2"/>
  <c r="E18" i="2"/>
  <c r="N17" i="2"/>
  <c r="O17" i="2" s="1"/>
  <c r="L17" i="2"/>
  <c r="K17" i="2"/>
  <c r="I17" i="2"/>
  <c r="H17" i="2"/>
  <c r="E17" i="2"/>
  <c r="L16" i="2"/>
  <c r="N16" i="2" s="1"/>
  <c r="O16" i="2" s="1"/>
  <c r="I16" i="2"/>
  <c r="K16" i="2" s="1"/>
  <c r="H16" i="2"/>
  <c r="L15" i="2"/>
  <c r="N15" i="2" s="1"/>
  <c r="O15" i="2" s="1"/>
  <c r="I15" i="2"/>
  <c r="K15" i="2" s="1"/>
  <c r="E15" i="2"/>
  <c r="L14" i="2"/>
  <c r="N14" i="2" s="1"/>
  <c r="O14" i="2" s="1"/>
  <c r="I14" i="2"/>
  <c r="K14" i="2" s="1"/>
  <c r="E14" i="2"/>
  <c r="L13" i="2"/>
  <c r="I13" i="2"/>
  <c r="K13" i="2" s="1"/>
  <c r="H13" i="2"/>
  <c r="E13" i="2"/>
  <c r="N12" i="2"/>
  <c r="O12" i="2" s="1"/>
  <c r="L12" i="2"/>
  <c r="K12" i="2"/>
  <c r="I12" i="2"/>
  <c r="E12" i="2"/>
  <c r="N11" i="2"/>
  <c r="L11" i="2"/>
  <c r="K11" i="2"/>
  <c r="K10" i="2" s="1"/>
  <c r="I11" i="2"/>
  <c r="H11" i="2"/>
  <c r="E11" i="2"/>
  <c r="M10" i="2"/>
  <c r="J10" i="2"/>
  <c r="I10" i="2"/>
  <c r="G10" i="2"/>
  <c r="F10" i="2"/>
  <c r="D10" i="2"/>
  <c r="C10" i="2"/>
  <c r="E10" i="2" s="1"/>
  <c r="H117" i="2" l="1"/>
  <c r="I117" i="2"/>
  <c r="E97" i="2"/>
  <c r="N97" i="2"/>
  <c r="H54" i="2"/>
  <c r="M138" i="2"/>
  <c r="M141" i="2" s="1"/>
  <c r="E25" i="2"/>
  <c r="O20" i="2"/>
  <c r="F138" i="2"/>
  <c r="O11" i="2"/>
  <c r="N10" i="2"/>
  <c r="O10" i="2" s="1"/>
  <c r="K20" i="2"/>
  <c r="K19" i="2" s="1"/>
  <c r="O19" i="2" s="1"/>
  <c r="I19" i="2"/>
  <c r="K22" i="2"/>
  <c r="K21" i="2" s="1"/>
  <c r="I21" i="2"/>
  <c r="O23" i="2"/>
  <c r="N24" i="2"/>
  <c r="L21" i="2"/>
  <c r="O26" i="2"/>
  <c r="N25" i="2"/>
  <c r="G138" i="2"/>
  <c r="H10" i="2"/>
  <c r="L10" i="2"/>
  <c r="N13" i="2"/>
  <c r="O13" i="2" s="1"/>
  <c r="O34" i="2"/>
  <c r="O48" i="2"/>
  <c r="O52" i="2"/>
  <c r="E55" i="2"/>
  <c r="C54" i="2"/>
  <c r="C138" i="2" s="1"/>
  <c r="O69" i="2"/>
  <c r="O71" i="2"/>
  <c r="O76" i="2"/>
  <c r="O89" i="2"/>
  <c r="O94" i="2"/>
  <c r="O99" i="2"/>
  <c r="O105" i="2"/>
  <c r="O114" i="2"/>
  <c r="O123" i="2"/>
  <c r="O128" i="2"/>
  <c r="N133" i="2"/>
  <c r="L132" i="2"/>
  <c r="J138" i="2"/>
  <c r="J141" i="2" s="1"/>
  <c r="K26" i="2"/>
  <c r="K25" i="2" s="1"/>
  <c r="O35" i="2"/>
  <c r="O49" i="2"/>
  <c r="L54" i="2"/>
  <c r="I55" i="2"/>
  <c r="O70" i="2"/>
  <c r="O74" i="2"/>
  <c r="O77" i="2"/>
  <c r="O81" i="2"/>
  <c r="O96" i="2"/>
  <c r="N95" i="2"/>
  <c r="O95" i="2" s="1"/>
  <c r="O100" i="2"/>
  <c r="O103" i="2"/>
  <c r="O106" i="2"/>
  <c r="O115" i="2"/>
  <c r="N120" i="2"/>
  <c r="N117" i="2" s="1"/>
  <c r="O117" i="2" s="1"/>
  <c r="L117" i="2"/>
  <c r="N130" i="2"/>
  <c r="O130" i="2" s="1"/>
  <c r="O109" i="2"/>
  <c r="N108" i="2"/>
  <c r="O118" i="2"/>
  <c r="N54" i="2"/>
  <c r="K102" i="2"/>
  <c r="K97" i="2" s="1"/>
  <c r="I97" i="2"/>
  <c r="I110" i="2"/>
  <c r="E110" i="2"/>
  <c r="N111" i="2"/>
  <c r="O111" i="2" s="1"/>
  <c r="L108" i="2"/>
  <c r="N113" i="2"/>
  <c r="O113" i="2" s="1"/>
  <c r="O119" i="2"/>
  <c r="O122" i="2"/>
  <c r="O127" i="2"/>
  <c r="N126" i="2"/>
  <c r="O126" i="2" s="1"/>
  <c r="D138" i="2"/>
  <c r="O97" i="2" l="1"/>
  <c r="E138" i="2"/>
  <c r="N132" i="2"/>
  <c r="O133" i="2"/>
  <c r="O24" i="2"/>
  <c r="N21" i="2"/>
  <c r="O21" i="2" s="1"/>
  <c r="I54" i="2"/>
  <c r="K55" i="2"/>
  <c r="E54" i="2"/>
  <c r="O25" i="2"/>
  <c r="K110" i="2"/>
  <c r="I108" i="2"/>
  <c r="H138" i="2"/>
  <c r="O22" i="2"/>
  <c r="O132" i="2" l="1"/>
  <c r="N138" i="2"/>
  <c r="K54" i="2"/>
  <c r="O54" i="2" s="1"/>
  <c r="O55" i="2"/>
  <c r="K108" i="2"/>
  <c r="O110" i="2"/>
  <c r="K138" i="2" l="1"/>
  <c r="O108" i="2"/>
  <c r="O138" i="2" l="1"/>
  <c r="J234" i="1" l="1"/>
  <c r="I234" i="1"/>
  <c r="H234" i="1"/>
  <c r="G234" i="1"/>
  <c r="F234" i="1"/>
  <c r="C234" i="1"/>
  <c r="J233" i="1"/>
  <c r="I233" i="1"/>
  <c r="H233" i="1"/>
  <c r="G233" i="1"/>
  <c r="F233" i="1"/>
  <c r="C233" i="1"/>
  <c r="J232" i="1"/>
  <c r="I232" i="1"/>
  <c r="H232" i="1"/>
  <c r="G232" i="1"/>
  <c r="F232" i="1"/>
  <c r="C232" i="1"/>
  <c r="F231" i="1"/>
  <c r="J230" i="1"/>
  <c r="I230" i="1"/>
  <c r="H230" i="1"/>
  <c r="G230" i="1"/>
  <c r="C230" i="1"/>
  <c r="J229" i="1"/>
  <c r="I229" i="1"/>
  <c r="H229" i="1"/>
  <c r="G229" i="1"/>
  <c r="F229" i="1"/>
  <c r="C229" i="1"/>
  <c r="J228" i="1"/>
  <c r="I228" i="1"/>
  <c r="H228" i="1"/>
  <c r="G228" i="1"/>
  <c r="F228" i="1"/>
  <c r="C228" i="1"/>
  <c r="J227" i="1"/>
  <c r="I227" i="1"/>
  <c r="H227" i="1"/>
  <c r="G227" i="1"/>
  <c r="F227" i="1"/>
  <c r="C227" i="1"/>
  <c r="J226" i="1"/>
  <c r="I226" i="1"/>
  <c r="H226" i="1"/>
  <c r="G226" i="1"/>
  <c r="F226" i="1"/>
  <c r="D226" i="1" s="1"/>
  <c r="C226" i="1"/>
  <c r="J225" i="1"/>
  <c r="I225" i="1"/>
  <c r="H225" i="1"/>
  <c r="G225" i="1"/>
  <c r="F225" i="1"/>
  <c r="C225" i="1"/>
  <c r="J224" i="1"/>
  <c r="I224" i="1"/>
  <c r="H224" i="1"/>
  <c r="G224" i="1"/>
  <c r="D224" i="1" s="1"/>
  <c r="F224" i="1"/>
  <c r="C224" i="1"/>
  <c r="J223" i="1"/>
  <c r="I223" i="1"/>
  <c r="H223" i="1"/>
  <c r="G223" i="1"/>
  <c r="F223" i="1"/>
  <c r="C223" i="1"/>
  <c r="J222" i="1"/>
  <c r="I222" i="1"/>
  <c r="H222" i="1"/>
  <c r="G222" i="1"/>
  <c r="F222" i="1"/>
  <c r="E222" i="1" s="1"/>
  <c r="K222" i="1" s="1"/>
  <c r="C222" i="1"/>
  <c r="J221" i="1"/>
  <c r="I221" i="1"/>
  <c r="H221" i="1"/>
  <c r="G221" i="1"/>
  <c r="F221" i="1"/>
  <c r="C221" i="1"/>
  <c r="J220" i="1"/>
  <c r="M220" i="1" s="1"/>
  <c r="I220" i="1"/>
  <c r="G220" i="1"/>
  <c r="F220" i="1"/>
  <c r="C220" i="1"/>
  <c r="J219" i="1"/>
  <c r="I219" i="1"/>
  <c r="H219" i="1"/>
  <c r="G219" i="1"/>
  <c r="F219" i="1"/>
  <c r="C219" i="1"/>
  <c r="J218" i="1"/>
  <c r="I218" i="1"/>
  <c r="H218" i="1"/>
  <c r="G218" i="1"/>
  <c r="F218" i="1"/>
  <c r="C218" i="1"/>
  <c r="G214" i="1"/>
  <c r="E213" i="1"/>
  <c r="D213" i="1"/>
  <c r="M212" i="1"/>
  <c r="L212" i="1"/>
  <c r="E212" i="1"/>
  <c r="E211" i="1" s="1"/>
  <c r="D212" i="1"/>
  <c r="J211" i="1"/>
  <c r="I211" i="1"/>
  <c r="H211" i="1"/>
  <c r="G211" i="1"/>
  <c r="F211" i="1"/>
  <c r="D211" i="1"/>
  <c r="C211" i="1"/>
  <c r="E210" i="1"/>
  <c r="D210" i="1"/>
  <c r="M209" i="1"/>
  <c r="E209" i="1"/>
  <c r="D209" i="1"/>
  <c r="M208" i="1"/>
  <c r="E208" i="1"/>
  <c r="D208" i="1"/>
  <c r="M207" i="1"/>
  <c r="E207" i="1"/>
  <c r="K207" i="1" s="1"/>
  <c r="D207" i="1"/>
  <c r="L207" i="1" s="1"/>
  <c r="M206" i="1"/>
  <c r="E206" i="1"/>
  <c r="K206" i="1" s="1"/>
  <c r="D206" i="1"/>
  <c r="L206" i="1" s="1"/>
  <c r="M205" i="1"/>
  <c r="E205" i="1"/>
  <c r="K205" i="1" s="1"/>
  <c r="D205" i="1"/>
  <c r="L205" i="1" s="1"/>
  <c r="M204" i="1"/>
  <c r="E204" i="1"/>
  <c r="K204" i="1" s="1"/>
  <c r="D204" i="1"/>
  <c r="L204" i="1" s="1"/>
  <c r="M203" i="1"/>
  <c r="L203" i="1"/>
  <c r="E203" i="1"/>
  <c r="K203" i="1" s="1"/>
  <c r="D203" i="1"/>
  <c r="M202" i="1"/>
  <c r="L202" i="1"/>
  <c r="E202" i="1"/>
  <c r="K202" i="1" s="1"/>
  <c r="D202" i="1"/>
  <c r="J201" i="1"/>
  <c r="I201" i="1"/>
  <c r="H201" i="1"/>
  <c r="G201" i="1"/>
  <c r="F201" i="1"/>
  <c r="C201" i="1"/>
  <c r="E197" i="1"/>
  <c r="K197" i="1" s="1"/>
  <c r="D197" i="1"/>
  <c r="L197" i="1" s="1"/>
  <c r="M196" i="1"/>
  <c r="E196" i="1"/>
  <c r="E195" i="1" s="1"/>
  <c r="D196" i="1"/>
  <c r="J195" i="1"/>
  <c r="I195" i="1"/>
  <c r="H195" i="1"/>
  <c r="H198" i="1" s="1"/>
  <c r="G195" i="1"/>
  <c r="F195" i="1"/>
  <c r="C195" i="1"/>
  <c r="E194" i="1"/>
  <c r="D194" i="1"/>
  <c r="E193" i="1"/>
  <c r="D193" i="1"/>
  <c r="E192" i="1"/>
  <c r="E184" i="1" s="1"/>
  <c r="E198" i="1" s="1"/>
  <c r="D192" i="1"/>
  <c r="E191" i="1"/>
  <c r="D191" i="1"/>
  <c r="M190" i="1"/>
  <c r="E190" i="1"/>
  <c r="K190" i="1" s="1"/>
  <c r="D190" i="1"/>
  <c r="L190" i="1" s="1"/>
  <c r="M189" i="1"/>
  <c r="E189" i="1"/>
  <c r="K189" i="1" s="1"/>
  <c r="D189" i="1"/>
  <c r="L189" i="1" s="1"/>
  <c r="M188" i="1"/>
  <c r="E188" i="1"/>
  <c r="K188" i="1" s="1"/>
  <c r="D188" i="1"/>
  <c r="L188" i="1" s="1"/>
  <c r="M187" i="1"/>
  <c r="E187" i="1"/>
  <c r="D187" i="1"/>
  <c r="L187" i="1" s="1"/>
  <c r="M186" i="1"/>
  <c r="E186" i="1"/>
  <c r="K186" i="1" s="1"/>
  <c r="D186" i="1"/>
  <c r="L186" i="1" s="1"/>
  <c r="M185" i="1"/>
  <c r="E185" i="1"/>
  <c r="K185" i="1" s="1"/>
  <c r="D185" i="1"/>
  <c r="L185" i="1" s="1"/>
  <c r="J184" i="1"/>
  <c r="M184" i="1" s="1"/>
  <c r="I184" i="1"/>
  <c r="H184" i="1"/>
  <c r="G184" i="1"/>
  <c r="F184" i="1"/>
  <c r="C184" i="1"/>
  <c r="E180" i="1"/>
  <c r="D180" i="1"/>
  <c r="M179" i="1"/>
  <c r="E179" i="1"/>
  <c r="D179" i="1"/>
  <c r="L179" i="1" s="1"/>
  <c r="J178" i="1"/>
  <c r="I178" i="1"/>
  <c r="H178" i="1"/>
  <c r="G178" i="1"/>
  <c r="F178" i="1"/>
  <c r="C178" i="1"/>
  <c r="C181" i="1" s="1"/>
  <c r="E177" i="1"/>
  <c r="D177" i="1"/>
  <c r="E176" i="1"/>
  <c r="K176" i="1" s="1"/>
  <c r="D176" i="1"/>
  <c r="L176" i="1" s="1"/>
  <c r="E175" i="1"/>
  <c r="K175" i="1" s="1"/>
  <c r="D175" i="1"/>
  <c r="L175" i="1" s="1"/>
  <c r="L174" i="1"/>
  <c r="E174" i="1"/>
  <c r="K174" i="1" s="1"/>
  <c r="D174" i="1"/>
  <c r="M173" i="1"/>
  <c r="E173" i="1"/>
  <c r="K173" i="1" s="1"/>
  <c r="D173" i="1"/>
  <c r="L173" i="1" s="1"/>
  <c r="M172" i="1"/>
  <c r="E172" i="1"/>
  <c r="K172" i="1" s="1"/>
  <c r="D172" i="1"/>
  <c r="L172" i="1" s="1"/>
  <c r="M171" i="1"/>
  <c r="E171" i="1"/>
  <c r="K171" i="1" s="1"/>
  <c r="D171" i="1"/>
  <c r="L171" i="1" s="1"/>
  <c r="E170" i="1"/>
  <c r="K170" i="1" s="1"/>
  <c r="D170" i="1"/>
  <c r="L170" i="1" s="1"/>
  <c r="M169" i="1"/>
  <c r="E169" i="1"/>
  <c r="K169" i="1" s="1"/>
  <c r="D169" i="1"/>
  <c r="L169" i="1" s="1"/>
  <c r="M168" i="1"/>
  <c r="L168" i="1"/>
  <c r="E168" i="1"/>
  <c r="K168" i="1" s="1"/>
  <c r="D168" i="1"/>
  <c r="J167" i="1"/>
  <c r="I167" i="1"/>
  <c r="H167" i="1"/>
  <c r="G167" i="1"/>
  <c r="F167" i="1"/>
  <c r="C167" i="1"/>
  <c r="H164" i="1"/>
  <c r="E163" i="1"/>
  <c r="K163" i="1" s="1"/>
  <c r="D163" i="1"/>
  <c r="L163" i="1" s="1"/>
  <c r="M162" i="1"/>
  <c r="I162" i="1"/>
  <c r="D162" i="1" s="1"/>
  <c r="H162" i="1"/>
  <c r="J161" i="1"/>
  <c r="H161" i="1"/>
  <c r="G161" i="1"/>
  <c r="F161" i="1"/>
  <c r="C161" i="1"/>
  <c r="E160" i="1"/>
  <c r="D160" i="1"/>
  <c r="E159" i="1"/>
  <c r="D159" i="1"/>
  <c r="E158" i="1"/>
  <c r="D158" i="1"/>
  <c r="E157" i="1"/>
  <c r="K157" i="1" s="1"/>
  <c r="D157" i="1"/>
  <c r="L157" i="1" s="1"/>
  <c r="M156" i="1"/>
  <c r="E156" i="1"/>
  <c r="K156" i="1" s="1"/>
  <c r="D156" i="1"/>
  <c r="L156" i="1" s="1"/>
  <c r="M155" i="1"/>
  <c r="E155" i="1"/>
  <c r="K155" i="1" s="1"/>
  <c r="D155" i="1"/>
  <c r="L155" i="1" s="1"/>
  <c r="M154" i="1"/>
  <c r="E154" i="1"/>
  <c r="D154" i="1"/>
  <c r="L154" i="1" s="1"/>
  <c r="M153" i="1"/>
  <c r="E153" i="1"/>
  <c r="K153" i="1" s="1"/>
  <c r="D153" i="1"/>
  <c r="L153" i="1" s="1"/>
  <c r="M152" i="1"/>
  <c r="E152" i="1"/>
  <c r="K152" i="1" s="1"/>
  <c r="D152" i="1"/>
  <c r="L152" i="1" s="1"/>
  <c r="M151" i="1"/>
  <c r="E151" i="1"/>
  <c r="K151" i="1" s="1"/>
  <c r="D151" i="1"/>
  <c r="J150" i="1"/>
  <c r="I150" i="1"/>
  <c r="H150" i="1"/>
  <c r="G150" i="1"/>
  <c r="F150" i="1"/>
  <c r="C150" i="1"/>
  <c r="L146" i="1"/>
  <c r="E146" i="1"/>
  <c r="K146" i="1" s="1"/>
  <c r="D146" i="1"/>
  <c r="M145" i="1"/>
  <c r="L145" i="1"/>
  <c r="K145" i="1"/>
  <c r="E145" i="1"/>
  <c r="D145" i="1"/>
  <c r="M144" i="1"/>
  <c r="L144" i="1"/>
  <c r="E144" i="1"/>
  <c r="K144" i="1" s="1"/>
  <c r="D144" i="1"/>
  <c r="M143" i="1"/>
  <c r="E143" i="1"/>
  <c r="K143" i="1" s="1"/>
  <c r="D143" i="1"/>
  <c r="J142" i="1"/>
  <c r="I142" i="1"/>
  <c r="I147" i="1" s="1"/>
  <c r="H142" i="1"/>
  <c r="G142" i="1"/>
  <c r="F142" i="1"/>
  <c r="C142" i="1"/>
  <c r="E141" i="1"/>
  <c r="D141" i="1"/>
  <c r="E140" i="1"/>
  <c r="D140" i="1"/>
  <c r="E139" i="1"/>
  <c r="D139" i="1"/>
  <c r="L139" i="1" s="1"/>
  <c r="E138" i="1"/>
  <c r="D138" i="1"/>
  <c r="M137" i="1"/>
  <c r="E137" i="1"/>
  <c r="K137" i="1" s="1"/>
  <c r="D137" i="1"/>
  <c r="L137" i="1" s="1"/>
  <c r="M136" i="1"/>
  <c r="E136" i="1"/>
  <c r="K136" i="1" s="1"/>
  <c r="D136" i="1"/>
  <c r="L136" i="1" s="1"/>
  <c r="M135" i="1"/>
  <c r="E135" i="1"/>
  <c r="K135" i="1" s="1"/>
  <c r="D135" i="1"/>
  <c r="L135" i="1" s="1"/>
  <c r="M134" i="1"/>
  <c r="E134" i="1"/>
  <c r="K134" i="1" s="1"/>
  <c r="D134" i="1"/>
  <c r="L134" i="1" s="1"/>
  <c r="M133" i="1"/>
  <c r="E133" i="1"/>
  <c r="K133" i="1" s="1"/>
  <c r="D133" i="1"/>
  <c r="L133" i="1" s="1"/>
  <c r="J132" i="1"/>
  <c r="I132" i="1"/>
  <c r="H132" i="1"/>
  <c r="G132" i="1"/>
  <c r="F132" i="1"/>
  <c r="C132" i="1"/>
  <c r="M128" i="1"/>
  <c r="I128" i="1"/>
  <c r="H128" i="1"/>
  <c r="H127" i="1" s="1"/>
  <c r="F128" i="1"/>
  <c r="J127" i="1"/>
  <c r="G127" i="1"/>
  <c r="C127" i="1"/>
  <c r="E126" i="1"/>
  <c r="D126" i="1"/>
  <c r="M125" i="1"/>
  <c r="E125" i="1"/>
  <c r="K125" i="1" s="1"/>
  <c r="D125" i="1"/>
  <c r="L125" i="1" s="1"/>
  <c r="E124" i="1"/>
  <c r="D124" i="1"/>
  <c r="E123" i="1"/>
  <c r="D123" i="1"/>
  <c r="M122" i="1"/>
  <c r="E122" i="1"/>
  <c r="D122" i="1"/>
  <c r="L122" i="1" s="1"/>
  <c r="M121" i="1"/>
  <c r="E121" i="1"/>
  <c r="K121" i="1" s="1"/>
  <c r="D121" i="1"/>
  <c r="L121" i="1" s="1"/>
  <c r="M120" i="1"/>
  <c r="E120" i="1"/>
  <c r="K120" i="1" s="1"/>
  <c r="D120" i="1"/>
  <c r="L120" i="1" s="1"/>
  <c r="M119" i="1"/>
  <c r="E119" i="1"/>
  <c r="K119" i="1" s="1"/>
  <c r="D119" i="1"/>
  <c r="L119" i="1" s="1"/>
  <c r="M118" i="1"/>
  <c r="L118" i="1"/>
  <c r="E118" i="1"/>
  <c r="K118" i="1" s="1"/>
  <c r="D118" i="1"/>
  <c r="M117" i="1"/>
  <c r="E117" i="1"/>
  <c r="K117" i="1" s="1"/>
  <c r="D117" i="1"/>
  <c r="L117" i="1" s="1"/>
  <c r="M116" i="1"/>
  <c r="E116" i="1"/>
  <c r="K116" i="1" s="1"/>
  <c r="D116" i="1"/>
  <c r="L116" i="1" s="1"/>
  <c r="J115" i="1"/>
  <c r="I115" i="1"/>
  <c r="H115" i="1"/>
  <c r="G115" i="1"/>
  <c r="F115" i="1"/>
  <c r="C115" i="1"/>
  <c r="M111" i="1"/>
  <c r="E111" i="1"/>
  <c r="D111" i="1"/>
  <c r="M110" i="1"/>
  <c r="I110" i="1"/>
  <c r="I109" i="1" s="1"/>
  <c r="F110" i="1"/>
  <c r="J109" i="1"/>
  <c r="H109" i="1"/>
  <c r="H112" i="1" s="1"/>
  <c r="G109" i="1"/>
  <c r="C109" i="1"/>
  <c r="E108" i="1"/>
  <c r="D108" i="1"/>
  <c r="E107" i="1"/>
  <c r="D107" i="1"/>
  <c r="E106" i="1"/>
  <c r="D106" i="1"/>
  <c r="M105" i="1"/>
  <c r="E105" i="1"/>
  <c r="K105" i="1" s="1"/>
  <c r="D105" i="1"/>
  <c r="L105" i="1" s="1"/>
  <c r="M104" i="1"/>
  <c r="E104" i="1"/>
  <c r="K104" i="1" s="1"/>
  <c r="D104" i="1"/>
  <c r="L104" i="1" s="1"/>
  <c r="M103" i="1"/>
  <c r="E103" i="1"/>
  <c r="K103" i="1" s="1"/>
  <c r="D103" i="1"/>
  <c r="L103" i="1" s="1"/>
  <c r="M102" i="1"/>
  <c r="E102" i="1"/>
  <c r="K102" i="1" s="1"/>
  <c r="D102" i="1"/>
  <c r="L102" i="1" s="1"/>
  <c r="M101" i="1"/>
  <c r="E101" i="1"/>
  <c r="K101" i="1" s="1"/>
  <c r="D101" i="1"/>
  <c r="L101" i="1" s="1"/>
  <c r="M100" i="1"/>
  <c r="E100" i="1"/>
  <c r="K100" i="1" s="1"/>
  <c r="D100" i="1"/>
  <c r="J99" i="1"/>
  <c r="I99" i="1"/>
  <c r="H99" i="1"/>
  <c r="G99" i="1"/>
  <c r="F99" i="1"/>
  <c r="C99" i="1"/>
  <c r="E95" i="1"/>
  <c r="K95" i="1" s="1"/>
  <c r="D95" i="1"/>
  <c r="L95" i="1" s="1"/>
  <c r="M94" i="1"/>
  <c r="H94" i="1"/>
  <c r="J93" i="1"/>
  <c r="I93" i="1"/>
  <c r="G93" i="1"/>
  <c r="F93" i="1"/>
  <c r="C93" i="1"/>
  <c r="M92" i="1"/>
  <c r="L92" i="1"/>
  <c r="H92" i="1"/>
  <c r="E92" i="1"/>
  <c r="K92" i="1" s="1"/>
  <c r="E91" i="1"/>
  <c r="D91" i="1"/>
  <c r="E90" i="1"/>
  <c r="D90" i="1"/>
  <c r="M89" i="1"/>
  <c r="E89" i="1"/>
  <c r="K89" i="1" s="1"/>
  <c r="D89" i="1"/>
  <c r="L89" i="1" s="1"/>
  <c r="E88" i="1"/>
  <c r="D88" i="1"/>
  <c r="M87" i="1"/>
  <c r="E87" i="1"/>
  <c r="K87" i="1" s="1"/>
  <c r="D87" i="1"/>
  <c r="L87" i="1" s="1"/>
  <c r="M86" i="1"/>
  <c r="E86" i="1"/>
  <c r="K86" i="1" s="1"/>
  <c r="D86" i="1"/>
  <c r="L86" i="1" s="1"/>
  <c r="M85" i="1"/>
  <c r="E85" i="1"/>
  <c r="K85" i="1" s="1"/>
  <c r="D85" i="1"/>
  <c r="L85" i="1" s="1"/>
  <c r="M84" i="1"/>
  <c r="E84" i="1"/>
  <c r="K84" i="1" s="1"/>
  <c r="D84" i="1"/>
  <c r="L84" i="1" s="1"/>
  <c r="M83" i="1"/>
  <c r="E83" i="1"/>
  <c r="K83" i="1" s="1"/>
  <c r="D83" i="1"/>
  <c r="L83" i="1" s="1"/>
  <c r="M82" i="1"/>
  <c r="E82" i="1"/>
  <c r="D82" i="1"/>
  <c r="L82" i="1" s="1"/>
  <c r="J81" i="1"/>
  <c r="I81" i="1"/>
  <c r="I96" i="1" s="1"/>
  <c r="H81" i="1"/>
  <c r="G81" i="1"/>
  <c r="F81" i="1"/>
  <c r="C81" i="1"/>
  <c r="E77" i="1"/>
  <c r="K77" i="1" s="1"/>
  <c r="D77" i="1"/>
  <c r="D75" i="1" s="1"/>
  <c r="M76" i="1"/>
  <c r="F76" i="1"/>
  <c r="D76" i="1" s="1"/>
  <c r="L76" i="1" s="1"/>
  <c r="E76" i="1"/>
  <c r="E75" i="1" s="1"/>
  <c r="J75" i="1"/>
  <c r="I75" i="1"/>
  <c r="H75" i="1"/>
  <c r="G75" i="1"/>
  <c r="C75" i="1"/>
  <c r="E74" i="1"/>
  <c r="D74" i="1"/>
  <c r="E73" i="1"/>
  <c r="K73" i="1" s="1"/>
  <c r="D73" i="1"/>
  <c r="L73" i="1" s="1"/>
  <c r="M72" i="1"/>
  <c r="E72" i="1"/>
  <c r="K72" i="1" s="1"/>
  <c r="D72" i="1"/>
  <c r="L72" i="1" s="1"/>
  <c r="E71" i="1"/>
  <c r="D71" i="1"/>
  <c r="M70" i="1"/>
  <c r="E70" i="1"/>
  <c r="K70" i="1" s="1"/>
  <c r="D70" i="1"/>
  <c r="L70" i="1" s="1"/>
  <c r="M69" i="1"/>
  <c r="E69" i="1"/>
  <c r="K69" i="1" s="1"/>
  <c r="D69" i="1"/>
  <c r="L69" i="1" s="1"/>
  <c r="M68" i="1"/>
  <c r="E68" i="1"/>
  <c r="D68" i="1"/>
  <c r="L68" i="1" s="1"/>
  <c r="M67" i="1"/>
  <c r="H67" i="1"/>
  <c r="E67" i="1" s="1"/>
  <c r="K67" i="1" s="1"/>
  <c r="M66" i="1"/>
  <c r="L66" i="1"/>
  <c r="E66" i="1"/>
  <c r="K66" i="1" s="1"/>
  <c r="D66" i="1"/>
  <c r="M65" i="1"/>
  <c r="E65" i="1"/>
  <c r="K65" i="1" s="1"/>
  <c r="D65" i="1"/>
  <c r="J64" i="1"/>
  <c r="I64" i="1"/>
  <c r="G64" i="1"/>
  <c r="F64" i="1"/>
  <c r="C64" i="1"/>
  <c r="M60" i="1"/>
  <c r="E60" i="1"/>
  <c r="D60" i="1"/>
  <c r="E59" i="1"/>
  <c r="K59" i="1" s="1"/>
  <c r="D59" i="1"/>
  <c r="L59" i="1" s="1"/>
  <c r="M58" i="1"/>
  <c r="L58" i="1"/>
  <c r="E58" i="1"/>
  <c r="K58" i="1" s="1"/>
  <c r="D58" i="1"/>
  <c r="J57" i="1"/>
  <c r="J61" i="1" s="1"/>
  <c r="I57" i="1"/>
  <c r="H57" i="1"/>
  <c r="G57" i="1"/>
  <c r="F57" i="1"/>
  <c r="C57" i="1"/>
  <c r="C61" i="1" s="1"/>
  <c r="E56" i="1"/>
  <c r="D56" i="1"/>
  <c r="E55" i="1"/>
  <c r="K55" i="1" s="1"/>
  <c r="D55" i="1"/>
  <c r="L55" i="1" s="1"/>
  <c r="M54" i="1"/>
  <c r="E54" i="1"/>
  <c r="K54" i="1" s="1"/>
  <c r="D54" i="1"/>
  <c r="L54" i="1" s="1"/>
  <c r="E53" i="1"/>
  <c r="K53" i="1" s="1"/>
  <c r="D53" i="1"/>
  <c r="L53" i="1" s="1"/>
  <c r="M52" i="1"/>
  <c r="E52" i="1"/>
  <c r="K52" i="1" s="1"/>
  <c r="D52" i="1"/>
  <c r="L52" i="1" s="1"/>
  <c r="E51" i="1"/>
  <c r="D51" i="1"/>
  <c r="M50" i="1"/>
  <c r="E50" i="1"/>
  <c r="K50" i="1" s="1"/>
  <c r="D50" i="1"/>
  <c r="L50" i="1" s="1"/>
  <c r="M49" i="1"/>
  <c r="E49" i="1"/>
  <c r="K49" i="1" s="1"/>
  <c r="D49" i="1"/>
  <c r="L49" i="1" s="1"/>
  <c r="M48" i="1"/>
  <c r="E48" i="1"/>
  <c r="K48" i="1" s="1"/>
  <c r="D48" i="1"/>
  <c r="L48" i="1" s="1"/>
  <c r="M47" i="1"/>
  <c r="E47" i="1"/>
  <c r="K47" i="1" s="1"/>
  <c r="D47" i="1"/>
  <c r="L47" i="1" s="1"/>
  <c r="J46" i="1"/>
  <c r="I46" i="1"/>
  <c r="H46" i="1"/>
  <c r="G46" i="1"/>
  <c r="F46" i="1"/>
  <c r="C46" i="1"/>
  <c r="H43" i="1"/>
  <c r="E42" i="1"/>
  <c r="K42" i="1" s="1"/>
  <c r="D42" i="1"/>
  <c r="L42" i="1" s="1"/>
  <c r="M41" i="1"/>
  <c r="I41" i="1"/>
  <c r="H41" i="1"/>
  <c r="F41" i="1"/>
  <c r="J40" i="1"/>
  <c r="I40" i="1"/>
  <c r="H40" i="1"/>
  <c r="G40" i="1"/>
  <c r="C40" i="1"/>
  <c r="E39" i="1"/>
  <c r="E38" i="1"/>
  <c r="M37" i="1"/>
  <c r="L37" i="1"/>
  <c r="E37" i="1"/>
  <c r="K37" i="1" s="1"/>
  <c r="D37" i="1"/>
  <c r="E36" i="1"/>
  <c r="K36" i="1" s="1"/>
  <c r="D36" i="1"/>
  <c r="L36" i="1" s="1"/>
  <c r="M35" i="1"/>
  <c r="E35" i="1"/>
  <c r="K35" i="1" s="1"/>
  <c r="D35" i="1"/>
  <c r="L35" i="1" s="1"/>
  <c r="M34" i="1"/>
  <c r="E34" i="1"/>
  <c r="K34" i="1" s="1"/>
  <c r="D34" i="1"/>
  <c r="L34" i="1" s="1"/>
  <c r="M33" i="1"/>
  <c r="E33" i="1"/>
  <c r="K33" i="1" s="1"/>
  <c r="D33" i="1"/>
  <c r="L33" i="1" s="1"/>
  <c r="M32" i="1"/>
  <c r="E32" i="1"/>
  <c r="K32" i="1" s="1"/>
  <c r="D32" i="1"/>
  <c r="L32" i="1" s="1"/>
  <c r="M31" i="1"/>
  <c r="E31" i="1"/>
  <c r="D31" i="1"/>
  <c r="J30" i="1"/>
  <c r="I30" i="1"/>
  <c r="H30" i="1"/>
  <c r="G30" i="1"/>
  <c r="F30" i="1"/>
  <c r="C30" i="1"/>
  <c r="E26" i="1"/>
  <c r="K26" i="1" s="1"/>
  <c r="D26" i="1"/>
  <c r="L26" i="1" s="1"/>
  <c r="E25" i="1"/>
  <c r="K25" i="1" s="1"/>
  <c r="D25" i="1"/>
  <c r="L25" i="1" s="1"/>
  <c r="E24" i="1"/>
  <c r="K24" i="1" s="1"/>
  <c r="D24" i="1"/>
  <c r="L24" i="1" s="1"/>
  <c r="M23" i="1"/>
  <c r="E23" i="1"/>
  <c r="K23" i="1" s="1"/>
  <c r="D23" i="1"/>
  <c r="J22" i="1"/>
  <c r="I22" i="1"/>
  <c r="I27" i="1" s="1"/>
  <c r="H22" i="1"/>
  <c r="G22" i="1"/>
  <c r="F22" i="1"/>
  <c r="C22" i="1"/>
  <c r="C27" i="1" s="1"/>
  <c r="E21" i="1"/>
  <c r="D21" i="1"/>
  <c r="L20" i="1"/>
  <c r="E20" i="1"/>
  <c r="K20" i="1" s="1"/>
  <c r="D20" i="1"/>
  <c r="M19" i="1"/>
  <c r="L19" i="1"/>
  <c r="E19" i="1"/>
  <c r="K19" i="1" s="1"/>
  <c r="D19" i="1"/>
  <c r="M18" i="1"/>
  <c r="L18" i="1"/>
  <c r="E18" i="1"/>
  <c r="K18" i="1" s="1"/>
  <c r="D18" i="1"/>
  <c r="M17" i="1"/>
  <c r="L17" i="1"/>
  <c r="E17" i="1"/>
  <c r="K17" i="1" s="1"/>
  <c r="D17" i="1"/>
  <c r="M16" i="1"/>
  <c r="L16" i="1"/>
  <c r="E16" i="1"/>
  <c r="K16" i="1" s="1"/>
  <c r="D16" i="1"/>
  <c r="M15" i="1"/>
  <c r="L15" i="1"/>
  <c r="E15" i="1"/>
  <c r="D15" i="1"/>
  <c r="M14" i="1"/>
  <c r="E14" i="1"/>
  <c r="D14" i="1"/>
  <c r="M13" i="1"/>
  <c r="E13" i="1"/>
  <c r="K13" i="1" s="1"/>
  <c r="D13" i="1"/>
  <c r="L13" i="1" s="1"/>
  <c r="M12" i="1"/>
  <c r="E12" i="1"/>
  <c r="K12" i="1" s="1"/>
  <c r="D12" i="1"/>
  <c r="L12" i="1" s="1"/>
  <c r="M11" i="1"/>
  <c r="E11" i="1"/>
  <c r="K11" i="1" s="1"/>
  <c r="D11" i="1"/>
  <c r="L11" i="1" s="1"/>
  <c r="M10" i="1"/>
  <c r="E10" i="1"/>
  <c r="K10" i="1" s="1"/>
  <c r="D10" i="1"/>
  <c r="L10" i="1" s="1"/>
  <c r="M9" i="1"/>
  <c r="E9" i="1"/>
  <c r="K9" i="1" s="1"/>
  <c r="D9" i="1"/>
  <c r="M8" i="1"/>
  <c r="J8" i="1"/>
  <c r="I8" i="1"/>
  <c r="H8" i="1"/>
  <c r="G8" i="1"/>
  <c r="F8" i="1"/>
  <c r="C8" i="1"/>
  <c r="L226" i="1" l="1"/>
  <c r="E201" i="1"/>
  <c r="D223" i="1"/>
  <c r="E233" i="1"/>
  <c r="K233" i="1" s="1"/>
  <c r="H27" i="1"/>
  <c r="I43" i="1"/>
  <c r="H61" i="1"/>
  <c r="M64" i="1"/>
  <c r="I78" i="1"/>
  <c r="G112" i="1"/>
  <c r="D110" i="1"/>
  <c r="D109" i="1" s="1"/>
  <c r="L109" i="1" s="1"/>
  <c r="M115" i="1"/>
  <c r="M132" i="1"/>
  <c r="H181" i="1"/>
  <c r="C214" i="1"/>
  <c r="M222" i="1"/>
  <c r="D225" i="1"/>
  <c r="L225" i="1" s="1"/>
  <c r="C231" i="1"/>
  <c r="E8" i="1"/>
  <c r="K8" i="1" s="1"/>
  <c r="I231" i="1"/>
  <c r="E46" i="1"/>
  <c r="E99" i="1"/>
  <c r="K99" i="1" s="1"/>
  <c r="C112" i="1"/>
  <c r="M127" i="1"/>
  <c r="F181" i="1"/>
  <c r="M167" i="1"/>
  <c r="G181" i="1"/>
  <c r="M201" i="1"/>
  <c r="E219" i="1"/>
  <c r="K219" i="1" s="1"/>
  <c r="I217" i="1"/>
  <c r="J231" i="1"/>
  <c r="M231" i="1" s="1"/>
  <c r="J181" i="1"/>
  <c r="F109" i="1"/>
  <c r="F112" i="1" s="1"/>
  <c r="E150" i="1"/>
  <c r="K150" i="1" s="1"/>
  <c r="D219" i="1"/>
  <c r="L219" i="1" s="1"/>
  <c r="E223" i="1"/>
  <c r="E224" i="1"/>
  <c r="K224" i="1" s="1"/>
  <c r="E232" i="1"/>
  <c r="E231" i="1" s="1"/>
  <c r="K231" i="1" s="1"/>
  <c r="M232" i="1"/>
  <c r="G27" i="1"/>
  <c r="G61" i="1"/>
  <c r="F75" i="1"/>
  <c r="F78" i="1" s="1"/>
  <c r="E110" i="1"/>
  <c r="K110" i="1" s="1"/>
  <c r="J129" i="1"/>
  <c r="H147" i="1"/>
  <c r="E167" i="1"/>
  <c r="K167" i="1" s="1"/>
  <c r="F198" i="1"/>
  <c r="D201" i="1"/>
  <c r="L201" i="1" s="1"/>
  <c r="H214" i="1"/>
  <c r="E221" i="1"/>
  <c r="K221" i="1" s="1"/>
  <c r="E226" i="1"/>
  <c r="K226" i="1" s="1"/>
  <c r="M226" i="1"/>
  <c r="E234" i="1"/>
  <c r="K234" i="1" s="1"/>
  <c r="C96" i="1"/>
  <c r="H129" i="1"/>
  <c r="I161" i="1"/>
  <c r="I164" i="1" s="1"/>
  <c r="E214" i="1"/>
  <c r="E22" i="1"/>
  <c r="E27" i="1" s="1"/>
  <c r="E57" i="1"/>
  <c r="E61" i="1" s="1"/>
  <c r="K61" i="1" s="1"/>
  <c r="F96" i="1"/>
  <c r="K132" i="1"/>
  <c r="E142" i="1"/>
  <c r="K142" i="1" s="1"/>
  <c r="E178" i="1"/>
  <c r="K178" i="1" s="1"/>
  <c r="F27" i="1"/>
  <c r="E30" i="1"/>
  <c r="F61" i="1"/>
  <c r="E64" i="1"/>
  <c r="E78" i="1" s="1"/>
  <c r="L77" i="1"/>
  <c r="E115" i="1"/>
  <c r="K115" i="1" s="1"/>
  <c r="C129" i="1"/>
  <c r="M129" i="1" s="1"/>
  <c r="E132" i="1"/>
  <c r="D132" i="1"/>
  <c r="L132" i="1" s="1"/>
  <c r="F147" i="1"/>
  <c r="G164" i="1"/>
  <c r="D178" i="1"/>
  <c r="C198" i="1"/>
  <c r="F214" i="1"/>
  <c r="M219" i="1"/>
  <c r="M223" i="1"/>
  <c r="E225" i="1"/>
  <c r="C217" i="1"/>
  <c r="C235" i="1" s="1"/>
  <c r="L9" i="1"/>
  <c r="D8" i="1"/>
  <c r="L8" i="1" s="1"/>
  <c r="D22" i="1"/>
  <c r="L22" i="1" s="1"/>
  <c r="L23" i="1"/>
  <c r="K75" i="1"/>
  <c r="J78" i="1"/>
  <c r="M75" i="1"/>
  <c r="M109" i="1"/>
  <c r="J112" i="1"/>
  <c r="I127" i="1"/>
  <c r="D128" i="1"/>
  <c r="D142" i="1"/>
  <c r="L143" i="1"/>
  <c r="K179" i="1"/>
  <c r="I198" i="1"/>
  <c r="D218" i="1"/>
  <c r="L218" i="1" s="1"/>
  <c r="F217" i="1"/>
  <c r="F235" i="1" s="1"/>
  <c r="E218" i="1"/>
  <c r="M218" i="1"/>
  <c r="J217" i="1"/>
  <c r="D227" i="1"/>
  <c r="L227" i="1" s="1"/>
  <c r="E227" i="1"/>
  <c r="K227" i="1" s="1"/>
  <c r="M227" i="1"/>
  <c r="K15" i="1"/>
  <c r="M22" i="1"/>
  <c r="J27" i="1"/>
  <c r="M30" i="1"/>
  <c r="K30" i="1"/>
  <c r="M61" i="1"/>
  <c r="L75" i="1"/>
  <c r="G129" i="1"/>
  <c r="L162" i="1"/>
  <c r="D161" i="1"/>
  <c r="J214" i="1"/>
  <c r="M211" i="1"/>
  <c r="L211" i="1"/>
  <c r="K211" i="1"/>
  <c r="G217" i="1"/>
  <c r="D229" i="1"/>
  <c r="E229" i="1"/>
  <c r="K229" i="1" s="1"/>
  <c r="L229" i="1"/>
  <c r="E41" i="1"/>
  <c r="D41" i="1"/>
  <c r="F40" i="1"/>
  <c r="F43" i="1" s="1"/>
  <c r="K46" i="1"/>
  <c r="I61" i="1"/>
  <c r="E81" i="1"/>
  <c r="K81" i="1" s="1"/>
  <c r="K82" i="1"/>
  <c r="H93" i="1"/>
  <c r="H96" i="1" s="1"/>
  <c r="E94" i="1"/>
  <c r="D94" i="1"/>
  <c r="M150" i="1"/>
  <c r="M161" i="1"/>
  <c r="C164" i="1"/>
  <c r="I235" i="1"/>
  <c r="K57" i="1"/>
  <c r="M57" i="1"/>
  <c r="D115" i="1"/>
  <c r="L115" i="1" s="1"/>
  <c r="K139" i="1"/>
  <c r="M142" i="1"/>
  <c r="J147" i="1"/>
  <c r="D150" i="1"/>
  <c r="L150" i="1" s="1"/>
  <c r="L151" i="1"/>
  <c r="D230" i="1"/>
  <c r="E230" i="1"/>
  <c r="D234" i="1"/>
  <c r="L234" i="1" s="1"/>
  <c r="D30" i="1"/>
  <c r="L30" i="1" s="1"/>
  <c r="M40" i="1"/>
  <c r="J43" i="1"/>
  <c r="M46" i="1"/>
  <c r="G78" i="1"/>
  <c r="M93" i="1"/>
  <c r="J96" i="1"/>
  <c r="M99" i="1"/>
  <c r="K122" i="1"/>
  <c r="G147" i="1"/>
  <c r="E162" i="1"/>
  <c r="K184" i="1"/>
  <c r="K212" i="1"/>
  <c r="M225" i="1"/>
  <c r="E228" i="1"/>
  <c r="K228" i="1" s="1"/>
  <c r="D228" i="1"/>
  <c r="L228" i="1" s="1"/>
  <c r="M228" i="1"/>
  <c r="K31" i="1"/>
  <c r="G43" i="1"/>
  <c r="D46" i="1"/>
  <c r="L46" i="1" s="1"/>
  <c r="K68" i="1"/>
  <c r="C78" i="1"/>
  <c r="M81" i="1"/>
  <c r="D99" i="1"/>
  <c r="L99" i="1" s="1"/>
  <c r="E128" i="1"/>
  <c r="F127" i="1"/>
  <c r="F129" i="1" s="1"/>
  <c r="K154" i="1"/>
  <c r="I181" i="1"/>
  <c r="M181" i="1"/>
  <c r="J198" i="1"/>
  <c r="M195" i="1"/>
  <c r="K195" i="1"/>
  <c r="D195" i="1"/>
  <c r="L196" i="1"/>
  <c r="D222" i="1"/>
  <c r="L222" i="1" s="1"/>
  <c r="D232" i="1"/>
  <c r="H231" i="1"/>
  <c r="L31" i="1"/>
  <c r="C43" i="1"/>
  <c r="D57" i="1"/>
  <c r="D61" i="1" s="1"/>
  <c r="L61" i="1" s="1"/>
  <c r="L65" i="1"/>
  <c r="H220" i="1"/>
  <c r="D67" i="1"/>
  <c r="L67" i="1" s="1"/>
  <c r="H64" i="1"/>
  <c r="H78" i="1" s="1"/>
  <c r="K76" i="1"/>
  <c r="D81" i="1"/>
  <c r="L81" i="1" s="1"/>
  <c r="G96" i="1"/>
  <c r="L100" i="1"/>
  <c r="I112" i="1"/>
  <c r="D167" i="1"/>
  <c r="L167" i="1" s="1"/>
  <c r="D184" i="1"/>
  <c r="L184" i="1" s="1"/>
  <c r="G198" i="1"/>
  <c r="K196" i="1"/>
  <c r="K201" i="1"/>
  <c r="D214" i="1"/>
  <c r="I214" i="1"/>
  <c r="D221" i="1"/>
  <c r="L221" i="1" s="1"/>
  <c r="M221" i="1"/>
  <c r="K225" i="1"/>
  <c r="G231" i="1"/>
  <c r="G235" i="1" s="1"/>
  <c r="C147" i="1"/>
  <c r="F164" i="1"/>
  <c r="J164" i="1"/>
  <c r="L178" i="1"/>
  <c r="M178" i="1"/>
  <c r="L224" i="1"/>
  <c r="M224" i="1"/>
  <c r="D233" i="1"/>
  <c r="L233" i="1"/>
  <c r="E181" i="1" l="1"/>
  <c r="K181" i="1" s="1"/>
  <c r="L110" i="1"/>
  <c r="K22" i="1"/>
  <c r="D147" i="1"/>
  <c r="D64" i="1"/>
  <c r="L64" i="1" s="1"/>
  <c r="E109" i="1"/>
  <c r="K232" i="1"/>
  <c r="K64" i="1"/>
  <c r="L142" i="1"/>
  <c r="E147" i="1"/>
  <c r="E127" i="1"/>
  <c r="K128" i="1"/>
  <c r="E161" i="1"/>
  <c r="K162" i="1"/>
  <c r="D40" i="1"/>
  <c r="L41" i="1"/>
  <c r="I129" i="1"/>
  <c r="M164" i="1"/>
  <c r="H217" i="1"/>
  <c r="H235" i="1" s="1"/>
  <c r="E220" i="1"/>
  <c r="K220" i="1" s="1"/>
  <c r="D231" i="1"/>
  <c r="L232" i="1"/>
  <c r="D220" i="1"/>
  <c r="L220" i="1" s="1"/>
  <c r="D112" i="1"/>
  <c r="L112" i="1" s="1"/>
  <c r="L94" i="1"/>
  <c r="D93" i="1"/>
  <c r="K41" i="1"/>
  <c r="E40" i="1"/>
  <c r="M214" i="1"/>
  <c r="K214" i="1"/>
  <c r="L214" i="1"/>
  <c r="K27" i="1"/>
  <c r="M27" i="1"/>
  <c r="M96" i="1"/>
  <c r="M217" i="1"/>
  <c r="J235" i="1"/>
  <c r="K78" i="1"/>
  <c r="M78" i="1"/>
  <c r="L195" i="1"/>
  <c r="D198" i="1"/>
  <c r="M198" i="1"/>
  <c r="L198" i="1"/>
  <c r="K198" i="1"/>
  <c r="M43" i="1"/>
  <c r="D181" i="1"/>
  <c r="L181" i="1" s="1"/>
  <c r="K147" i="1"/>
  <c r="M147" i="1"/>
  <c r="L147" i="1"/>
  <c r="L57" i="1"/>
  <c r="E93" i="1"/>
  <c r="K94" i="1"/>
  <c r="L161" i="1"/>
  <c r="D164" i="1"/>
  <c r="L164" i="1" s="1"/>
  <c r="D78" i="1"/>
  <c r="L78" i="1" s="1"/>
  <c r="K218" i="1"/>
  <c r="L128" i="1"/>
  <c r="D127" i="1"/>
  <c r="M112" i="1"/>
  <c r="D27" i="1"/>
  <c r="L27" i="1" s="1"/>
  <c r="E217" i="1" l="1"/>
  <c r="E235" i="1" s="1"/>
  <c r="E112" i="1"/>
  <c r="K112" i="1" s="1"/>
  <c r="K109" i="1"/>
  <c r="D217" i="1"/>
  <c r="L217" i="1" s="1"/>
  <c r="L231" i="1"/>
  <c r="E164" i="1"/>
  <c r="K164" i="1" s="1"/>
  <c r="K161" i="1"/>
  <c r="K235" i="1"/>
  <c r="M235" i="1"/>
  <c r="K217" i="1"/>
  <c r="E43" i="1"/>
  <c r="K43" i="1" s="1"/>
  <c r="K40" i="1"/>
  <c r="D129" i="1"/>
  <c r="L129" i="1" s="1"/>
  <c r="L127" i="1"/>
  <c r="D43" i="1"/>
  <c r="L43" i="1" s="1"/>
  <c r="L40" i="1"/>
  <c r="E129" i="1"/>
  <c r="K129" i="1" s="1"/>
  <c r="K127" i="1"/>
  <c r="E96" i="1"/>
  <c r="K96" i="1" s="1"/>
  <c r="K93" i="1"/>
  <c r="D96" i="1"/>
  <c r="L96" i="1" s="1"/>
  <c r="L93" i="1"/>
  <c r="D235" i="1" l="1"/>
  <c r="L235" i="1" s="1"/>
</calcChain>
</file>

<file path=xl/sharedStrings.xml><?xml version="1.0" encoding="utf-8"?>
<sst xmlns="http://schemas.openxmlformats.org/spreadsheetml/2006/main" count="695" uniqueCount="271">
  <si>
    <t>Отчет об исполнении консолидированного бюджета Октябрьского района по состоянию на 01.10.2020</t>
  </si>
  <si>
    <t>(тыс.руб.)</t>
  </si>
  <si>
    <t xml:space="preserve"> </t>
  </si>
  <si>
    <t>Первонач. план на 2020 год</t>
  </si>
  <si>
    <t>Уточн. план на 2020 год</t>
  </si>
  <si>
    <t>План                 на 9 месяцев 2020 года</t>
  </si>
  <si>
    <t>1 квартал</t>
  </si>
  <si>
    <t>2 квартал</t>
  </si>
  <si>
    <t>3 квартал</t>
  </si>
  <si>
    <t>4 квартал</t>
  </si>
  <si>
    <t>Исполнение на 01.10.2020</t>
  </si>
  <si>
    <t xml:space="preserve">% исп-ия к плану за 9 месяцев 2020 года </t>
  </si>
  <si>
    <t xml:space="preserve">% исп-ия к уточн. плану на 2020 год </t>
  </si>
  <si>
    <t xml:space="preserve">% исп-ия к первонач. плану на 2020 год 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</si>
  <si>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</si>
  <si>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</si>
  <si>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</si>
  <si>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</si>
  <si>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</si>
  <si>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</si>
  <si>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</si>
  <si>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</si>
  <si>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</si>
  <si>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</si>
  <si>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</si>
  <si>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</si>
  <si>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</si>
  <si>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</si>
  <si>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</si>
  <si>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</si>
  <si>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</si>
  <si>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</si>
  <si>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</si>
  <si>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</si>
  <si>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</si>
  <si>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</si>
  <si>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</si>
  <si>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</si>
  <si>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</si>
  <si>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</si>
  <si>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</si>
  <si>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</si>
  <si>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</si>
  <si>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</si>
  <si>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</si>
  <si>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</si>
  <si>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</si>
  <si>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</si>
  <si>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</si>
  <si>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00020700000000000000</t>
  </si>
  <si>
    <t>Прочие безвозмездные поступления</t>
  </si>
  <si>
    <t>00021800000000000000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</si>
  <si>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</si>
  <si>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</si>
  <si>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</si>
  <si>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</si>
  <si>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</si>
  <si>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</si>
  <si>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</si>
  <si>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</si>
  <si>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00011900000000000000</t>
  </si>
  <si>
    <t>Возврат остатков субсидий и субвенций прошлых лет</t>
  </si>
  <si>
    <t>сельское поселение Каменное</t>
  </si>
  <si>
    <t>00020700000000000180</t>
  </si>
  <si>
    <t>сельское поселение Карымкары</t>
  </si>
  <si>
    <t>сельское поселение М-Атлым</t>
  </si>
  <si>
    <t>00010300000010000110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</si>
  <si>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</si>
  <si>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</si>
  <si>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</si>
  <si>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</si>
  <si>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</si>
  <si>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Отчет  об  исполнении  консолидированного  бюджета  района  по  расходам на 1 октября 2020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</si>
  <si>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</si>
  <si>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</si>
  <si>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</si>
  <si>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</si>
  <si>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</si>
  <si>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</si>
  <si>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01.10.2020</t>
  </si>
  <si>
    <t>% исполнения</t>
  </si>
  <si>
    <r>
      <t xml:space="preserve">план                </t>
    </r>
    <r>
      <rPr>
        <b/>
        <i/>
        <sz val="12"/>
        <rFont val="Times New Roman"/>
        <family val="1"/>
        <charset val="204"/>
      </rPr>
      <t xml:space="preserve"> итого</t>
    </r>
    <r>
      <rPr>
        <b/>
        <i/>
        <sz val="11"/>
        <rFont val="Times New Roman"/>
        <family val="1"/>
        <charset val="204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</si>
  <si>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</si>
  <si>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  <charset val="204"/>
      </rPr>
      <t xml:space="preserve"> итого</t>
    </r>
    <r>
      <rPr>
        <i/>
        <sz val="11"/>
        <rFont val="Times New Roman"/>
        <family val="1"/>
        <charset val="204"/>
      </rPr>
      <t xml:space="preserve"> </t>
    </r>
  </si>
  <si>
    <t>исполнения на 01.10.2020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</si>
  <si>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</si>
  <si>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</si>
  <si>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</si>
  <si>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</si>
  <si>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</si>
  <si>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</si>
  <si>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</si>
  <si>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</si>
  <si>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</si>
  <si>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</si>
  <si>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</si>
  <si>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</si>
  <si>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</si>
  <si>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</si>
  <si>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</si>
  <si>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</si>
  <si>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</si>
  <si>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</si>
  <si>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</si>
  <si>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</si>
  <si>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</si>
  <si>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</si>
  <si>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</si>
  <si>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</si>
  <si>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</si>
  <si>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</si>
  <si>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</si>
  <si>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</si>
  <si>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</si>
  <si>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</si>
  <si>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</si>
  <si>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</si>
  <si>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</si>
  <si>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</si>
  <si>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</si>
  <si>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</si>
  <si>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</si>
  <si>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</si>
  <si>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</si>
  <si>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(1140199990 -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</si>
  <si>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</si>
  <si>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</si>
  <si>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</si>
  <si>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</si>
  <si>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(1110199990, 1150182730, 11501S2730)  (дорожный фонд)</t>
  </si>
  <si>
    <t>Основное мероприятие "Внедрение автоматизированных и роботизированных технологий организации дорожного движения и контроля за собдюдением правил дорожного движения". (1150199999)</t>
  </si>
  <si>
    <t>Основное мероприятие "Содержание автомобильных дорог" (0400299990)</t>
  </si>
  <si>
    <t>Основное мероприятие "Капитальный ремонт и ремонт автомобильных дорог местного значения городское поселение Талинка" (0400199990)</t>
  </si>
  <si>
    <t>Основное мероприятие "Реализация мероприятий в рамках дорожной деятельности" (0110199990)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</si>
  <si>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(1500299990)</t>
  </si>
  <si>
    <t>Основное мероприятие "Создание условий для деятельности народных дружин"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</si>
  <si>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</si>
  <si>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</si>
  <si>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</si>
  <si>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</si>
  <si>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</si>
  <si>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</si>
  <si>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</si>
  <si>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района" земля (1800299990)</t>
  </si>
  <si>
    <t>Расходы на стимулирование развития жилищного строительства (0910282671, 09102S2671)</t>
  </si>
  <si>
    <t>Реализация мероприятий муниципальной программы "Поддержка малого и среднего предпринимательства в Октябрьском районе" (0800299990, 080I8S2380, 0810199990)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</si>
  <si>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(081I882380, 082I482380, 082I4S2380) окружной бюджет</t>
  </si>
  <si>
    <t>Осуществление полномочий по государственному управлению охраной труда (1910184120)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</si>
  <si>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</si>
  <si>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Реализация мероприятий муниципальной программы "Расходы на поддержку  малого и среднего предпринимательства в Октябрьском районе" (081I8S2380, 0820182380, 08201S2380) </t>
  </si>
  <si>
    <t>Осуществление полномочий по государственному управлению охраной труда (1910199990) местный бюджет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</si>
  <si>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</si>
  <si>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</si>
  <si>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</si>
  <si>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</si>
  <si>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</si>
  <si>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</si>
  <si>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</si>
  <si>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</si>
  <si>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"Реализация мероприятий обеспечения качественными коммунальными услугами" (1010199990)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</si>
  <si>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</si>
  <si>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</si>
  <si>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</si>
  <si>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"Повышение эффективности, качества и надежности поставки коммунальных ресурсов (0240199990)</t>
  </si>
  <si>
    <t>Капитальный ремонт жилого фонда 1030142120, 1030199990 (4060099990, 40600S2420,  40600S2430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</si>
  <si>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</si>
  <si>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на теплоснабжение, водоснабжение, водоотведение, услуги бани) (1020161100 т.с 01.00) местный бюджет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</si>
  <si>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</si>
  <si>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01.04)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</si>
  <si>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</si>
  <si>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</si>
  <si>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 "Жилищно-коммунальный комплекс и городская среда в муниципальном образовании Октябрьский район" 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</si>
  <si>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"Жилищно-коммунальный комплекс и городская среда в муниципальном образовании Октябрьский район" ОЗП (1010182190, 1010182591, 1010199990, 10101S2190, 10101S2591)</t>
  </si>
  <si>
    <t>Основное мероприятие "Реализация мероприятий обеспечения качественными коммунальными услугами". Расходы на реализацию полномочий в сфере ЖКХ (1010182591, 10101S2591)</t>
  </si>
  <si>
    <t>Повышение эффективности, качества и надежности поставки коммунальных ресурсов (2110199990)</t>
  </si>
  <si>
    <t>Основное мероприятие "Реализация мероприятий обеспечения качественными коммунальными услугами". Реализация мероприятий (0210199990)</t>
  </si>
  <si>
    <t>Основное мероприятие "Реализация мероприятий обеспечения качественными коммунальными услугами".Подпрограмма "Формирование комфортной городской среды" (1050199990)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</si>
  <si>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(40600221400, 4060021410, 4060061100</t>
  </si>
  <si>
    <t>Подготовка к зиме (4060099990)</t>
  </si>
  <si>
    <t>Строительство и реконструкция  объектов  муниципальной  собственности (1010142110)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</si>
  <si>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(4110089020)</t>
  </si>
  <si>
    <t>0503</t>
  </si>
  <si>
    <t>Реализация  мероприятий  муниципальной  программы "Снижение рисков и смягчение последствий чрезвычайных ситуаций природного и техногенного характера на территории Октябрьского  района" (140019990)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</si>
  <si>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(1500199990)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</si>
  <si>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</si>
  <si>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строительство и реконструкция объектов муниципальной собственности (0600242110)</t>
  </si>
  <si>
    <t>"Улучшение экологической ситуации на территории Октябрьского района"  утилизация  отходов на территории муниципального образования Октябрьский район (0600299990)</t>
  </si>
  <si>
    <t xml:space="preserve">Реализация мероприятий муниципальной программы "Развитие гражданских инициатив" (2200289010) 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</si>
  <si>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</si>
  <si>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</si>
  <si>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</si>
  <si>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</si>
  <si>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</si>
  <si>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</si>
  <si>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Увеличение количества благоустроенных дворовых территорий и мест общего пользования (1050199990)</t>
  </si>
  <si>
    <t>Внешнее благоустройство 1060199990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</si>
  <si>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</si>
  <si>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</si>
  <si>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</si>
  <si>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</si>
  <si>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</si>
  <si>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</si>
  <si>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</si>
  <si>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</si>
  <si>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</si>
  <si>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</si>
  <si>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(0140482030, 01404S2030) 01.40.18 и местн.</t>
  </si>
  <si>
    <t>0702</t>
  </si>
  <si>
    <t>Общее образование</t>
  </si>
  <si>
    <t>Бесплатное питание (0140284030)</t>
  </si>
  <si>
    <t>Расходы на строительство и реконструкцию дошкольных образовательных и общеобразовательных организаций, осуществляющих образовательную деятельность по образовательным программам дошкольного образования (014Р282700, 014Р2S2700)</t>
  </si>
  <si>
    <t>Муниципальная программа  "Развитие образоания в муниципальном образовании Октябрьский район" Расходы на создание в общеобразовательных организациях, расположенных в сельской местности, условий для занятий физ культурой и спортом. (014E250970)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</si>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</sst>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₽&quot;_-;\-* #,##0.00\ &quot;₽&quot;_-;_-* &quot;-&quot;??\ &quot;₽&quot;_-;_-@_-"/>
    <numFmt numFmtId="164" formatCode="#,##0.0"/>
    <numFmt numFmtId="166" formatCode="0.0"/>
    <numFmt numFmtId="167" formatCode="_-* #,##0.0_р_._-;\-* #,##0.0_р_._-;_-* &quot;-&quot;?_р_._-;_-@_-"/>
    <numFmt numFmtId="168" formatCode="#,##0.00_ ;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charset val="204"/>
    </font>
    <font>
      <b/>
      <sz val="9"/>
      <name val="Arial"/>
      <family val="2"/>
    </font>
    <font>
      <sz val="9"/>
      <name val="Arial Cyr"/>
      <charset val="204"/>
    </font>
    <font>
      <sz val="9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b/>
      <sz val="12"/>
      <color indexed="3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3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0" fontId="30" fillId="0" borderId="0"/>
  </cellStyleXfs>
  <cellXfs count="19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49" fontId="7" fillId="0" borderId="8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/>
    </xf>
    <xf numFmtId="164" fontId="6" fillId="0" borderId="8" xfId="0" applyNumberFormat="1" applyFont="1" applyFill="1" applyBorder="1" applyAlignment="1">
      <alignment horizontal="right" vertical="top"/>
    </xf>
    <xf numFmtId="164" fontId="6" fillId="0" borderId="8" xfId="0" applyNumberFormat="1" applyFont="1" applyFill="1" applyBorder="1" applyAlignment="1">
      <alignment vertical="top"/>
    </xf>
    <xf numFmtId="49" fontId="9" fillId="0" borderId="5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164" fontId="10" fillId="0" borderId="5" xfId="0" applyNumberFormat="1" applyFont="1" applyFill="1" applyBorder="1" applyAlignment="1">
      <alignment vertical="top" wrapText="1"/>
    </xf>
    <xf numFmtId="164" fontId="8" fillId="0" borderId="5" xfId="0" applyNumberFormat="1" applyFont="1" applyFill="1" applyBorder="1" applyAlignment="1">
      <alignment horizontal="right" vertical="top"/>
    </xf>
    <xf numFmtId="164" fontId="8" fillId="0" borderId="5" xfId="0" applyNumberFormat="1" applyFont="1" applyFill="1" applyBorder="1" applyAlignment="1">
      <alignment vertical="top"/>
    </xf>
    <xf numFmtId="164" fontId="8" fillId="0" borderId="8" xfId="0" applyNumberFormat="1" applyFont="1" applyFill="1" applyBorder="1" applyAlignment="1">
      <alignment vertical="top"/>
    </xf>
    <xf numFmtId="0" fontId="10" fillId="0" borderId="8" xfId="0" applyFont="1" applyFill="1" applyBorder="1" applyAlignment="1">
      <alignment vertical="top" wrapText="1"/>
    </xf>
    <xf numFmtId="164" fontId="10" fillId="0" borderId="8" xfId="0" applyNumberFormat="1" applyFont="1" applyFill="1" applyBorder="1" applyAlignment="1">
      <alignment vertical="top" wrapText="1"/>
    </xf>
    <xf numFmtId="164" fontId="8" fillId="0" borderId="8" xfId="0" applyNumberFormat="1" applyFont="1" applyFill="1" applyBorder="1" applyAlignment="1">
      <alignment horizontal="right" vertical="top"/>
    </xf>
    <xf numFmtId="49" fontId="9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9" fillId="0" borderId="8" xfId="0" applyNumberFormat="1" applyFont="1" applyFill="1" applyBorder="1" applyAlignment="1">
      <alignment horizontal="center" vertical="top" wrapText="1"/>
    </xf>
    <xf numFmtId="49" fontId="10" fillId="0" borderId="5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/>
    </xf>
    <xf numFmtId="164" fontId="7" fillId="0" borderId="8" xfId="0" applyNumberFormat="1" applyFont="1" applyFill="1" applyBorder="1" applyAlignment="1">
      <alignment horizontal="right" vertical="top" wrapText="1"/>
    </xf>
    <xf numFmtId="164" fontId="6" fillId="0" borderId="5" xfId="0" applyNumberFormat="1" applyFont="1" applyFill="1" applyBorder="1" applyAlignment="1">
      <alignment horizontal="right" vertical="top"/>
    </xf>
    <xf numFmtId="49" fontId="10" fillId="0" borderId="5" xfId="0" applyNumberFormat="1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justify" vertical="top" wrapText="1"/>
    </xf>
    <xf numFmtId="164" fontId="10" fillId="0" borderId="8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vertical="top"/>
    </xf>
    <xf numFmtId="164" fontId="10" fillId="0" borderId="8" xfId="0" applyNumberFormat="1" applyFont="1" applyFill="1" applyBorder="1" applyAlignment="1">
      <alignment vertical="top"/>
    </xf>
    <xf numFmtId="0" fontId="10" fillId="0" borderId="9" xfId="0" applyFont="1" applyFill="1" applyBorder="1" applyAlignment="1">
      <alignment vertical="top" wrapText="1" shrinkToFit="1"/>
    </xf>
    <xf numFmtId="164" fontId="10" fillId="0" borderId="8" xfId="0" applyNumberFormat="1" applyFont="1" applyFill="1" applyBorder="1" applyAlignment="1">
      <alignment vertical="top" wrapText="1" shrinkToFit="1"/>
    </xf>
    <xf numFmtId="0" fontId="7" fillId="0" borderId="9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left" vertical="top"/>
    </xf>
    <xf numFmtId="164" fontId="10" fillId="0" borderId="9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/>
    </xf>
    <xf numFmtId="164" fontId="6" fillId="0" borderId="10" xfId="0" applyNumberFormat="1" applyFont="1" applyFill="1" applyBorder="1" applyAlignment="1">
      <alignment horizontal="center" vertical="top"/>
    </xf>
    <xf numFmtId="49" fontId="10" fillId="0" borderId="8" xfId="0" applyNumberFormat="1" applyFont="1" applyFill="1" applyBorder="1" applyAlignment="1">
      <alignment horizontal="center" vertical="top" wrapText="1"/>
    </xf>
    <xf numFmtId="164" fontId="10" fillId="0" borderId="8" xfId="0" applyNumberFormat="1" applyFont="1" applyFill="1" applyBorder="1" applyAlignment="1">
      <alignment horizontal="right" vertical="top" wrapText="1" shrinkToFit="1"/>
    </xf>
    <xf numFmtId="0" fontId="7" fillId="0" borderId="0" xfId="0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vertical="top"/>
    </xf>
    <xf numFmtId="164" fontId="10" fillId="0" borderId="5" xfId="0" applyNumberFormat="1" applyFont="1" applyFill="1" applyBorder="1" applyAlignment="1">
      <alignment horizontal="right" vertical="top" wrapText="1"/>
    </xf>
    <xf numFmtId="164" fontId="7" fillId="0" borderId="6" xfId="0" applyNumberFormat="1" applyFont="1" applyFill="1" applyBorder="1" applyAlignment="1">
      <alignment horizontal="right" vertical="top" wrapText="1"/>
    </xf>
    <xf numFmtId="164" fontId="10" fillId="0" borderId="8" xfId="0" applyNumberFormat="1" applyFont="1" applyFill="1" applyBorder="1" applyAlignment="1">
      <alignment horizontal="right" vertical="top"/>
    </xf>
    <xf numFmtId="0" fontId="10" fillId="0" borderId="6" xfId="0" applyFont="1" applyFill="1" applyBorder="1" applyAlignment="1">
      <alignment vertical="top" wrapText="1"/>
    </xf>
    <xf numFmtId="164" fontId="7" fillId="0" borderId="8" xfId="0" applyNumberFormat="1" applyFont="1" applyFill="1" applyBorder="1" applyAlignment="1">
      <alignment vertical="top" wrapText="1"/>
    </xf>
    <xf numFmtId="44" fontId="9" fillId="0" borderId="1" xfId="1" applyFont="1" applyFill="1" applyBorder="1" applyAlignment="1">
      <alignment horizontal="center" vertical="top" wrapText="1"/>
    </xf>
    <xf numFmtId="44" fontId="9" fillId="0" borderId="10" xfId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vertical="top" wrapText="1"/>
    </xf>
    <xf numFmtId="166" fontId="8" fillId="0" borderId="8" xfId="0" applyNumberFormat="1" applyFont="1" applyFill="1" applyBorder="1" applyAlignment="1">
      <alignment vertical="top"/>
    </xf>
    <xf numFmtId="164" fontId="9" fillId="0" borderId="8" xfId="0" applyNumberFormat="1" applyFont="1" applyFill="1" applyBorder="1" applyAlignment="1">
      <alignment horizontal="right" vertical="top" wrapText="1"/>
    </xf>
    <xf numFmtId="0" fontId="14" fillId="0" borderId="0" xfId="2" applyNumberFormat="1" applyFont="1" applyAlignment="1">
      <alignment horizontal="center" vertical="center" wrapText="1"/>
    </xf>
    <xf numFmtId="49" fontId="15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left" vertical="center" wrapText="1"/>
    </xf>
    <xf numFmtId="167" fontId="16" fillId="2" borderId="0" xfId="2" applyNumberFormat="1" applyFont="1" applyFill="1" applyAlignment="1">
      <alignment horizontal="center" vertical="center" wrapText="1"/>
    </xf>
    <xf numFmtId="167" fontId="17" fillId="2" borderId="0" xfId="2" applyNumberFormat="1" applyFont="1" applyFill="1" applyBorder="1" applyAlignment="1">
      <alignment horizontal="center" vertical="center" wrapText="1"/>
    </xf>
    <xf numFmtId="167" fontId="17" fillId="0" borderId="0" xfId="2" applyNumberFormat="1" applyFont="1" applyFill="1" applyAlignment="1">
      <alignment horizontal="center" vertical="center" wrapText="1"/>
    </xf>
    <xf numFmtId="167" fontId="17" fillId="2" borderId="0" xfId="0" applyNumberFormat="1" applyFont="1" applyFill="1" applyAlignment="1">
      <alignment horizontal="center" vertical="center" wrapText="1"/>
    </xf>
    <xf numFmtId="167" fontId="17" fillId="0" borderId="0" xfId="0" applyNumberFormat="1" applyFont="1" applyAlignment="1">
      <alignment horizontal="center" vertical="center" wrapText="1"/>
    </xf>
    <xf numFmtId="167" fontId="18" fillId="0" borderId="0" xfId="0" applyNumberFormat="1" applyFont="1" applyFill="1" applyAlignment="1">
      <alignment horizontal="center" vertical="center" wrapText="1"/>
    </xf>
    <xf numFmtId="167" fontId="17" fillId="0" borderId="0" xfId="0" applyNumberFormat="1" applyFont="1" applyFill="1" applyAlignment="1">
      <alignment horizontal="center" vertical="center" wrapText="1"/>
    </xf>
    <xf numFmtId="167" fontId="18" fillId="2" borderId="0" xfId="0" applyNumberFormat="1" applyFont="1" applyFill="1" applyAlignment="1">
      <alignment horizontal="center" vertical="center" wrapText="1"/>
    </xf>
    <xf numFmtId="167" fontId="18" fillId="0" borderId="0" xfId="0" applyNumberFormat="1" applyFont="1" applyAlignment="1">
      <alignment horizontal="center" vertical="center" wrapText="1"/>
    </xf>
    <xf numFmtId="49" fontId="19" fillId="0" borderId="11" xfId="2" applyNumberFormat="1" applyFont="1" applyBorder="1" applyAlignment="1">
      <alignment horizontal="center" vertical="center" wrapText="1"/>
    </xf>
    <xf numFmtId="0" fontId="19" fillId="0" borderId="12" xfId="2" applyNumberFormat="1" applyFont="1" applyBorder="1" applyAlignment="1">
      <alignment horizontal="center" vertical="center" wrapText="1"/>
    </xf>
    <xf numFmtId="167" fontId="20" fillId="0" borderId="12" xfId="2" applyNumberFormat="1" applyFont="1" applyFill="1" applyBorder="1" applyAlignment="1">
      <alignment horizontal="center" vertical="center" wrapText="1"/>
    </xf>
    <xf numFmtId="167" fontId="20" fillId="0" borderId="12" xfId="0" applyNumberFormat="1" applyFont="1" applyBorder="1" applyAlignment="1">
      <alignment horizontal="center" vertical="center" wrapText="1"/>
    </xf>
    <xf numFmtId="167" fontId="21" fillId="0" borderId="13" xfId="0" applyNumberFormat="1" applyFont="1" applyFill="1" applyBorder="1" applyAlignment="1">
      <alignment horizontal="center" vertical="center" wrapText="1"/>
    </xf>
    <xf numFmtId="167" fontId="21" fillId="0" borderId="14" xfId="0" applyNumberFormat="1" applyFont="1" applyFill="1" applyBorder="1" applyAlignment="1">
      <alignment horizontal="center" vertical="center" wrapText="1"/>
    </xf>
    <xf numFmtId="167" fontId="21" fillId="0" borderId="15" xfId="0" applyNumberFormat="1" applyFont="1" applyFill="1" applyBorder="1" applyAlignment="1">
      <alignment horizontal="center" vertical="center" wrapText="1"/>
    </xf>
    <xf numFmtId="49" fontId="19" fillId="0" borderId="16" xfId="2" applyNumberFormat="1" applyFont="1" applyBorder="1" applyAlignment="1">
      <alignment horizontal="center" vertical="center" wrapText="1"/>
    </xf>
    <xf numFmtId="0" fontId="19" fillId="0" borderId="8" xfId="2" applyNumberFormat="1" applyFont="1" applyBorder="1" applyAlignment="1">
      <alignment horizontal="center" vertical="center" wrapText="1"/>
    </xf>
    <xf numFmtId="167" fontId="20" fillId="2" borderId="8" xfId="2" applyNumberFormat="1" applyFont="1" applyFill="1" applyBorder="1" applyAlignment="1">
      <alignment horizontal="center" vertical="center" wrapText="1"/>
    </xf>
    <xf numFmtId="167" fontId="20" fillId="0" borderId="8" xfId="2" applyNumberFormat="1" applyFont="1" applyFill="1" applyBorder="1" applyAlignment="1">
      <alignment horizontal="center" vertical="center" wrapText="1"/>
    </xf>
    <xf numFmtId="167" fontId="20" fillId="0" borderId="8" xfId="2" applyNumberFormat="1" applyFont="1" applyBorder="1" applyAlignment="1">
      <alignment horizontal="center" vertical="center" wrapText="1"/>
    </xf>
    <xf numFmtId="167" fontId="22" fillId="3" borderId="8" xfId="0" applyNumberFormat="1" applyFont="1" applyFill="1" applyBorder="1" applyAlignment="1">
      <alignment horizontal="center" vertical="center" wrapText="1"/>
    </xf>
    <xf numFmtId="167" fontId="21" fillId="0" borderId="8" xfId="2" applyNumberFormat="1" applyFont="1" applyFill="1" applyBorder="1" applyAlignment="1">
      <alignment horizontal="center" vertical="center" wrapText="1"/>
    </xf>
    <xf numFmtId="167" fontId="21" fillId="2" borderId="8" xfId="2" applyNumberFormat="1" applyFont="1" applyFill="1" applyBorder="1" applyAlignment="1">
      <alignment horizontal="center" vertical="center" wrapText="1"/>
    </xf>
    <xf numFmtId="167" fontId="21" fillId="0" borderId="17" xfId="2" applyNumberFormat="1" applyFont="1" applyBorder="1" applyAlignment="1">
      <alignment horizontal="center" vertical="center" wrapText="1"/>
    </xf>
    <xf numFmtId="167" fontId="20" fillId="2" borderId="8" xfId="0" applyNumberFormat="1" applyFont="1" applyFill="1" applyBorder="1" applyAlignment="1">
      <alignment horizontal="center" vertical="center" wrapText="1"/>
    </xf>
    <xf numFmtId="167" fontId="26" fillId="0" borderId="8" xfId="0" applyNumberFormat="1" applyFont="1" applyBorder="1" applyAlignment="1">
      <alignment horizontal="center" vertical="center"/>
    </xf>
    <xf numFmtId="167" fontId="20" fillId="0" borderId="8" xfId="0" applyNumberFormat="1" applyFont="1" applyBorder="1" applyAlignment="1">
      <alignment horizontal="center" vertical="center" wrapText="1"/>
    </xf>
    <xf numFmtId="167" fontId="21" fillId="0" borderId="8" xfId="0" applyNumberFormat="1" applyFont="1" applyBorder="1" applyAlignment="1">
      <alignment horizontal="center" vertical="center" wrapText="1"/>
    </xf>
    <xf numFmtId="167" fontId="21" fillId="0" borderId="17" xfId="0" applyNumberFormat="1" applyFont="1" applyBorder="1" applyAlignment="1">
      <alignment horizontal="center" vertical="center" wrapText="1"/>
    </xf>
    <xf numFmtId="0" fontId="0" fillId="0" borderId="0" xfId="0"/>
    <xf numFmtId="49" fontId="19" fillId="0" borderId="16" xfId="2" applyNumberFormat="1" applyFont="1" applyBorder="1" applyAlignment="1">
      <alignment horizontal="center" vertical="center" wrapText="1"/>
    </xf>
    <xf numFmtId="0" fontId="27" fillId="0" borderId="8" xfId="2" applyNumberFormat="1" applyFont="1" applyFill="1" applyBorder="1" applyAlignment="1">
      <alignment horizontal="center" vertical="center" wrapText="1"/>
    </xf>
    <xf numFmtId="0" fontId="19" fillId="0" borderId="8" xfId="2" applyNumberFormat="1" applyFont="1" applyFill="1" applyBorder="1" applyAlignment="1">
      <alignment horizontal="center" vertical="center" wrapText="1"/>
    </xf>
    <xf numFmtId="0" fontId="27" fillId="0" borderId="17" xfId="2" applyNumberFormat="1" applyFont="1" applyFill="1" applyBorder="1" applyAlignment="1">
      <alignment horizontal="center" vertical="center" wrapText="1"/>
    </xf>
    <xf numFmtId="49" fontId="27" fillId="4" borderId="16" xfId="2" quotePrefix="1" applyNumberFormat="1" applyFont="1" applyFill="1" applyBorder="1" applyAlignment="1">
      <alignment horizontal="center" vertical="center" wrapText="1"/>
    </xf>
    <xf numFmtId="0" fontId="27" fillId="4" borderId="8" xfId="2" applyNumberFormat="1" applyFont="1" applyFill="1" applyBorder="1" applyAlignment="1">
      <alignment horizontal="left" vertical="center" wrapText="1"/>
    </xf>
    <xf numFmtId="167" fontId="21" fillId="4" borderId="8" xfId="2" applyNumberFormat="1" applyFont="1" applyFill="1" applyBorder="1" applyAlignment="1">
      <alignment horizontal="center" vertical="center" wrapText="1"/>
    </xf>
    <xf numFmtId="167" fontId="20" fillId="4" borderId="8" xfId="0" applyNumberFormat="1" applyFont="1" applyFill="1" applyBorder="1" applyAlignment="1">
      <alignment horizontal="center" vertical="center" wrapText="1"/>
    </xf>
    <xf numFmtId="167" fontId="21" fillId="4" borderId="17" xfId="0" applyNumberFormat="1" applyFont="1" applyFill="1" applyBorder="1" applyAlignment="1">
      <alignment horizontal="center" vertical="center" wrapText="1"/>
    </xf>
    <xf numFmtId="49" fontId="19" fillId="0" borderId="16" xfId="2" quotePrefix="1" applyNumberFormat="1" applyFont="1" applyFill="1" applyBorder="1" applyAlignment="1">
      <alignment horizontal="center" vertical="center" wrapText="1"/>
    </xf>
    <xf numFmtId="0" fontId="19" fillId="0" borderId="8" xfId="2" applyNumberFormat="1" applyFont="1" applyFill="1" applyBorder="1" applyAlignment="1">
      <alignment horizontal="left" vertical="center" wrapText="1"/>
    </xf>
    <xf numFmtId="167" fontId="20" fillId="2" borderId="8" xfId="2" applyNumberFormat="1" applyFont="1" applyFill="1" applyBorder="1" applyAlignment="1">
      <alignment horizontal="center" vertical="center" wrapText="1"/>
    </xf>
    <xf numFmtId="167" fontId="20" fillId="0" borderId="8" xfId="2" applyNumberFormat="1" applyFont="1" applyFill="1" applyBorder="1" applyAlignment="1">
      <alignment horizontal="center" vertical="center" wrapText="1"/>
    </xf>
    <xf numFmtId="167" fontId="20" fillId="2" borderId="8" xfId="0" applyNumberFormat="1" applyFont="1" applyFill="1" applyBorder="1" applyAlignment="1">
      <alignment horizontal="center" vertical="center" wrapText="1"/>
    </xf>
    <xf numFmtId="167" fontId="20" fillId="0" borderId="8" xfId="0" applyNumberFormat="1" applyFont="1" applyFill="1" applyBorder="1" applyAlignment="1">
      <alignment horizontal="center" vertical="center" wrapText="1"/>
    </xf>
    <xf numFmtId="167" fontId="28" fillId="5" borderId="8" xfId="0" applyNumberFormat="1" applyFont="1" applyFill="1" applyBorder="1" applyAlignment="1">
      <alignment horizontal="center" vertical="center" wrapText="1"/>
    </xf>
    <xf numFmtId="167" fontId="28" fillId="3" borderId="8" xfId="0" applyNumberFormat="1" applyFont="1" applyFill="1" applyBorder="1" applyAlignment="1">
      <alignment horizontal="center" vertical="center" wrapText="1"/>
    </xf>
    <xf numFmtId="167" fontId="21" fillId="2" borderId="8" xfId="0" applyNumberFormat="1" applyFont="1" applyFill="1" applyBorder="1" applyAlignment="1">
      <alignment horizontal="center" vertical="center" wrapText="1"/>
    </xf>
    <xf numFmtId="167" fontId="21" fillId="0" borderId="17" xfId="0" applyNumberFormat="1" applyFont="1" applyFill="1" applyBorder="1" applyAlignment="1">
      <alignment horizontal="center" vertical="center" wrapText="1"/>
    </xf>
    <xf numFmtId="49" fontId="19" fillId="0" borderId="16" xfId="2" applyNumberFormat="1" applyFont="1" applyFill="1" applyBorder="1" applyAlignment="1">
      <alignment horizontal="center" vertical="center" wrapText="1"/>
    </xf>
    <xf numFmtId="167" fontId="29" fillId="3" borderId="8" xfId="0" applyNumberFormat="1" applyFont="1" applyFill="1" applyBorder="1" applyAlignment="1">
      <alignment horizontal="center" vertical="center" wrapText="1"/>
    </xf>
    <xf numFmtId="167" fontId="20" fillId="4" borderId="8" xfId="2" applyNumberFormat="1" applyFont="1" applyFill="1" applyBorder="1" applyAlignment="1">
      <alignment horizontal="center" vertical="center" wrapText="1"/>
    </xf>
    <xf numFmtId="167" fontId="21" fillId="4" borderId="17" xfId="2" applyNumberFormat="1" applyFont="1" applyFill="1" applyBorder="1" applyAlignment="1">
      <alignment horizontal="center" vertical="center" wrapText="1"/>
    </xf>
    <xf numFmtId="0" fontId="27" fillId="4" borderId="2" xfId="2" applyNumberFormat="1" applyFont="1" applyFill="1" applyBorder="1" applyAlignment="1">
      <alignment vertical="center" wrapText="1"/>
    </xf>
    <xf numFmtId="167" fontId="21" fillId="4" borderId="2" xfId="2" applyNumberFormat="1" applyFont="1" applyFill="1" applyBorder="1" applyAlignment="1">
      <alignment vertical="center" wrapText="1"/>
    </xf>
    <xf numFmtId="167" fontId="21" fillId="4" borderId="2" xfId="2" applyNumberFormat="1" applyFont="1" applyFill="1" applyBorder="1" applyAlignment="1">
      <alignment horizontal="center" wrapText="1"/>
    </xf>
    <xf numFmtId="49" fontId="19" fillId="2" borderId="16" xfId="2" quotePrefix="1" applyNumberFormat="1" applyFont="1" applyFill="1" applyBorder="1" applyAlignment="1">
      <alignment horizontal="center" vertical="center" wrapText="1"/>
    </xf>
    <xf numFmtId="0" fontId="19" fillId="6" borderId="8" xfId="2" applyNumberFormat="1" applyFont="1" applyFill="1" applyBorder="1" applyAlignment="1">
      <alignment horizontal="left" vertical="center" wrapText="1"/>
    </xf>
    <xf numFmtId="0" fontId="20" fillId="0" borderId="8" xfId="3" applyNumberFormat="1" applyFont="1" applyFill="1" applyBorder="1" applyAlignment="1" applyProtection="1">
      <alignment horizontal="left" vertical="center" wrapText="1"/>
      <protection hidden="1"/>
    </xf>
    <xf numFmtId="167" fontId="21" fillId="4" borderId="8" xfId="0" applyNumberFormat="1" applyFont="1" applyFill="1" applyBorder="1" applyAlignment="1">
      <alignment horizontal="center" vertical="center" wrapText="1"/>
    </xf>
    <xf numFmtId="0" fontId="31" fillId="0" borderId="8" xfId="2" applyNumberFormat="1" applyFont="1" applyFill="1" applyBorder="1" applyAlignment="1">
      <alignment horizontal="left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49" fontId="19" fillId="2" borderId="16" xfId="2" applyNumberFormat="1" applyFont="1" applyFill="1" applyBorder="1" applyAlignment="1">
      <alignment horizontal="center" vertical="center" wrapText="1"/>
    </xf>
    <xf numFmtId="49" fontId="20" fillId="0" borderId="16" xfId="2" applyNumberFormat="1" applyFont="1" applyFill="1" applyBorder="1" applyAlignment="1">
      <alignment horizontal="center" vertical="center" wrapText="1"/>
    </xf>
    <xf numFmtId="0" fontId="20" fillId="0" borderId="8" xfId="2" applyNumberFormat="1" applyFont="1" applyFill="1" applyBorder="1" applyAlignment="1">
      <alignment horizontal="left" vertical="center" wrapText="1"/>
    </xf>
    <xf numFmtId="0" fontId="19" fillId="2" borderId="8" xfId="2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66" fontId="21" fillId="0" borderId="17" xfId="0" applyNumberFormat="1" applyFont="1" applyFill="1" applyBorder="1" applyAlignment="1">
      <alignment horizontal="center" vertical="center" wrapText="1"/>
    </xf>
    <xf numFmtId="49" fontId="27" fillId="4" borderId="16" xfId="2" applyNumberFormat="1" applyFont="1" applyFill="1" applyBorder="1" applyAlignment="1">
      <alignment horizontal="center" vertical="center" wrapText="1"/>
    </xf>
    <xf numFmtId="0" fontId="27" fillId="4" borderId="8" xfId="0" applyNumberFormat="1" applyFont="1" applyFill="1" applyBorder="1" applyAlignment="1">
      <alignment horizontal="left" vertical="center" wrapText="1"/>
    </xf>
    <xf numFmtId="166" fontId="21" fillId="4" borderId="17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left" vertical="center" wrapText="1"/>
    </xf>
    <xf numFmtId="167" fontId="21" fillId="2" borderId="17" xfId="0" applyNumberFormat="1" applyFont="1" applyFill="1" applyBorder="1" applyAlignment="1">
      <alignment horizontal="center" vertical="center" wrapText="1"/>
    </xf>
    <xf numFmtId="167" fontId="20" fillId="7" borderId="8" xfId="0" applyNumberFormat="1" applyFont="1" applyFill="1" applyBorder="1" applyAlignment="1">
      <alignment horizontal="center" vertical="center" wrapText="1"/>
    </xf>
    <xf numFmtId="167" fontId="28" fillId="3" borderId="8" xfId="2" applyNumberFormat="1" applyFont="1" applyFill="1" applyBorder="1" applyAlignment="1">
      <alignment horizontal="center" vertical="center" wrapText="1"/>
    </xf>
    <xf numFmtId="0" fontId="32" fillId="4" borderId="18" xfId="2" applyNumberFormat="1" applyFont="1" applyFill="1" applyBorder="1" applyAlignment="1">
      <alignment horizontal="center" vertical="center" wrapText="1"/>
    </xf>
    <xf numFmtId="0" fontId="32" fillId="4" borderId="19" xfId="2" applyNumberFormat="1" applyFont="1" applyFill="1" applyBorder="1" applyAlignment="1">
      <alignment horizontal="center" vertical="center" wrapText="1"/>
    </xf>
    <xf numFmtId="167" fontId="21" fillId="4" borderId="19" xfId="2" applyNumberFormat="1" applyFont="1" applyFill="1" applyBorder="1" applyAlignment="1">
      <alignment horizontal="center" vertical="center" wrapText="1"/>
    </xf>
    <xf numFmtId="167" fontId="21" fillId="4" borderId="19" xfId="0" applyNumberFormat="1" applyFont="1" applyFill="1" applyBorder="1" applyAlignment="1">
      <alignment horizontal="center" vertical="center" wrapText="1"/>
    </xf>
    <xf numFmtId="167" fontId="20" fillId="4" borderId="19" xfId="2" applyNumberFormat="1" applyFont="1" applyFill="1" applyBorder="1" applyAlignment="1">
      <alignment horizontal="center" vertical="center" wrapText="1"/>
    </xf>
    <xf numFmtId="167" fontId="21" fillId="4" borderId="20" xfId="0" applyNumberFormat="1" applyFont="1" applyFill="1" applyBorder="1" applyAlignment="1">
      <alignment horizontal="center" vertical="center" wrapText="1"/>
    </xf>
    <xf numFmtId="49" fontId="15" fillId="0" borderId="0" xfId="2" applyNumberFormat="1" applyFont="1" applyFill="1" applyBorder="1" applyAlignment="1">
      <alignment horizontal="center" vertical="center" wrapText="1"/>
    </xf>
    <xf numFmtId="0" fontId="15" fillId="0" borderId="0" xfId="2" applyNumberFormat="1" applyFont="1" applyFill="1" applyBorder="1" applyAlignment="1">
      <alignment horizontal="left" vertical="center" wrapText="1"/>
    </xf>
    <xf numFmtId="168" fontId="16" fillId="2" borderId="0" xfId="2" applyNumberFormat="1" applyFont="1" applyFill="1" applyBorder="1" applyAlignment="1">
      <alignment horizontal="center" vertical="center" wrapText="1"/>
    </xf>
    <xf numFmtId="167" fontId="18" fillId="0" borderId="0" xfId="2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31" fillId="0" borderId="0" xfId="2" applyNumberFormat="1" applyFont="1" applyFill="1" applyBorder="1" applyAlignment="1">
      <alignment horizontal="right" vertical="center" wrapText="1"/>
    </xf>
    <xf numFmtId="167" fontId="33" fillId="2" borderId="0" xfId="0" applyNumberFormat="1" applyFont="1" applyFill="1" applyAlignment="1">
      <alignment horizontal="center" vertical="center" wrapText="1"/>
    </xf>
    <xf numFmtId="167" fontId="33" fillId="0" borderId="0" xfId="0" applyNumberFormat="1" applyFont="1" applyAlignment="1">
      <alignment horizontal="center" vertical="center" wrapText="1"/>
    </xf>
    <xf numFmtId="167" fontId="33" fillId="2" borderId="9" xfId="2" applyNumberFormat="1" applyFont="1" applyFill="1" applyBorder="1" applyAlignment="1">
      <alignment horizontal="center" vertical="center" wrapText="1"/>
    </xf>
    <xf numFmtId="167" fontId="33" fillId="0" borderId="0" xfId="2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right" vertical="center" wrapText="1"/>
    </xf>
    <xf numFmtId="0" fontId="31" fillId="0" borderId="0" xfId="2" applyNumberFormat="1" applyFont="1" applyFill="1" applyBorder="1" applyAlignment="1">
      <alignment horizontal="left" vertical="center" wrapText="1"/>
    </xf>
    <xf numFmtId="167" fontId="34" fillId="2" borderId="0" xfId="2" applyNumberFormat="1" applyFont="1" applyFill="1" applyBorder="1" applyAlignment="1">
      <alignment horizontal="center" vertical="center" wrapText="1"/>
    </xf>
    <xf numFmtId="167" fontId="33" fillId="2" borderId="0" xfId="2" applyNumberFormat="1" applyFont="1" applyFill="1" applyBorder="1" applyAlignment="1">
      <alignment horizontal="center" vertical="center" wrapText="1"/>
    </xf>
    <xf numFmtId="167" fontId="33" fillId="0" borderId="0" xfId="0" applyNumberFormat="1" applyFont="1" applyFill="1" applyBorder="1" applyAlignment="1">
      <alignment horizontal="left" vertical="center" wrapText="1"/>
    </xf>
    <xf numFmtId="167" fontId="33" fillId="2" borderId="0" xfId="0" applyNumberFormat="1" applyFont="1" applyFill="1" applyAlignment="1">
      <alignment horizontal="left" vertical="center" wrapText="1"/>
    </xf>
    <xf numFmtId="167" fontId="33" fillId="2" borderId="9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left" vertical="center" wrapText="1"/>
    </xf>
    <xf numFmtId="167" fontId="34" fillId="2" borderId="0" xfId="0" applyNumberFormat="1" applyFont="1" applyFill="1" applyBorder="1" applyAlignment="1">
      <alignment horizontal="center" vertical="center" wrapText="1"/>
    </xf>
    <xf numFmtId="167" fontId="33" fillId="2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167" fontId="34" fillId="2" borderId="0" xfId="0" applyNumberFormat="1" applyFont="1" applyFill="1" applyAlignment="1">
      <alignment horizontal="center" vertical="center" wrapText="1"/>
    </xf>
    <xf numFmtId="167" fontId="33" fillId="0" borderId="0" xfId="0" applyNumberFormat="1" applyFont="1" applyFill="1" applyAlignment="1">
      <alignment horizontal="center" vertical="center" wrapText="1"/>
    </xf>
    <xf numFmtId="0" fontId="12" fillId="0" borderId="0" xfId="0" applyFont="1"/>
    <xf numFmtId="0" fontId="33" fillId="2" borderId="0" xfId="0" applyFont="1" applyFill="1" applyAlignment="1">
      <alignment horizontal="right"/>
    </xf>
    <xf numFmtId="0" fontId="12" fillId="2" borderId="9" xfId="0" applyFont="1" applyFill="1" applyBorder="1"/>
    <xf numFmtId="0" fontId="33" fillId="0" borderId="0" xfId="0" applyFont="1"/>
    <xf numFmtId="0" fontId="12" fillId="2" borderId="0" xfId="0" applyFont="1" applyFill="1"/>
    <xf numFmtId="0" fontId="0" fillId="2" borderId="0" xfId="0" applyFill="1"/>
    <xf numFmtId="0" fontId="0" fillId="0" borderId="0" xfId="0" applyFont="1"/>
    <xf numFmtId="167" fontId="16" fillId="2" borderId="0" xfId="0" applyNumberFormat="1" applyFont="1" applyFill="1" applyBorder="1" applyAlignment="1">
      <alignment horizontal="center" vertical="center" wrapText="1"/>
    </xf>
    <xf numFmtId="167" fontId="17" fillId="2" borderId="0" xfId="0" applyNumberFormat="1" applyFont="1" applyFill="1" applyBorder="1" applyAlignment="1">
      <alignment horizontal="center" vertical="center" wrapText="1"/>
    </xf>
    <xf numFmtId="167" fontId="18" fillId="2" borderId="0" xfId="2" applyNumberFormat="1" applyFont="1" applyFill="1" applyBorder="1" applyAlignment="1">
      <alignment horizontal="center" vertical="center" wrapText="1"/>
    </xf>
  </cellXfs>
  <cellStyles count="4">
    <cellStyle name="Денежный" xfId="1" builtinId="4"/>
    <cellStyle name="Обычный" xfId="0" builtinId="0"/>
    <cellStyle name="Обычный_Tmp7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5"/>
  <sheetViews>
    <sheetView workbookViewId="0">
      <selection activeCell="P10" sqref="P10"/>
    </sheetView>
  </sheetViews>
  <sheetFormatPr defaultRowHeight="15" x14ac:dyDescent="0.25"/>
  <cols>
    <col min="1" max="1" width="28.5703125" customWidth="1"/>
    <col min="2" max="2" width="35.85546875" customWidth="1"/>
    <col min="3" max="3" width="15" customWidth="1"/>
    <col min="4" max="4" width="14.42578125" customWidth="1"/>
    <col min="5" max="5" width="13" customWidth="1"/>
    <col min="6" max="9" width="0" hidden="1" customWidth="1"/>
    <col min="10" max="10" width="14" customWidth="1"/>
    <col min="11" max="12" width="14.140625" customWidth="1"/>
    <col min="13" max="13" width="13.85546875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</row>
    <row r="3" spans="1:13" x14ac:dyDescent="0.25">
      <c r="A3" s="4"/>
      <c r="B3" s="5"/>
      <c r="C3" s="5"/>
      <c r="D3" s="5"/>
      <c r="E3" s="5"/>
      <c r="F3" s="5"/>
      <c r="G3" s="5"/>
      <c r="H3" s="6"/>
      <c r="I3" s="6"/>
      <c r="K3" s="3"/>
      <c r="L3" s="3"/>
      <c r="M3" s="7" t="s">
        <v>1</v>
      </c>
    </row>
    <row r="4" spans="1:13" ht="15" customHeight="1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0" t="s">
        <v>10</v>
      </c>
      <c r="K4" s="10" t="s">
        <v>11</v>
      </c>
      <c r="L4" s="10" t="s">
        <v>12</v>
      </c>
      <c r="M4" s="10" t="s">
        <v>13</v>
      </c>
    </row>
    <row r="5" spans="1:13" x14ac:dyDescent="0.25">
      <c r="A5" s="12" t="s">
        <v>14</v>
      </c>
      <c r="B5" s="13" t="s">
        <v>15</v>
      </c>
      <c r="C5" s="14"/>
      <c r="D5" s="14"/>
      <c r="E5" s="14"/>
      <c r="F5" s="15"/>
      <c r="G5" s="15"/>
      <c r="H5" s="15"/>
      <c r="I5" s="15"/>
      <c r="J5" s="14"/>
      <c r="K5" s="14"/>
      <c r="L5" s="14"/>
      <c r="M5" s="14"/>
    </row>
    <row r="6" spans="1:13" ht="21.75" customHeight="1" x14ac:dyDescent="0.25">
      <c r="A6" s="12"/>
      <c r="B6" s="13"/>
      <c r="C6" s="16"/>
      <c r="D6" s="16"/>
      <c r="E6" s="16"/>
      <c r="F6" s="17"/>
      <c r="G6" s="17"/>
      <c r="H6" s="17"/>
      <c r="I6" s="17"/>
      <c r="J6" s="16"/>
      <c r="K6" s="16"/>
      <c r="L6" s="16"/>
      <c r="M6" s="16"/>
    </row>
    <row r="7" spans="1:13" x14ac:dyDescent="0.25">
      <c r="A7" s="18" t="s">
        <v>16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x14ac:dyDescent="0.25">
      <c r="A8" s="20" t="s">
        <v>17</v>
      </c>
      <c r="B8" s="21" t="s">
        <v>18</v>
      </c>
      <c r="C8" s="22">
        <f t="shared" ref="C8:I8" si="0">C9+C11+C12+C13+C15+C16+C18+C20+C14+C21+C17+C19+C10</f>
        <v>872879.4</v>
      </c>
      <c r="D8" s="22">
        <f t="shared" si="0"/>
        <v>917325.9</v>
      </c>
      <c r="E8" s="22">
        <f t="shared" si="0"/>
        <v>671353.59999999974</v>
      </c>
      <c r="F8" s="22">
        <f t="shared" si="0"/>
        <v>228371.20000000004</v>
      </c>
      <c r="G8" s="22">
        <f t="shared" si="0"/>
        <v>231509.9</v>
      </c>
      <c r="H8" s="22">
        <f t="shared" si="0"/>
        <v>211472.49999999997</v>
      </c>
      <c r="I8" s="22">
        <f t="shared" si="0"/>
        <v>245972.30000000005</v>
      </c>
      <c r="J8" s="22">
        <f>J9+J11+J12+J13+J15+J16+J18+J20+J14+J21+J17+J19+J10+0.1</f>
        <v>680964.6</v>
      </c>
      <c r="K8" s="22">
        <f>J8*100/E8</f>
        <v>101.43158538212951</v>
      </c>
      <c r="L8" s="23">
        <f>J8*100/D8</f>
        <v>74.233661123053423</v>
      </c>
      <c r="M8" s="23">
        <f>J8*100/C8</f>
        <v>78.013595005220651</v>
      </c>
    </row>
    <row r="9" spans="1:13" x14ac:dyDescent="0.25">
      <c r="A9" s="24" t="s">
        <v>19</v>
      </c>
      <c r="B9" s="25" t="s">
        <v>20</v>
      </c>
      <c r="C9" s="26">
        <v>668277.30000000005</v>
      </c>
      <c r="D9" s="26">
        <f>F9+G9+H9+I9</f>
        <v>662872.30000000005</v>
      </c>
      <c r="E9" s="26">
        <f>F9+G9+H9</f>
        <v>477131.1</v>
      </c>
      <c r="F9" s="26">
        <v>163538.5</v>
      </c>
      <c r="G9" s="26">
        <v>162586.6</v>
      </c>
      <c r="H9" s="27">
        <v>151006</v>
      </c>
      <c r="I9" s="28">
        <v>185741.2</v>
      </c>
      <c r="J9" s="28">
        <v>480815.2</v>
      </c>
      <c r="K9" s="27">
        <f>J9*100/E9</f>
        <v>100.77213579244783</v>
      </c>
      <c r="L9" s="28">
        <f>J9*100/D9</f>
        <v>72.535117246564681</v>
      </c>
      <c r="M9" s="29">
        <f>J9*100/C9</f>
        <v>71.94845612741895</v>
      </c>
    </row>
    <row r="10" spans="1:13" ht="36" x14ac:dyDescent="0.25">
      <c r="A10" s="24" t="s">
        <v>21</v>
      </c>
      <c r="B10" s="30" t="s">
        <v>22</v>
      </c>
      <c r="C10" s="31">
        <v>5507.1</v>
      </c>
      <c r="D10" s="31">
        <f t="shared" ref="D10:D26" si="1">F10+G10+H10+I10</f>
        <v>5207.1000000000004</v>
      </c>
      <c r="E10" s="26">
        <f t="shared" ref="E10:E26" si="2">F10+G10+H10</f>
        <v>3890.2</v>
      </c>
      <c r="F10" s="31">
        <v>1319.2</v>
      </c>
      <c r="G10" s="31">
        <v>1146</v>
      </c>
      <c r="H10" s="32">
        <v>1425</v>
      </c>
      <c r="I10" s="29">
        <v>1316.9</v>
      </c>
      <c r="J10" s="29">
        <v>4000</v>
      </c>
      <c r="K10" s="27">
        <f>J10*100/E10</f>
        <v>102.82247699347077</v>
      </c>
      <c r="L10" s="29">
        <f>J10*100/D10</f>
        <v>76.818190547521652</v>
      </c>
      <c r="M10" s="29">
        <f>J10*100/C10</f>
        <v>72.63350946959379</v>
      </c>
    </row>
    <row r="11" spans="1:13" x14ac:dyDescent="0.25">
      <c r="A11" s="24" t="s">
        <v>23</v>
      </c>
      <c r="B11" s="30" t="s">
        <v>24</v>
      </c>
      <c r="C11" s="31">
        <v>44548</v>
      </c>
      <c r="D11" s="31">
        <f t="shared" si="1"/>
        <v>45119.199999999997</v>
      </c>
      <c r="E11" s="26">
        <f t="shared" si="2"/>
        <v>35510.699999999997</v>
      </c>
      <c r="F11" s="31">
        <v>13171</v>
      </c>
      <c r="G11" s="31">
        <v>13049.1</v>
      </c>
      <c r="H11" s="32">
        <v>9290.6</v>
      </c>
      <c r="I11" s="29">
        <v>9608.5</v>
      </c>
      <c r="J11" s="29">
        <v>38743.599999999999</v>
      </c>
      <c r="K11" s="27">
        <f>J11*100/E11</f>
        <v>109.10401653586104</v>
      </c>
      <c r="L11" s="29">
        <f>J11*100/D11</f>
        <v>85.869430309048042</v>
      </c>
      <c r="M11" s="29">
        <f>J11*100/C11</f>
        <v>86.970458830923945</v>
      </c>
    </row>
    <row r="12" spans="1:13" x14ac:dyDescent="0.25">
      <c r="A12" s="24" t="s">
        <v>25</v>
      </c>
      <c r="B12" s="30" t="s">
        <v>26</v>
      </c>
      <c r="C12" s="31">
        <v>8214</v>
      </c>
      <c r="D12" s="31">
        <f t="shared" si="1"/>
        <v>8214</v>
      </c>
      <c r="E12" s="26">
        <f t="shared" si="2"/>
        <v>4650.6000000000004</v>
      </c>
      <c r="F12" s="31">
        <v>1747.9</v>
      </c>
      <c r="G12" s="31">
        <v>1664.9</v>
      </c>
      <c r="H12" s="32">
        <v>1237.8</v>
      </c>
      <c r="I12" s="29">
        <v>3563.4</v>
      </c>
      <c r="J12" s="29">
        <v>4756.5</v>
      </c>
      <c r="K12" s="27">
        <f>J12*100/E12</f>
        <v>102.27712553218939</v>
      </c>
      <c r="L12" s="29">
        <f>J12*100/D12</f>
        <v>57.907231555880202</v>
      </c>
      <c r="M12" s="29">
        <f>J12*100/C12</f>
        <v>57.907231555880202</v>
      </c>
    </row>
    <row r="13" spans="1:13" x14ac:dyDescent="0.25">
      <c r="A13" s="24" t="s">
        <v>27</v>
      </c>
      <c r="B13" s="30" t="s">
        <v>28</v>
      </c>
      <c r="C13" s="31">
        <v>3355</v>
      </c>
      <c r="D13" s="31">
        <f t="shared" si="1"/>
        <v>3500</v>
      </c>
      <c r="E13" s="26">
        <f t="shared" si="2"/>
        <v>2732.3</v>
      </c>
      <c r="F13" s="31">
        <v>1108.5</v>
      </c>
      <c r="G13" s="31">
        <v>823.2</v>
      </c>
      <c r="H13" s="32">
        <v>800.6</v>
      </c>
      <c r="I13" s="29">
        <v>767.7</v>
      </c>
      <c r="J13" s="29">
        <v>2810</v>
      </c>
      <c r="K13" s="27">
        <f>J13*100/E13</f>
        <v>102.84375800607546</v>
      </c>
      <c r="L13" s="29">
        <f>J13*100/D13</f>
        <v>80.285714285714292</v>
      </c>
      <c r="M13" s="29">
        <f>J13*100/C13</f>
        <v>83.75558867362146</v>
      </c>
    </row>
    <row r="14" spans="1:13" ht="36" x14ac:dyDescent="0.25">
      <c r="A14" s="24" t="s">
        <v>29</v>
      </c>
      <c r="B14" s="30" t="s">
        <v>30</v>
      </c>
      <c r="C14" s="31"/>
      <c r="D14" s="31">
        <f t="shared" si="1"/>
        <v>0</v>
      </c>
      <c r="E14" s="26">
        <f t="shared" si="2"/>
        <v>0</v>
      </c>
      <c r="F14" s="31"/>
      <c r="G14" s="31"/>
      <c r="H14" s="32"/>
      <c r="I14" s="29"/>
      <c r="J14" s="29"/>
      <c r="K14" s="27"/>
      <c r="L14" s="29"/>
      <c r="M14" s="29" t="e">
        <f>J14*100/C14</f>
        <v>#DIV/0!</v>
      </c>
    </row>
    <row r="15" spans="1:13" ht="36" x14ac:dyDescent="0.25">
      <c r="A15" s="33" t="s">
        <v>31</v>
      </c>
      <c r="B15" s="30" t="s">
        <v>32</v>
      </c>
      <c r="C15" s="31">
        <v>104873.1</v>
      </c>
      <c r="D15" s="31">
        <f t="shared" si="1"/>
        <v>101445.3</v>
      </c>
      <c r="E15" s="26">
        <f t="shared" si="2"/>
        <v>75893.600000000006</v>
      </c>
      <c r="F15" s="31">
        <v>23512.3</v>
      </c>
      <c r="G15" s="31">
        <v>25193</v>
      </c>
      <c r="H15" s="32">
        <v>27188.3</v>
      </c>
      <c r="I15" s="29">
        <v>25551.7</v>
      </c>
      <c r="J15" s="29">
        <v>77808.2</v>
      </c>
      <c r="K15" s="27">
        <f>J15*100/E15</f>
        <v>102.52274236562766</v>
      </c>
      <c r="L15" s="29">
        <f>J15*100/D15</f>
        <v>76.699659816669666</v>
      </c>
      <c r="M15" s="29">
        <f>J15*100/C15</f>
        <v>74.192714814380423</v>
      </c>
    </row>
    <row r="16" spans="1:13" ht="24" x14ac:dyDescent="0.25">
      <c r="A16" s="34" t="s">
        <v>33</v>
      </c>
      <c r="B16" s="30" t="s">
        <v>34</v>
      </c>
      <c r="C16" s="31">
        <v>9593.1</v>
      </c>
      <c r="D16" s="31">
        <f t="shared" si="1"/>
        <v>30180.9</v>
      </c>
      <c r="E16" s="26">
        <f t="shared" si="2"/>
        <v>24052.2</v>
      </c>
      <c r="F16" s="31">
        <v>10874.1</v>
      </c>
      <c r="G16" s="31">
        <v>6534.3</v>
      </c>
      <c r="H16" s="32">
        <v>6643.8</v>
      </c>
      <c r="I16" s="29">
        <v>6128.7</v>
      </c>
      <c r="J16" s="29">
        <v>24058.400000000001</v>
      </c>
      <c r="K16" s="27">
        <f>J16*100/E16</f>
        <v>100.02577726777592</v>
      </c>
      <c r="L16" s="29">
        <f>J16*100/D16</f>
        <v>79.713991299132886</v>
      </c>
      <c r="M16" s="29">
        <f>J16*100/C16</f>
        <v>250.78858763069289</v>
      </c>
    </row>
    <row r="17" spans="1:13" ht="24" x14ac:dyDescent="0.25">
      <c r="A17" s="35" t="s">
        <v>35</v>
      </c>
      <c r="B17" s="30" t="s">
        <v>36</v>
      </c>
      <c r="C17" s="31">
        <v>15967.8</v>
      </c>
      <c r="D17" s="31">
        <f t="shared" si="1"/>
        <v>16174.7</v>
      </c>
      <c r="E17" s="26">
        <f t="shared" si="2"/>
        <v>9936.1</v>
      </c>
      <c r="F17" s="31">
        <v>5313.2</v>
      </c>
      <c r="G17" s="31">
        <v>2473.5</v>
      </c>
      <c r="H17" s="32">
        <v>2149.4</v>
      </c>
      <c r="I17" s="29">
        <v>6238.6</v>
      </c>
      <c r="J17" s="29">
        <v>10296.1</v>
      </c>
      <c r="K17" s="27">
        <f>J17*100/E17</f>
        <v>103.62315194090236</v>
      </c>
      <c r="L17" s="29">
        <f>J17*100/D17</f>
        <v>63.655585575002931</v>
      </c>
      <c r="M17" s="29">
        <f>J17*100/C17</f>
        <v>64.480391788474307</v>
      </c>
    </row>
    <row r="18" spans="1:13" ht="24" x14ac:dyDescent="0.25">
      <c r="A18" s="35" t="s">
        <v>37</v>
      </c>
      <c r="B18" s="30" t="s">
        <v>38</v>
      </c>
      <c r="C18" s="31">
        <v>12538</v>
      </c>
      <c r="D18" s="31">
        <f t="shared" si="1"/>
        <v>17971</v>
      </c>
      <c r="E18" s="26">
        <f t="shared" si="2"/>
        <v>11673.099999999999</v>
      </c>
      <c r="F18" s="31">
        <v>4516.7</v>
      </c>
      <c r="G18" s="31">
        <v>2928.5</v>
      </c>
      <c r="H18" s="32">
        <v>4227.8999999999996</v>
      </c>
      <c r="I18" s="29">
        <v>6297.9</v>
      </c>
      <c r="J18" s="29">
        <v>11383.7</v>
      </c>
      <c r="K18" s="27">
        <f>J18*100/E18</f>
        <v>97.520795675527509</v>
      </c>
      <c r="L18" s="29">
        <f>J18*100/D18</f>
        <v>63.344833342607537</v>
      </c>
      <c r="M18" s="29">
        <f>J18*100/C18</f>
        <v>90.793587494018183</v>
      </c>
    </row>
    <row r="19" spans="1:13" x14ac:dyDescent="0.25">
      <c r="A19" s="35" t="s">
        <v>39</v>
      </c>
      <c r="B19" s="30" t="s">
        <v>40</v>
      </c>
      <c r="C19" s="31">
        <v>6</v>
      </c>
      <c r="D19" s="31">
        <f t="shared" si="1"/>
        <v>11.6</v>
      </c>
      <c r="E19" s="26">
        <f t="shared" si="2"/>
        <v>11.6</v>
      </c>
      <c r="F19" s="31">
        <v>2.6</v>
      </c>
      <c r="G19" s="31">
        <v>9</v>
      </c>
      <c r="H19" s="32"/>
      <c r="I19" s="29"/>
      <c r="J19" s="29">
        <v>11.6</v>
      </c>
      <c r="K19" s="27">
        <f>J19*100/E19</f>
        <v>100</v>
      </c>
      <c r="L19" s="29">
        <f>J19*100/D19</f>
        <v>100</v>
      </c>
      <c r="M19" s="29">
        <f>J19*100/C19</f>
        <v>193.33333333333334</v>
      </c>
    </row>
    <row r="20" spans="1:13" x14ac:dyDescent="0.25">
      <c r="A20" s="36" t="s">
        <v>41</v>
      </c>
      <c r="B20" s="30" t="s">
        <v>42</v>
      </c>
      <c r="C20" s="31">
        <v>0</v>
      </c>
      <c r="D20" s="31">
        <f t="shared" si="1"/>
        <v>26629.8</v>
      </c>
      <c r="E20" s="26">
        <f t="shared" si="2"/>
        <v>25872.1</v>
      </c>
      <c r="F20" s="31">
        <v>3267.2</v>
      </c>
      <c r="G20" s="31">
        <v>15101.8</v>
      </c>
      <c r="H20" s="32">
        <v>7503.1</v>
      </c>
      <c r="I20" s="29">
        <v>757.7</v>
      </c>
      <c r="J20" s="29">
        <v>26249.9</v>
      </c>
      <c r="K20" s="27">
        <f>J20*100/E20</f>
        <v>101.46026028037926</v>
      </c>
      <c r="L20" s="29">
        <f>J20*100/D20</f>
        <v>98.573402729273226</v>
      </c>
      <c r="M20" s="29"/>
    </row>
    <row r="21" spans="1:13" x14ac:dyDescent="0.25">
      <c r="A21" s="37" t="s">
        <v>43</v>
      </c>
      <c r="B21" s="38" t="s">
        <v>44</v>
      </c>
      <c r="C21" s="31">
        <v>0</v>
      </c>
      <c r="D21" s="31">
        <f t="shared" si="1"/>
        <v>0</v>
      </c>
      <c r="E21" s="26">
        <f t="shared" si="2"/>
        <v>0</v>
      </c>
      <c r="F21" s="31"/>
      <c r="G21" s="31"/>
      <c r="H21" s="32"/>
      <c r="I21" s="29"/>
      <c r="J21" s="29">
        <v>31.3</v>
      </c>
      <c r="K21" s="27"/>
      <c r="L21" s="29"/>
      <c r="M21" s="29"/>
    </row>
    <row r="22" spans="1:13" x14ac:dyDescent="0.25">
      <c r="A22" s="39" t="s">
        <v>45</v>
      </c>
      <c r="B22" s="40" t="s">
        <v>46</v>
      </c>
      <c r="C22" s="41">
        <f t="shared" ref="C22:I22" si="3">C23+C24+C26+C25</f>
        <v>3321098.9</v>
      </c>
      <c r="D22" s="41">
        <f>D23+D24+D26+D25+0.1</f>
        <v>3567337.7</v>
      </c>
      <c r="E22" s="41">
        <f t="shared" si="3"/>
        <v>2778408.5</v>
      </c>
      <c r="F22" s="41">
        <f t="shared" si="3"/>
        <v>1064843.0999999999</v>
      </c>
      <c r="G22" s="41">
        <f t="shared" si="3"/>
        <v>898639.2</v>
      </c>
      <c r="H22" s="41">
        <f t="shared" si="3"/>
        <v>814926.20000000007</v>
      </c>
      <c r="I22" s="41">
        <f t="shared" si="3"/>
        <v>788929.1</v>
      </c>
      <c r="J22" s="41">
        <f>J23+J24+J26+J25</f>
        <v>2585975.6</v>
      </c>
      <c r="K22" s="42">
        <f>J22*100/E22</f>
        <v>93.07398822023471</v>
      </c>
      <c r="L22" s="23">
        <f>J22*100/D22</f>
        <v>72.490350436965912</v>
      </c>
      <c r="M22" s="23">
        <f>J22*100/C22</f>
        <v>77.865058460017565</v>
      </c>
    </row>
    <row r="23" spans="1:13" ht="36" x14ac:dyDescent="0.25">
      <c r="A23" s="43" t="s">
        <v>47</v>
      </c>
      <c r="B23" s="44" t="s">
        <v>48</v>
      </c>
      <c r="C23" s="45">
        <v>3321098.9</v>
      </c>
      <c r="D23" s="31">
        <f t="shared" si="1"/>
        <v>3543300.5</v>
      </c>
      <c r="E23" s="26">
        <f t="shared" si="2"/>
        <v>2756871.4</v>
      </c>
      <c r="F23" s="31">
        <v>1065792.3999999999</v>
      </c>
      <c r="G23" s="31">
        <v>897433.7</v>
      </c>
      <c r="H23" s="29">
        <v>793645.3</v>
      </c>
      <c r="I23" s="29">
        <v>786429.1</v>
      </c>
      <c r="J23" s="29">
        <v>2561585.4</v>
      </c>
      <c r="K23" s="27">
        <f>J23*100/E23</f>
        <v>92.916390659353937</v>
      </c>
      <c r="L23" s="29">
        <f>J23*100/D23</f>
        <v>72.293766786079814</v>
      </c>
      <c r="M23" s="29">
        <f>J23*100/C23</f>
        <v>77.13065696417533</v>
      </c>
    </row>
    <row r="24" spans="1:13" x14ac:dyDescent="0.25">
      <c r="A24" s="43" t="s">
        <v>49</v>
      </c>
      <c r="B24" s="46" t="s">
        <v>50</v>
      </c>
      <c r="C24" s="47">
        <v>0</v>
      </c>
      <c r="D24" s="31">
        <f t="shared" si="1"/>
        <v>27929.9</v>
      </c>
      <c r="E24" s="26">
        <f t="shared" si="2"/>
        <v>25429.9</v>
      </c>
      <c r="F24" s="47">
        <v>2924.4</v>
      </c>
      <c r="G24" s="47">
        <v>1205.5</v>
      </c>
      <c r="H24" s="29">
        <v>21300</v>
      </c>
      <c r="I24" s="29">
        <v>2500</v>
      </c>
      <c r="J24" s="29">
        <v>28283</v>
      </c>
      <c r="K24" s="27">
        <f>J24*100/E24</f>
        <v>111.21946999398345</v>
      </c>
      <c r="L24" s="29">
        <f>J24*100/D24</f>
        <v>101.2642365350395</v>
      </c>
      <c r="M24" s="29"/>
    </row>
    <row r="25" spans="1:13" ht="72" x14ac:dyDescent="0.25">
      <c r="A25" s="43" t="s">
        <v>51</v>
      </c>
      <c r="B25" s="38" t="s">
        <v>52</v>
      </c>
      <c r="C25" s="31">
        <v>0</v>
      </c>
      <c r="D25" s="31">
        <f t="shared" si="1"/>
        <v>0</v>
      </c>
      <c r="E25" s="26">
        <f t="shared" si="2"/>
        <v>0</v>
      </c>
      <c r="F25" s="31"/>
      <c r="G25" s="31"/>
      <c r="H25" s="29"/>
      <c r="I25" s="29"/>
      <c r="J25" s="29"/>
      <c r="K25" s="27" t="e">
        <f>J25*100/E25</f>
        <v>#DIV/0!</v>
      </c>
      <c r="L25" s="29" t="e">
        <f>J25*100/D25</f>
        <v>#DIV/0!</v>
      </c>
      <c r="M25" s="29"/>
    </row>
    <row r="26" spans="1:13" ht="48" x14ac:dyDescent="0.25">
      <c r="A26" s="43" t="s">
        <v>53</v>
      </c>
      <c r="B26" s="48" t="s">
        <v>54</v>
      </c>
      <c r="C26" s="49">
        <v>0</v>
      </c>
      <c r="D26" s="31">
        <f t="shared" si="1"/>
        <v>-3892.7999999999997</v>
      </c>
      <c r="E26" s="26">
        <f t="shared" si="2"/>
        <v>-3892.7999999999997</v>
      </c>
      <c r="F26" s="49">
        <v>-3873.7</v>
      </c>
      <c r="G26" s="49"/>
      <c r="H26" s="29">
        <v>-19.100000000000001</v>
      </c>
      <c r="I26" s="29"/>
      <c r="J26" s="29">
        <v>-3892.8</v>
      </c>
      <c r="K26" s="27">
        <f>J26*100/E26</f>
        <v>100</v>
      </c>
      <c r="L26" s="29">
        <f>J26*100/D26</f>
        <v>100</v>
      </c>
      <c r="M26" s="29"/>
    </row>
    <row r="27" spans="1:13" x14ac:dyDescent="0.25">
      <c r="A27" s="36"/>
      <c r="B27" s="50" t="s">
        <v>55</v>
      </c>
      <c r="C27" s="23">
        <f t="shared" ref="C27:J27" si="4">C22+C8</f>
        <v>4193978.3</v>
      </c>
      <c r="D27" s="23">
        <f t="shared" si="4"/>
        <v>4484663.6000000006</v>
      </c>
      <c r="E27" s="23">
        <f t="shared" si="4"/>
        <v>3449762.0999999996</v>
      </c>
      <c r="F27" s="23">
        <f t="shared" si="4"/>
        <v>1293214.2999999998</v>
      </c>
      <c r="G27" s="23">
        <f t="shared" si="4"/>
        <v>1130149.0999999999</v>
      </c>
      <c r="H27" s="23">
        <f t="shared" si="4"/>
        <v>1026398.7000000001</v>
      </c>
      <c r="I27" s="23">
        <f t="shared" si="4"/>
        <v>1034901.4</v>
      </c>
      <c r="J27" s="23">
        <f t="shared" si="4"/>
        <v>3266940.2</v>
      </c>
      <c r="K27" s="42">
        <f>J27*100/E27</f>
        <v>94.700449054153623</v>
      </c>
      <c r="L27" s="23">
        <f>J27*100/D27</f>
        <v>72.846939957770743</v>
      </c>
      <c r="M27" s="23">
        <f>J27*100/C27</f>
        <v>77.895972900002846</v>
      </c>
    </row>
    <row r="28" spans="1:13" x14ac:dyDescent="0.2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42"/>
      <c r="L28" s="23"/>
      <c r="M28" s="29"/>
    </row>
    <row r="29" spans="1:13" x14ac:dyDescent="0.25">
      <c r="A29" s="18" t="s">
        <v>56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x14ac:dyDescent="0.25">
      <c r="A30" s="39" t="s">
        <v>17</v>
      </c>
      <c r="B30" s="54" t="s">
        <v>18</v>
      </c>
      <c r="C30" s="42">
        <f t="shared" ref="C30:I30" si="5">C31+C33+C35+C37+C34+C36+C39+C32</f>
        <v>18956.600000000002</v>
      </c>
      <c r="D30" s="42">
        <f t="shared" si="5"/>
        <v>19203.600000000002</v>
      </c>
      <c r="E30" s="42">
        <f t="shared" si="5"/>
        <v>14464.4</v>
      </c>
      <c r="F30" s="42">
        <f t="shared" si="5"/>
        <v>4739.0999999999995</v>
      </c>
      <c r="G30" s="42">
        <f t="shared" si="5"/>
        <v>4856.2</v>
      </c>
      <c r="H30" s="42">
        <f t="shared" si="5"/>
        <v>4869.0999999999995</v>
      </c>
      <c r="I30" s="42">
        <f t="shared" si="5"/>
        <v>4739.2</v>
      </c>
      <c r="J30" s="42">
        <f>J31+J33+J35+J37+J34+J36+J39+J32+J38</f>
        <v>16494.900000000001</v>
      </c>
      <c r="K30" s="42">
        <f>J30*100/E30</f>
        <v>114.03791377450847</v>
      </c>
      <c r="L30" s="23">
        <f>J30*100/D30</f>
        <v>85.894832218958953</v>
      </c>
      <c r="M30" s="23">
        <f>J30*100/C30</f>
        <v>87.0140215017461</v>
      </c>
    </row>
    <row r="31" spans="1:13" x14ac:dyDescent="0.25">
      <c r="A31" s="24" t="s">
        <v>19</v>
      </c>
      <c r="B31" s="25" t="s">
        <v>20</v>
      </c>
      <c r="C31" s="26">
        <v>14500</v>
      </c>
      <c r="D31" s="31">
        <f t="shared" ref="D31:D37" si="6">F31+G31+H31+I31</f>
        <v>14500</v>
      </c>
      <c r="E31" s="26">
        <f t="shared" ref="E31:E41" si="7">F31+G31+H31</f>
        <v>10875</v>
      </c>
      <c r="F31" s="26">
        <v>3625</v>
      </c>
      <c r="G31" s="26">
        <v>3625</v>
      </c>
      <c r="H31" s="32">
        <v>3625</v>
      </c>
      <c r="I31" s="29">
        <v>3625</v>
      </c>
      <c r="J31" s="28">
        <v>12415.1</v>
      </c>
      <c r="K31" s="27">
        <f>J31*100/E31</f>
        <v>114.16183908045977</v>
      </c>
      <c r="L31" s="29">
        <f>J31*100/D31</f>
        <v>85.621379310344821</v>
      </c>
      <c r="M31" s="29">
        <f>J31*100/C31</f>
        <v>85.621379310344821</v>
      </c>
    </row>
    <row r="32" spans="1:13" ht="36" x14ac:dyDescent="0.25">
      <c r="A32" s="24" t="s">
        <v>21</v>
      </c>
      <c r="B32" s="30" t="s">
        <v>22</v>
      </c>
      <c r="C32" s="31">
        <v>1652.9</v>
      </c>
      <c r="D32" s="31">
        <f t="shared" si="6"/>
        <v>1652.9</v>
      </c>
      <c r="E32" s="26">
        <f t="shared" si="7"/>
        <v>1239.7</v>
      </c>
      <c r="F32" s="26">
        <v>413.2</v>
      </c>
      <c r="G32" s="26">
        <v>413.3</v>
      </c>
      <c r="H32" s="32">
        <v>413.2</v>
      </c>
      <c r="I32" s="29">
        <v>413.2</v>
      </c>
      <c r="J32" s="28">
        <v>1200.4000000000001</v>
      </c>
      <c r="K32" s="27">
        <f>J32*100/E32</f>
        <v>96.82987819633783</v>
      </c>
      <c r="L32" s="29">
        <f>J32*100/D32</f>
        <v>72.623873192570642</v>
      </c>
      <c r="M32" s="29">
        <f>J32*100/C32</f>
        <v>72.623873192570642</v>
      </c>
    </row>
    <row r="33" spans="1:13" x14ac:dyDescent="0.25">
      <c r="A33" s="24" t="s">
        <v>25</v>
      </c>
      <c r="B33" s="30" t="s">
        <v>26</v>
      </c>
      <c r="C33" s="31">
        <v>956.5</v>
      </c>
      <c r="D33" s="31">
        <f t="shared" si="6"/>
        <v>956.5</v>
      </c>
      <c r="E33" s="26">
        <f t="shared" si="7"/>
        <v>717.3</v>
      </c>
      <c r="F33" s="31">
        <v>239.1</v>
      </c>
      <c r="G33" s="31">
        <v>239.1</v>
      </c>
      <c r="H33" s="32">
        <v>239.1</v>
      </c>
      <c r="I33" s="29">
        <v>239.2</v>
      </c>
      <c r="J33" s="29">
        <v>459</v>
      </c>
      <c r="K33" s="27">
        <f>J33*100/E33</f>
        <v>63.989962358845673</v>
      </c>
      <c r="L33" s="29">
        <f>J33*100/D33</f>
        <v>47.9874542603241</v>
      </c>
      <c r="M33" s="29">
        <f>J33*100/C33</f>
        <v>47.9874542603241</v>
      </c>
    </row>
    <row r="34" spans="1:13" x14ac:dyDescent="0.25">
      <c r="A34" s="24" t="s">
        <v>27</v>
      </c>
      <c r="B34" s="30" t="s">
        <v>28</v>
      </c>
      <c r="C34" s="31">
        <v>12</v>
      </c>
      <c r="D34" s="31">
        <f t="shared" si="6"/>
        <v>12</v>
      </c>
      <c r="E34" s="26">
        <f t="shared" si="7"/>
        <v>9</v>
      </c>
      <c r="F34" s="31">
        <v>3</v>
      </c>
      <c r="G34" s="31">
        <v>3</v>
      </c>
      <c r="H34" s="32">
        <v>3</v>
      </c>
      <c r="I34" s="29">
        <v>3</v>
      </c>
      <c r="J34" s="29">
        <v>6.2</v>
      </c>
      <c r="K34" s="27">
        <f>J34*100/E34</f>
        <v>68.888888888888886</v>
      </c>
      <c r="L34" s="29">
        <f>J34*100/D34</f>
        <v>51.666666666666664</v>
      </c>
      <c r="M34" s="29">
        <f>J34*100/C34</f>
        <v>51.666666666666664</v>
      </c>
    </row>
    <row r="35" spans="1:13" ht="36" x14ac:dyDescent="0.25">
      <c r="A35" s="33" t="s">
        <v>31</v>
      </c>
      <c r="B35" s="30" t="s">
        <v>32</v>
      </c>
      <c r="C35" s="31">
        <v>1735.2</v>
      </c>
      <c r="D35" s="31">
        <f t="shared" si="6"/>
        <v>1565.2</v>
      </c>
      <c r="E35" s="26">
        <f t="shared" si="7"/>
        <v>1131.4000000000001</v>
      </c>
      <c r="F35" s="31">
        <v>433.8</v>
      </c>
      <c r="G35" s="31">
        <v>263.8</v>
      </c>
      <c r="H35" s="32">
        <v>433.8</v>
      </c>
      <c r="I35" s="29">
        <v>433.8</v>
      </c>
      <c r="J35" s="29">
        <v>677.5</v>
      </c>
      <c r="K35" s="27">
        <f>J35*100/E35</f>
        <v>59.881562665723877</v>
      </c>
      <c r="L35" s="29">
        <f>J35*100/D35</f>
        <v>43.285203168924099</v>
      </c>
      <c r="M35" s="29">
        <f>J35*100/C35</f>
        <v>39.044490548639928</v>
      </c>
    </row>
    <row r="36" spans="1:13" ht="24" x14ac:dyDescent="0.25">
      <c r="A36" s="35" t="s">
        <v>35</v>
      </c>
      <c r="B36" s="30" t="s">
        <v>36</v>
      </c>
      <c r="C36" s="31"/>
      <c r="D36" s="31">
        <f t="shared" si="6"/>
        <v>417</v>
      </c>
      <c r="E36" s="26">
        <f t="shared" si="7"/>
        <v>417</v>
      </c>
      <c r="F36" s="31"/>
      <c r="G36" s="31">
        <v>287</v>
      </c>
      <c r="H36" s="32">
        <v>130</v>
      </c>
      <c r="I36" s="29"/>
      <c r="J36" s="29">
        <v>409.4</v>
      </c>
      <c r="K36" s="27">
        <f>J36*100/E36</f>
        <v>98.177458033573146</v>
      </c>
      <c r="L36" s="29">
        <f>J36*100/D36</f>
        <v>98.177458033573146</v>
      </c>
      <c r="M36" s="29"/>
    </row>
    <row r="37" spans="1:13" ht="24" x14ac:dyDescent="0.25">
      <c r="A37" s="34" t="s">
        <v>37</v>
      </c>
      <c r="B37" s="30" t="s">
        <v>38</v>
      </c>
      <c r="C37" s="31">
        <v>100</v>
      </c>
      <c r="D37" s="31">
        <f t="shared" si="6"/>
        <v>100</v>
      </c>
      <c r="E37" s="26">
        <f t="shared" si="7"/>
        <v>75</v>
      </c>
      <c r="F37" s="31">
        <v>25</v>
      </c>
      <c r="G37" s="31">
        <v>25</v>
      </c>
      <c r="H37" s="32">
        <v>25</v>
      </c>
      <c r="I37" s="29">
        <v>25</v>
      </c>
      <c r="J37" s="29">
        <v>1326.3</v>
      </c>
      <c r="K37" s="27">
        <f>J37*100/E37</f>
        <v>1768.4</v>
      </c>
      <c r="L37" s="29">
        <f>J37*100/D37</f>
        <v>1326.3</v>
      </c>
      <c r="M37" s="29">
        <f>J37*100/C37</f>
        <v>1326.3</v>
      </c>
    </row>
    <row r="38" spans="1:13" x14ac:dyDescent="0.25">
      <c r="A38" s="36" t="s">
        <v>41</v>
      </c>
      <c r="B38" s="30" t="s">
        <v>42</v>
      </c>
      <c r="C38" s="55"/>
      <c r="D38" s="31"/>
      <c r="E38" s="26">
        <f t="shared" si="7"/>
        <v>0</v>
      </c>
      <c r="F38" s="31"/>
      <c r="G38" s="31"/>
      <c r="H38" s="32"/>
      <c r="I38" s="29"/>
      <c r="J38" s="29"/>
      <c r="K38" s="27"/>
      <c r="L38" s="29"/>
      <c r="M38" s="29"/>
    </row>
    <row r="39" spans="1:13" x14ac:dyDescent="0.25">
      <c r="A39" s="37" t="s">
        <v>43</v>
      </c>
      <c r="B39" s="38" t="s">
        <v>44</v>
      </c>
      <c r="C39" s="55"/>
      <c r="D39" s="30"/>
      <c r="E39" s="26">
        <f t="shared" si="7"/>
        <v>0</v>
      </c>
      <c r="F39" s="31"/>
      <c r="G39" s="31"/>
      <c r="H39" s="32"/>
      <c r="I39" s="29"/>
      <c r="J39" s="29">
        <v>1</v>
      </c>
      <c r="K39" s="42"/>
      <c r="L39" s="23"/>
      <c r="M39" s="29"/>
    </row>
    <row r="40" spans="1:13" x14ac:dyDescent="0.25">
      <c r="A40" s="39" t="s">
        <v>45</v>
      </c>
      <c r="B40" s="40" t="s">
        <v>46</v>
      </c>
      <c r="C40" s="41">
        <f>C41+C42</f>
        <v>13568.4</v>
      </c>
      <c r="D40" s="41">
        <f>D41+D42</f>
        <v>21318.7</v>
      </c>
      <c r="E40" s="41">
        <f t="shared" ref="E40:J40" si="8">E41+E42</f>
        <v>17407.2</v>
      </c>
      <c r="F40" s="41">
        <f t="shared" si="8"/>
        <v>6660</v>
      </c>
      <c r="G40" s="41">
        <f t="shared" si="8"/>
        <v>9496</v>
      </c>
      <c r="H40" s="41">
        <f t="shared" si="8"/>
        <v>1251.1999999999998</v>
      </c>
      <c r="I40" s="41">
        <f t="shared" si="8"/>
        <v>3911.5</v>
      </c>
      <c r="J40" s="41">
        <f t="shared" si="8"/>
        <v>15578.3</v>
      </c>
      <c r="K40" s="42">
        <f>J40*100/E40</f>
        <v>89.493428006801778</v>
      </c>
      <c r="L40" s="23">
        <f>J40*100/D40</f>
        <v>73.073405038768783</v>
      </c>
      <c r="M40" s="23">
        <f>J40*100/C40</f>
        <v>114.81309513280858</v>
      </c>
    </row>
    <row r="41" spans="1:13" ht="36" x14ac:dyDescent="0.25">
      <c r="A41" s="43" t="s">
        <v>47</v>
      </c>
      <c r="B41" s="44" t="s">
        <v>48</v>
      </c>
      <c r="C41" s="45">
        <v>13568.4</v>
      </c>
      <c r="D41" s="31">
        <f>F41+G41+H41+I41</f>
        <v>21318.7</v>
      </c>
      <c r="E41" s="26">
        <f t="shared" si="7"/>
        <v>17407.2</v>
      </c>
      <c r="F41" s="45">
        <f>6585+75</f>
        <v>6660</v>
      </c>
      <c r="G41" s="45">
        <v>9496</v>
      </c>
      <c r="H41" s="32">
        <f>1334.1-82.9</f>
        <v>1251.1999999999998</v>
      </c>
      <c r="I41" s="45">
        <f>3392.2+519.3</f>
        <v>3911.5</v>
      </c>
      <c r="J41" s="29">
        <v>15578.3</v>
      </c>
      <c r="K41" s="27">
        <f>J41*100/E41</f>
        <v>89.493428006801778</v>
      </c>
      <c r="L41" s="29">
        <f>J41*100/D41</f>
        <v>73.073405038768783</v>
      </c>
      <c r="M41" s="29">
        <f>J41*100/C41</f>
        <v>114.81309513280858</v>
      </c>
    </row>
    <row r="42" spans="1:13" ht="48" x14ac:dyDescent="0.25">
      <c r="A42" s="43" t="s">
        <v>53</v>
      </c>
      <c r="B42" s="48" t="s">
        <v>54</v>
      </c>
      <c r="C42" s="49">
        <v>0</v>
      </c>
      <c r="D42" s="31">
        <f>F42+G42+H42+I42</f>
        <v>0</v>
      </c>
      <c r="E42" s="26">
        <f>F42</f>
        <v>0</v>
      </c>
      <c r="F42" s="45"/>
      <c r="G42" s="45"/>
      <c r="H42" s="32"/>
      <c r="I42" s="45"/>
      <c r="J42" s="29"/>
      <c r="K42" s="27" t="e">
        <f>J42*100/E42</f>
        <v>#DIV/0!</v>
      </c>
      <c r="L42" s="29" t="e">
        <f>J42*100/D42</f>
        <v>#DIV/0!</v>
      </c>
      <c r="M42" s="29"/>
    </row>
    <row r="43" spans="1:13" x14ac:dyDescent="0.25">
      <c r="A43" s="36"/>
      <c r="B43" s="50" t="s">
        <v>55</v>
      </c>
      <c r="C43" s="23">
        <f t="shared" ref="C43:I43" si="9">C40+C30</f>
        <v>32525</v>
      </c>
      <c r="D43" s="23">
        <f t="shared" si="9"/>
        <v>40522.300000000003</v>
      </c>
      <c r="E43" s="23">
        <f t="shared" si="9"/>
        <v>31871.599999999999</v>
      </c>
      <c r="F43" s="23">
        <f t="shared" si="9"/>
        <v>11399.099999999999</v>
      </c>
      <c r="G43" s="23">
        <f t="shared" si="9"/>
        <v>14352.2</v>
      </c>
      <c r="H43" s="23">
        <f t="shared" si="9"/>
        <v>6120.2999999999993</v>
      </c>
      <c r="I43" s="23">
        <f t="shared" si="9"/>
        <v>8650.7000000000007</v>
      </c>
      <c r="J43" s="23">
        <f>J40+J30-0.1</f>
        <v>32073.100000000002</v>
      </c>
      <c r="K43" s="42">
        <f>J43*100/E43</f>
        <v>100.63222430000377</v>
      </c>
      <c r="L43" s="23">
        <f>J43*100/D43</f>
        <v>79.149258556399801</v>
      </c>
      <c r="M43" s="23">
        <f>J43*100/C43</f>
        <v>98.610607225211382</v>
      </c>
    </row>
    <row r="44" spans="1:13" x14ac:dyDescent="0.25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42"/>
      <c r="L44" s="23"/>
      <c r="M44" s="29"/>
    </row>
    <row r="45" spans="1:13" x14ac:dyDescent="0.25">
      <c r="A45" s="18" t="s">
        <v>57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x14ac:dyDescent="0.25">
      <c r="A46" s="39" t="s">
        <v>17</v>
      </c>
      <c r="B46" s="54" t="s">
        <v>18</v>
      </c>
      <c r="C46" s="42">
        <f t="shared" ref="C46:I46" si="10">C47+C50+C52+C54+C55+C56+C51+C49+C48+C53</f>
        <v>21958.699999999997</v>
      </c>
      <c r="D46" s="42">
        <f t="shared" si="10"/>
        <v>21958.699999999993</v>
      </c>
      <c r="E46" s="42">
        <f t="shared" si="10"/>
        <v>14404.199999999997</v>
      </c>
      <c r="F46" s="42">
        <f t="shared" si="10"/>
        <v>4583.6000000000004</v>
      </c>
      <c r="G46" s="42">
        <f t="shared" si="10"/>
        <v>5323.5</v>
      </c>
      <c r="H46" s="42">
        <f t="shared" si="10"/>
        <v>4497.1000000000004</v>
      </c>
      <c r="I46" s="42">
        <f t="shared" si="10"/>
        <v>7554.5</v>
      </c>
      <c r="J46" s="42">
        <f>J47+J50+J52+J54+J55+J56+J51+J49+J48+J53</f>
        <v>15795.699999999999</v>
      </c>
      <c r="K46" s="42">
        <f>J46*100/E46</f>
        <v>109.66037683453439</v>
      </c>
      <c r="L46" s="23">
        <f>J46*100/D46</f>
        <v>71.933675490807758</v>
      </c>
      <c r="M46" s="23">
        <f>J46*100/C46</f>
        <v>71.933675490807758</v>
      </c>
    </row>
    <row r="47" spans="1:13" x14ac:dyDescent="0.25">
      <c r="A47" s="36" t="s">
        <v>19</v>
      </c>
      <c r="B47" s="25" t="s">
        <v>20</v>
      </c>
      <c r="C47" s="26">
        <v>14200</v>
      </c>
      <c r="D47" s="31">
        <f t="shared" ref="D47:D60" si="11">F47+G47+H47+I47</f>
        <v>14200</v>
      </c>
      <c r="E47" s="26">
        <f t="shared" ref="E47:E59" si="12">F47+G47+H47</f>
        <v>10080.5</v>
      </c>
      <c r="F47" s="31">
        <v>3213</v>
      </c>
      <c r="G47" s="31">
        <v>3944</v>
      </c>
      <c r="H47" s="32">
        <v>2923.5</v>
      </c>
      <c r="I47" s="29">
        <v>4119.5</v>
      </c>
      <c r="J47" s="28">
        <v>10742</v>
      </c>
      <c r="K47" s="27">
        <f>J47*100/E47</f>
        <v>106.56217449531273</v>
      </c>
      <c r="L47" s="29">
        <f>J47*100/D47</f>
        <v>75.647887323943664</v>
      </c>
      <c r="M47" s="29">
        <f>J47*100/C47</f>
        <v>75.647887323943664</v>
      </c>
    </row>
    <row r="48" spans="1:13" ht="36" x14ac:dyDescent="0.25">
      <c r="A48" s="24" t="s">
        <v>21</v>
      </c>
      <c r="B48" s="30" t="s">
        <v>22</v>
      </c>
      <c r="C48" s="31">
        <v>3866.1</v>
      </c>
      <c r="D48" s="31">
        <f t="shared" si="11"/>
        <v>3866.1000000000004</v>
      </c>
      <c r="E48" s="26">
        <f t="shared" si="12"/>
        <v>2874.4</v>
      </c>
      <c r="F48" s="31">
        <v>959.6</v>
      </c>
      <c r="G48" s="31">
        <v>912.9</v>
      </c>
      <c r="H48" s="32">
        <v>1001.9</v>
      </c>
      <c r="I48" s="29">
        <v>991.7</v>
      </c>
      <c r="J48" s="28">
        <v>2808</v>
      </c>
      <c r="K48" s="27">
        <f>J48*100/E48</f>
        <v>97.689952685777897</v>
      </c>
      <c r="L48" s="29">
        <f>J48*100/D48</f>
        <v>72.631333902382238</v>
      </c>
      <c r="M48" s="29">
        <f>J48*100/C48</f>
        <v>72.631333902382252</v>
      </c>
    </row>
    <row r="49" spans="1:13" x14ac:dyDescent="0.25">
      <c r="A49" s="24" t="s">
        <v>23</v>
      </c>
      <c r="B49" s="30" t="s">
        <v>24</v>
      </c>
      <c r="C49" s="31">
        <v>16</v>
      </c>
      <c r="D49" s="31">
        <f t="shared" si="11"/>
        <v>35.1</v>
      </c>
      <c r="E49" s="26">
        <f t="shared" si="12"/>
        <v>35.1</v>
      </c>
      <c r="F49" s="31"/>
      <c r="G49" s="31">
        <v>16</v>
      </c>
      <c r="H49" s="32">
        <v>19.100000000000001</v>
      </c>
      <c r="I49" s="29"/>
      <c r="J49" s="28">
        <v>35.1</v>
      </c>
      <c r="K49" s="27">
        <f>J49*100/E49</f>
        <v>100</v>
      </c>
      <c r="L49" s="29">
        <f>J49*100/D49</f>
        <v>100</v>
      </c>
      <c r="M49" s="29">
        <f>J49*100/C49</f>
        <v>219.375</v>
      </c>
    </row>
    <row r="50" spans="1:13" x14ac:dyDescent="0.25">
      <c r="A50" s="24" t="s">
        <v>25</v>
      </c>
      <c r="B50" s="30" t="s">
        <v>26</v>
      </c>
      <c r="C50" s="31">
        <v>3028.5</v>
      </c>
      <c r="D50" s="31">
        <f t="shared" si="11"/>
        <v>2627.8</v>
      </c>
      <c r="E50" s="26">
        <f t="shared" si="12"/>
        <v>550.29999999999995</v>
      </c>
      <c r="F50" s="31">
        <v>316</v>
      </c>
      <c r="G50" s="31">
        <v>227</v>
      </c>
      <c r="H50" s="32">
        <v>7.3</v>
      </c>
      <c r="I50" s="29">
        <v>2077.5</v>
      </c>
      <c r="J50" s="29">
        <v>1206.7</v>
      </c>
      <c r="K50" s="27">
        <f>J50*100/E50</f>
        <v>219.28039251317466</v>
      </c>
      <c r="L50" s="29">
        <f>J50*100/D50</f>
        <v>45.920541898165766</v>
      </c>
      <c r="M50" s="29">
        <f>J50*100/C50</f>
        <v>39.844807660558033</v>
      </c>
    </row>
    <row r="51" spans="1:13" x14ac:dyDescent="0.25">
      <c r="A51" s="24" t="s">
        <v>27</v>
      </c>
      <c r="B51" s="30" t="s">
        <v>28</v>
      </c>
      <c r="C51" s="31"/>
      <c r="D51" s="31">
        <f t="shared" si="11"/>
        <v>2.2999999999999998</v>
      </c>
      <c r="E51" s="26">
        <f t="shared" si="12"/>
        <v>2.2999999999999998</v>
      </c>
      <c r="F51" s="31"/>
      <c r="G51" s="31"/>
      <c r="H51" s="32">
        <v>2.2999999999999998</v>
      </c>
      <c r="I51" s="29"/>
      <c r="J51" s="29">
        <v>2.2999999999999998</v>
      </c>
      <c r="K51" s="27"/>
      <c r="L51" s="29"/>
      <c r="M51" s="29"/>
    </row>
    <row r="52" spans="1:13" ht="36" x14ac:dyDescent="0.25">
      <c r="A52" s="33" t="s">
        <v>31</v>
      </c>
      <c r="B52" s="30" t="s">
        <v>32</v>
      </c>
      <c r="C52" s="31">
        <v>698.1</v>
      </c>
      <c r="D52" s="31">
        <f t="shared" si="11"/>
        <v>698.1</v>
      </c>
      <c r="E52" s="26">
        <f t="shared" si="12"/>
        <v>352.8</v>
      </c>
      <c r="F52" s="31">
        <v>66</v>
      </c>
      <c r="G52" s="31">
        <v>82.8</v>
      </c>
      <c r="H52" s="32">
        <v>204</v>
      </c>
      <c r="I52" s="29">
        <v>345.3</v>
      </c>
      <c r="J52" s="29">
        <v>440.3</v>
      </c>
      <c r="K52" s="27">
        <f>J52*100/E52</f>
        <v>124.8015873015873</v>
      </c>
      <c r="L52" s="29">
        <f>J52*100/D52</f>
        <v>63.071193238791004</v>
      </c>
      <c r="M52" s="29">
        <f>J52*100/C52</f>
        <v>63.071193238791004</v>
      </c>
    </row>
    <row r="53" spans="1:13" ht="24" x14ac:dyDescent="0.25">
      <c r="A53" s="35" t="s">
        <v>35</v>
      </c>
      <c r="B53" s="30" t="s">
        <v>36</v>
      </c>
      <c r="C53" s="31"/>
      <c r="D53" s="31">
        <f t="shared" si="11"/>
        <v>129.30000000000001</v>
      </c>
      <c r="E53" s="26">
        <f t="shared" si="12"/>
        <v>129.30000000000001</v>
      </c>
      <c r="F53" s="31"/>
      <c r="G53" s="31">
        <v>129.30000000000001</v>
      </c>
      <c r="H53" s="32"/>
      <c r="I53" s="29"/>
      <c r="J53" s="29">
        <v>179.3</v>
      </c>
      <c r="K53" s="27">
        <f>J53*100/E53</f>
        <v>138.66976024748647</v>
      </c>
      <c r="L53" s="29">
        <f>J53*100/D53</f>
        <v>138.66976024748647</v>
      </c>
      <c r="M53" s="29"/>
    </row>
    <row r="54" spans="1:13" ht="24" x14ac:dyDescent="0.25">
      <c r="A54" s="35" t="s">
        <v>37</v>
      </c>
      <c r="B54" s="30" t="s">
        <v>38</v>
      </c>
      <c r="C54" s="31">
        <v>150</v>
      </c>
      <c r="D54" s="31">
        <f t="shared" si="11"/>
        <v>150</v>
      </c>
      <c r="E54" s="26">
        <f t="shared" si="12"/>
        <v>129.5</v>
      </c>
      <c r="F54" s="31">
        <v>29</v>
      </c>
      <c r="G54" s="31">
        <v>11.5</v>
      </c>
      <c r="H54" s="32">
        <v>89</v>
      </c>
      <c r="I54" s="29">
        <v>20.5</v>
      </c>
      <c r="J54" s="29">
        <v>58.6</v>
      </c>
      <c r="K54" s="27">
        <f>J54*100/E54</f>
        <v>45.250965250965251</v>
      </c>
      <c r="L54" s="29">
        <f>J54*100/D54</f>
        <v>39.06666666666667</v>
      </c>
      <c r="M54" s="29">
        <f>J54*100/C54</f>
        <v>39.06666666666667</v>
      </c>
    </row>
    <row r="55" spans="1:13" x14ac:dyDescent="0.25">
      <c r="A55" s="36" t="s">
        <v>41</v>
      </c>
      <c r="B55" s="30" t="s">
        <v>42</v>
      </c>
      <c r="C55" s="31">
        <v>0</v>
      </c>
      <c r="D55" s="31">
        <f t="shared" si="11"/>
        <v>250</v>
      </c>
      <c r="E55" s="26">
        <f t="shared" si="12"/>
        <v>250</v>
      </c>
      <c r="F55" s="31"/>
      <c r="G55" s="31"/>
      <c r="H55" s="32">
        <v>250</v>
      </c>
      <c r="I55" s="29"/>
      <c r="J55" s="29">
        <v>250</v>
      </c>
      <c r="K55" s="27">
        <f>J55*100/E55</f>
        <v>100</v>
      </c>
      <c r="L55" s="29">
        <f>J55*100/D55</f>
        <v>100</v>
      </c>
      <c r="M55" s="29"/>
    </row>
    <row r="56" spans="1:13" x14ac:dyDescent="0.25">
      <c r="A56" s="58" t="s">
        <v>43</v>
      </c>
      <c r="B56" s="38" t="s">
        <v>44</v>
      </c>
      <c r="C56" s="31"/>
      <c r="D56" s="31">
        <f t="shared" si="11"/>
        <v>0</v>
      </c>
      <c r="E56" s="26">
        <f t="shared" si="12"/>
        <v>0</v>
      </c>
      <c r="F56" s="31"/>
      <c r="G56" s="31"/>
      <c r="H56" s="32"/>
      <c r="I56" s="29"/>
      <c r="J56" s="29">
        <v>73.400000000000006</v>
      </c>
      <c r="K56" s="27"/>
      <c r="L56" s="29"/>
      <c r="M56" s="29"/>
    </row>
    <row r="57" spans="1:13" x14ac:dyDescent="0.25">
      <c r="A57" s="20" t="s">
        <v>45</v>
      </c>
      <c r="B57" s="40" t="s">
        <v>46</v>
      </c>
      <c r="C57" s="41">
        <f>C58+C60+C59</f>
        <v>20853</v>
      </c>
      <c r="D57" s="41">
        <f>D58+D60+D59</f>
        <v>26709.8</v>
      </c>
      <c r="E57" s="41">
        <f t="shared" ref="E57:J57" si="13">E58+E60+E59</f>
        <v>18808.2</v>
      </c>
      <c r="F57" s="41">
        <f t="shared" si="13"/>
        <v>6327.1</v>
      </c>
      <c r="G57" s="41">
        <f t="shared" si="13"/>
        <v>4248.3999999999996</v>
      </c>
      <c r="H57" s="41">
        <f t="shared" si="13"/>
        <v>8232.7000000000007</v>
      </c>
      <c r="I57" s="41">
        <f t="shared" si="13"/>
        <v>7901.5</v>
      </c>
      <c r="J57" s="41">
        <f t="shared" si="13"/>
        <v>16334</v>
      </c>
      <c r="K57" s="42">
        <f>J57*100/E57</f>
        <v>86.845099477887302</v>
      </c>
      <c r="L57" s="23">
        <f>J57*100/D57</f>
        <v>61.153584077754232</v>
      </c>
      <c r="M57" s="23">
        <f>J57*100/C57</f>
        <v>78.329257181220925</v>
      </c>
    </row>
    <row r="58" spans="1:13" ht="36" x14ac:dyDescent="0.25">
      <c r="A58" s="43" t="s">
        <v>47</v>
      </c>
      <c r="B58" s="44" t="s">
        <v>48</v>
      </c>
      <c r="C58" s="45">
        <v>20853</v>
      </c>
      <c r="D58" s="31">
        <f>F58+G58+H58+I58+0.1</f>
        <v>26681.8</v>
      </c>
      <c r="E58" s="26">
        <f t="shared" si="12"/>
        <v>18780.2</v>
      </c>
      <c r="F58" s="45">
        <v>6299.1</v>
      </c>
      <c r="G58" s="45">
        <v>4248.3999999999996</v>
      </c>
      <c r="H58" s="32">
        <v>8232.7000000000007</v>
      </c>
      <c r="I58" s="32">
        <v>7901.5</v>
      </c>
      <c r="J58" s="29">
        <v>16306</v>
      </c>
      <c r="K58" s="27">
        <f>J58*100/E58</f>
        <v>86.825486416545075</v>
      </c>
      <c r="L58" s="29">
        <f>J58*100/D58</f>
        <v>61.112818475515148</v>
      </c>
      <c r="M58" s="29">
        <f>J58*100/C58</f>
        <v>78.194983935165197</v>
      </c>
    </row>
    <row r="59" spans="1:13" ht="72" x14ac:dyDescent="0.25">
      <c r="A59" s="43" t="s">
        <v>51</v>
      </c>
      <c r="B59" s="38" t="s">
        <v>52</v>
      </c>
      <c r="C59" s="46"/>
      <c r="D59" s="31">
        <f>F59+G59+H59+I59</f>
        <v>28</v>
      </c>
      <c r="E59" s="26">
        <f t="shared" si="12"/>
        <v>28</v>
      </c>
      <c r="F59" s="45">
        <v>28</v>
      </c>
      <c r="G59" s="45"/>
      <c r="H59" s="32"/>
      <c r="I59" s="53"/>
      <c r="J59" s="29">
        <v>28</v>
      </c>
      <c r="K59" s="27">
        <f>J59*100/E59</f>
        <v>100</v>
      </c>
      <c r="L59" s="29">
        <f>J59*100/D59</f>
        <v>100</v>
      </c>
      <c r="M59" s="29"/>
    </row>
    <row r="60" spans="1:13" ht="48" x14ac:dyDescent="0.25">
      <c r="A60" s="43" t="s">
        <v>53</v>
      </c>
      <c r="B60" s="48" t="s">
        <v>54</v>
      </c>
      <c r="C60" s="48"/>
      <c r="D60" s="31">
        <f t="shared" si="11"/>
        <v>0</v>
      </c>
      <c r="E60" s="31">
        <f>F60</f>
        <v>0</v>
      </c>
      <c r="F60" s="59"/>
      <c r="G60" s="59"/>
      <c r="H60" s="32"/>
      <c r="I60" s="53"/>
      <c r="J60" s="29"/>
      <c r="K60" s="27"/>
      <c r="L60" s="29"/>
      <c r="M60" s="29" t="e">
        <f>J60*100/C60</f>
        <v>#DIV/0!</v>
      </c>
    </row>
    <row r="61" spans="1:13" x14ac:dyDescent="0.25">
      <c r="A61" s="33"/>
      <c r="B61" s="60" t="s">
        <v>55</v>
      </c>
      <c r="C61" s="61">
        <f t="shared" ref="C61:J61" si="14">C57+C46</f>
        <v>42811.7</v>
      </c>
      <c r="D61" s="61">
        <f t="shared" si="14"/>
        <v>48668.499999999993</v>
      </c>
      <c r="E61" s="61">
        <f t="shared" si="14"/>
        <v>33212.399999999994</v>
      </c>
      <c r="F61" s="61">
        <f t="shared" si="14"/>
        <v>10910.7</v>
      </c>
      <c r="G61" s="61">
        <f t="shared" si="14"/>
        <v>9571.9</v>
      </c>
      <c r="H61" s="61">
        <f t="shared" si="14"/>
        <v>12729.800000000001</v>
      </c>
      <c r="I61" s="61">
        <f t="shared" si="14"/>
        <v>15456</v>
      </c>
      <c r="J61" s="61">
        <f t="shared" si="14"/>
        <v>32129.699999999997</v>
      </c>
      <c r="K61" s="42">
        <f>J61*100/E61</f>
        <v>96.74007298478881</v>
      </c>
      <c r="L61" s="23">
        <f>J61*100/D61</f>
        <v>66.017444548321805</v>
      </c>
      <c r="M61" s="23">
        <f>J61*100/C61</f>
        <v>75.048876825727547</v>
      </c>
    </row>
    <row r="62" spans="1:13" x14ac:dyDescent="0.25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42"/>
      <c r="L62" s="23"/>
      <c r="M62" s="29"/>
    </row>
    <row r="63" spans="1:13" x14ac:dyDescent="0.25">
      <c r="A63" s="18" t="s">
        <v>58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x14ac:dyDescent="0.25">
      <c r="A64" s="20" t="s">
        <v>17</v>
      </c>
      <c r="B64" s="21" t="s">
        <v>18</v>
      </c>
      <c r="C64" s="22">
        <f>C65+C68+C70+C72+C69+C74+C73+C67+C71+C66</f>
        <v>43308.299999999996</v>
      </c>
      <c r="D64" s="22">
        <f>D65+D68+D70+D72+D69+D74+D73+D67+D71+D66</f>
        <v>44809.399999999994</v>
      </c>
      <c r="E64" s="22">
        <f>E65+E68+E70+E72+E69+E74+E73+E67+E71+E66</f>
        <v>30934.399999999998</v>
      </c>
      <c r="F64" s="22">
        <f t="shared" ref="F64:J64" si="15">F65+F68+F70+F72+F69+F74+F73+F67+F71+F66</f>
        <v>9267.2999999999993</v>
      </c>
      <c r="G64" s="22">
        <f t="shared" si="15"/>
        <v>9136.6</v>
      </c>
      <c r="H64" s="22">
        <f t="shared" si="15"/>
        <v>12530.5</v>
      </c>
      <c r="I64" s="22">
        <f t="shared" si="15"/>
        <v>13875</v>
      </c>
      <c r="J64" s="22">
        <f t="shared" si="15"/>
        <v>31502</v>
      </c>
      <c r="K64" s="42">
        <f>J64*100/E64</f>
        <v>101.83485052239578</v>
      </c>
      <c r="L64" s="23">
        <f>J64*100/D64</f>
        <v>70.302213374872252</v>
      </c>
      <c r="M64" s="23">
        <f>J64*100/C64</f>
        <v>72.738943805229027</v>
      </c>
    </row>
    <row r="65" spans="1:13" x14ac:dyDescent="0.25">
      <c r="A65" s="24" t="s">
        <v>19</v>
      </c>
      <c r="B65" s="25" t="s">
        <v>20</v>
      </c>
      <c r="C65" s="26">
        <v>21100</v>
      </c>
      <c r="D65" s="31">
        <f>F65+G65+H65+I65</f>
        <v>21100</v>
      </c>
      <c r="E65" s="26">
        <f t="shared" ref="E65:E77" si="16">F65+G65+H65</f>
        <v>16092</v>
      </c>
      <c r="F65" s="62">
        <v>5156</v>
      </c>
      <c r="G65" s="62">
        <v>5309</v>
      </c>
      <c r="H65" s="27">
        <v>5627</v>
      </c>
      <c r="I65" s="27">
        <v>5008</v>
      </c>
      <c r="J65" s="27">
        <v>17012.400000000001</v>
      </c>
      <c r="K65" s="27">
        <f>J65*100/E65</f>
        <v>105.71961222967936</v>
      </c>
      <c r="L65" s="29">
        <f>J65*100/D65</f>
        <v>80.627488151658781</v>
      </c>
      <c r="M65" s="29">
        <f>J65*100/C65</f>
        <v>80.627488151658781</v>
      </c>
    </row>
    <row r="66" spans="1:13" ht="36" x14ac:dyDescent="0.25">
      <c r="A66" s="24" t="s">
        <v>21</v>
      </c>
      <c r="B66" s="30" t="s">
        <v>22</v>
      </c>
      <c r="C66" s="31">
        <v>6651.7</v>
      </c>
      <c r="D66" s="31">
        <f>F66+G66+H66+I66</f>
        <v>6651.7000000000007</v>
      </c>
      <c r="E66" s="26">
        <f t="shared" si="16"/>
        <v>5015.8</v>
      </c>
      <c r="F66" s="62">
        <v>1687</v>
      </c>
      <c r="G66" s="62">
        <v>1665.9</v>
      </c>
      <c r="H66" s="27">
        <v>1662.9</v>
      </c>
      <c r="I66" s="27">
        <v>1635.9</v>
      </c>
      <c r="J66" s="27">
        <v>4831.3</v>
      </c>
      <c r="K66" s="27">
        <f>J66*100/E66</f>
        <v>96.321623669205309</v>
      </c>
      <c r="L66" s="29">
        <f>J66*100/D66</f>
        <v>72.632560097418704</v>
      </c>
      <c r="M66" s="29">
        <f>J66*100/C66</f>
        <v>72.632560097418704</v>
      </c>
    </row>
    <row r="67" spans="1:13" x14ac:dyDescent="0.25">
      <c r="A67" s="24" t="s">
        <v>23</v>
      </c>
      <c r="B67" s="30" t="s">
        <v>24</v>
      </c>
      <c r="C67" s="31">
        <v>90</v>
      </c>
      <c r="D67" s="31">
        <f t="shared" ref="D67:D77" si="17">F67+G67+H67+I67</f>
        <v>17</v>
      </c>
      <c r="E67" s="26">
        <f t="shared" si="16"/>
        <v>17</v>
      </c>
      <c r="F67" s="45">
        <v>22.5</v>
      </c>
      <c r="G67" s="45">
        <v>22.5</v>
      </c>
      <c r="H67" s="32">
        <f>-50.5+22.5</f>
        <v>-28</v>
      </c>
      <c r="I67" s="32"/>
      <c r="J67" s="32">
        <v>21.3</v>
      </c>
      <c r="K67" s="27">
        <f>J67*100/E67</f>
        <v>125.29411764705883</v>
      </c>
      <c r="L67" s="29">
        <f>J67*100/D67</f>
        <v>125.29411764705883</v>
      </c>
      <c r="M67" s="29">
        <f>J67*100/C67</f>
        <v>23.666666666666668</v>
      </c>
    </row>
    <row r="68" spans="1:13" x14ac:dyDescent="0.25">
      <c r="A68" s="24" t="s">
        <v>25</v>
      </c>
      <c r="B68" s="30" t="s">
        <v>26</v>
      </c>
      <c r="C68" s="31">
        <v>9748.7000000000007</v>
      </c>
      <c r="D68" s="31">
        <f t="shared" si="17"/>
        <v>9748.7000000000007</v>
      </c>
      <c r="E68" s="26">
        <f t="shared" si="16"/>
        <v>3944.5</v>
      </c>
      <c r="F68" s="45">
        <v>1011.5</v>
      </c>
      <c r="G68" s="45">
        <v>691.5</v>
      </c>
      <c r="H68" s="32">
        <v>2241.5</v>
      </c>
      <c r="I68" s="32">
        <v>5804.2</v>
      </c>
      <c r="J68" s="32">
        <v>2412.3000000000002</v>
      </c>
      <c r="K68" s="27">
        <f>J68*100/E68</f>
        <v>61.156040055773872</v>
      </c>
      <c r="L68" s="29">
        <f>J68*100/D68</f>
        <v>24.74483777324156</v>
      </c>
      <c r="M68" s="29">
        <f>J68*100/C68</f>
        <v>24.74483777324156</v>
      </c>
    </row>
    <row r="69" spans="1:13" x14ac:dyDescent="0.25">
      <c r="A69" s="24" t="s">
        <v>27</v>
      </c>
      <c r="B69" s="30" t="s">
        <v>28</v>
      </c>
      <c r="C69" s="31">
        <v>44.1</v>
      </c>
      <c r="D69" s="31">
        <f t="shared" si="17"/>
        <v>44.1</v>
      </c>
      <c r="E69" s="26">
        <f t="shared" si="16"/>
        <v>44.1</v>
      </c>
      <c r="F69" s="45"/>
      <c r="G69" s="45">
        <v>22.1</v>
      </c>
      <c r="H69" s="32">
        <v>22</v>
      </c>
      <c r="I69" s="32"/>
      <c r="J69" s="32">
        <v>40</v>
      </c>
      <c r="K69" s="27">
        <f>J69*100/E69</f>
        <v>90.702947845804985</v>
      </c>
      <c r="L69" s="29">
        <f>J69*100/D69</f>
        <v>90.702947845804985</v>
      </c>
      <c r="M69" s="29">
        <f>J69*100/C69</f>
        <v>90.702947845804985</v>
      </c>
    </row>
    <row r="70" spans="1:13" ht="36" x14ac:dyDescent="0.25">
      <c r="A70" s="33" t="s">
        <v>31</v>
      </c>
      <c r="B70" s="30" t="s">
        <v>32</v>
      </c>
      <c r="C70" s="31">
        <v>5558.8</v>
      </c>
      <c r="D70" s="31">
        <f t="shared" si="17"/>
        <v>7131.7999999999993</v>
      </c>
      <c r="E70" s="26">
        <f t="shared" si="16"/>
        <v>5742.9</v>
      </c>
      <c r="F70" s="45">
        <v>1389.3</v>
      </c>
      <c r="G70" s="45">
        <v>1387.6</v>
      </c>
      <c r="H70" s="32">
        <v>2966</v>
      </c>
      <c r="I70" s="32">
        <v>1388.9</v>
      </c>
      <c r="J70" s="32">
        <v>7022.5</v>
      </c>
      <c r="K70" s="27">
        <f>J70*100/E70</f>
        <v>122.28142576050428</v>
      </c>
      <c r="L70" s="29">
        <f>J70*100/D70</f>
        <v>98.467427577890589</v>
      </c>
      <c r="M70" s="29">
        <f>J70*100/C70</f>
        <v>126.33122256602144</v>
      </c>
    </row>
    <row r="71" spans="1:13" ht="24" x14ac:dyDescent="0.25">
      <c r="A71" s="35" t="s">
        <v>35</v>
      </c>
      <c r="B71" s="30" t="s">
        <v>36</v>
      </c>
      <c r="C71" s="31"/>
      <c r="D71" s="31">
        <f t="shared" si="17"/>
        <v>0</v>
      </c>
      <c r="E71" s="26">
        <f t="shared" si="16"/>
        <v>0</v>
      </c>
      <c r="F71" s="45"/>
      <c r="G71" s="45"/>
      <c r="H71" s="32"/>
      <c r="I71" s="32"/>
      <c r="J71" s="32"/>
      <c r="K71" s="27"/>
      <c r="L71" s="29"/>
      <c r="M71" s="29"/>
    </row>
    <row r="72" spans="1:13" ht="24" x14ac:dyDescent="0.25">
      <c r="A72" s="34" t="s">
        <v>37</v>
      </c>
      <c r="B72" s="30" t="s">
        <v>38</v>
      </c>
      <c r="C72" s="31">
        <v>115</v>
      </c>
      <c r="D72" s="31">
        <f t="shared" si="17"/>
        <v>115</v>
      </c>
      <c r="E72" s="26">
        <f t="shared" si="16"/>
        <v>77</v>
      </c>
      <c r="F72" s="45">
        <v>1</v>
      </c>
      <c r="G72" s="45">
        <v>38</v>
      </c>
      <c r="H72" s="32">
        <v>38</v>
      </c>
      <c r="I72" s="32">
        <v>38</v>
      </c>
      <c r="J72" s="32">
        <v>112.8</v>
      </c>
      <c r="K72" s="27">
        <f>J72*100/E72</f>
        <v>146.49350649350649</v>
      </c>
      <c r="L72" s="29">
        <f>J72*100/D72</f>
        <v>98.086956521739125</v>
      </c>
      <c r="M72" s="29">
        <f>J72*100/C72</f>
        <v>98.086956521739125</v>
      </c>
    </row>
    <row r="73" spans="1:13" x14ac:dyDescent="0.25">
      <c r="A73" s="36" t="s">
        <v>41</v>
      </c>
      <c r="B73" s="30" t="s">
        <v>42</v>
      </c>
      <c r="C73" s="31"/>
      <c r="D73" s="31">
        <f t="shared" si="17"/>
        <v>1.1000000000000001</v>
      </c>
      <c r="E73" s="26">
        <f t="shared" si="16"/>
        <v>1.1000000000000001</v>
      </c>
      <c r="F73" s="45"/>
      <c r="G73" s="45"/>
      <c r="H73" s="32">
        <v>1.1000000000000001</v>
      </c>
      <c r="I73" s="32"/>
      <c r="J73" s="32">
        <v>2.5</v>
      </c>
      <c r="K73" s="27">
        <f>J73*100/E73</f>
        <v>227.27272727272725</v>
      </c>
      <c r="L73" s="29">
        <f>J73*100/D73</f>
        <v>227.27272727272725</v>
      </c>
      <c r="M73" s="29"/>
    </row>
    <row r="74" spans="1:13" x14ac:dyDescent="0.25">
      <c r="A74" s="37" t="s">
        <v>43</v>
      </c>
      <c r="B74" s="38" t="s">
        <v>44</v>
      </c>
      <c r="C74" s="31"/>
      <c r="D74" s="31">
        <f t="shared" si="17"/>
        <v>0</v>
      </c>
      <c r="E74" s="26">
        <f t="shared" si="16"/>
        <v>0</v>
      </c>
      <c r="F74" s="45"/>
      <c r="G74" s="45"/>
      <c r="H74" s="32"/>
      <c r="I74" s="32"/>
      <c r="J74" s="32">
        <v>46.9</v>
      </c>
      <c r="K74" s="27"/>
      <c r="L74" s="29"/>
      <c r="M74" s="29"/>
    </row>
    <row r="75" spans="1:13" x14ac:dyDescent="0.25">
      <c r="A75" s="39" t="s">
        <v>45</v>
      </c>
      <c r="B75" s="40" t="s">
        <v>46</v>
      </c>
      <c r="C75" s="41">
        <f t="shared" ref="C75:J75" si="18">C76+C77</f>
        <v>31268.9</v>
      </c>
      <c r="D75" s="41">
        <f t="shared" si="18"/>
        <v>74582.899999999994</v>
      </c>
      <c r="E75" s="41">
        <f t="shared" si="18"/>
        <v>68108.799999999988</v>
      </c>
      <c r="F75" s="41">
        <f t="shared" si="18"/>
        <v>24357.1</v>
      </c>
      <c r="G75" s="41">
        <f t="shared" si="18"/>
        <v>16588.3</v>
      </c>
      <c r="H75" s="41">
        <f t="shared" si="18"/>
        <v>27163.4</v>
      </c>
      <c r="I75" s="41">
        <f t="shared" si="18"/>
        <v>6474.1</v>
      </c>
      <c r="J75" s="41">
        <f t="shared" si="18"/>
        <v>50278</v>
      </c>
      <c r="K75" s="42">
        <f>J75*100/E75</f>
        <v>73.820123097162195</v>
      </c>
      <c r="L75" s="23">
        <f>J75*100/D75</f>
        <v>67.412235244271812</v>
      </c>
      <c r="M75" s="23">
        <f>J75*100/C75</f>
        <v>160.7923527850356</v>
      </c>
    </row>
    <row r="76" spans="1:13" ht="36" x14ac:dyDescent="0.25">
      <c r="A76" s="43" t="s">
        <v>47</v>
      </c>
      <c r="B76" s="44" t="s">
        <v>48</v>
      </c>
      <c r="C76" s="45">
        <v>31268.9</v>
      </c>
      <c r="D76" s="31">
        <f t="shared" si="17"/>
        <v>74572.899999999994</v>
      </c>
      <c r="E76" s="26">
        <f t="shared" si="16"/>
        <v>68098.799999999988</v>
      </c>
      <c r="F76" s="45">
        <f>24157.1+200</f>
        <v>24357.1</v>
      </c>
      <c r="G76" s="45">
        <v>16588.3</v>
      </c>
      <c r="H76" s="32">
        <v>27153.4</v>
      </c>
      <c r="I76" s="29">
        <v>6474.1</v>
      </c>
      <c r="J76" s="29">
        <v>50268</v>
      </c>
      <c r="K76" s="27">
        <f>J76*100/E76</f>
        <v>73.816278700946285</v>
      </c>
      <c r="L76" s="29">
        <f>J76*100/D76</f>
        <v>67.407865323730206</v>
      </c>
      <c r="M76" s="29">
        <f>J76*100/C76</f>
        <v>160.76037212693763</v>
      </c>
    </row>
    <row r="77" spans="1:13" x14ac:dyDescent="0.25">
      <c r="A77" s="43" t="s">
        <v>49</v>
      </c>
      <c r="B77" s="46" t="s">
        <v>50</v>
      </c>
      <c r="C77" s="47"/>
      <c r="D77" s="31">
        <f t="shared" si="17"/>
        <v>10</v>
      </c>
      <c r="E77" s="26">
        <f t="shared" si="16"/>
        <v>10</v>
      </c>
      <c r="F77" s="59"/>
      <c r="G77" s="59"/>
      <c r="H77" s="32">
        <v>10</v>
      </c>
      <c r="I77" s="29"/>
      <c r="J77" s="29">
        <v>10</v>
      </c>
      <c r="K77" s="27">
        <f>J77*100/E77</f>
        <v>100</v>
      </c>
      <c r="L77" s="29">
        <f>J77*100/D77</f>
        <v>100</v>
      </c>
      <c r="M77" s="29"/>
    </row>
    <row r="78" spans="1:13" x14ac:dyDescent="0.25">
      <c r="A78" s="36"/>
      <c r="B78" s="50" t="s">
        <v>55</v>
      </c>
      <c r="C78" s="23">
        <f t="shared" ref="C78:J78" si="19">C75+C64</f>
        <v>74577.2</v>
      </c>
      <c r="D78" s="23">
        <f t="shared" si="19"/>
        <v>119392.29999999999</v>
      </c>
      <c r="E78" s="23">
        <f t="shared" si="19"/>
        <v>99043.199999999983</v>
      </c>
      <c r="F78" s="23">
        <f t="shared" si="19"/>
        <v>33624.399999999994</v>
      </c>
      <c r="G78" s="23">
        <f t="shared" si="19"/>
        <v>25724.9</v>
      </c>
      <c r="H78" s="23">
        <f t="shared" si="19"/>
        <v>39693.9</v>
      </c>
      <c r="I78" s="23">
        <f t="shared" si="19"/>
        <v>20349.099999999999</v>
      </c>
      <c r="J78" s="23">
        <f t="shared" si="19"/>
        <v>81780</v>
      </c>
      <c r="K78" s="42">
        <f>J78*100/E78</f>
        <v>82.570030047494441</v>
      </c>
      <c r="L78" s="23">
        <f>J78*100/D78</f>
        <v>68.496879614514512</v>
      </c>
      <c r="M78" s="23">
        <f>J78*100/C78</f>
        <v>109.65817971176178</v>
      </c>
    </row>
    <row r="79" spans="1:13" x14ac:dyDescent="0.25">
      <c r="A79" s="51"/>
      <c r="B79" s="52"/>
      <c r="C79" s="52"/>
      <c r="D79" s="52"/>
      <c r="E79" s="52"/>
      <c r="F79" s="52"/>
      <c r="G79" s="52"/>
      <c r="H79" s="52"/>
      <c r="I79" s="52"/>
      <c r="J79" s="52"/>
      <c r="K79" s="42"/>
      <c r="L79" s="23"/>
      <c r="M79" s="29"/>
    </row>
    <row r="80" spans="1:13" x14ac:dyDescent="0.25">
      <c r="A80" s="18" t="s">
        <v>59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x14ac:dyDescent="0.25">
      <c r="A81" s="39" t="s">
        <v>17</v>
      </c>
      <c r="B81" s="54" t="s">
        <v>18</v>
      </c>
      <c r="C81" s="42">
        <f t="shared" ref="C81:J81" si="20">C82+C84+C85+C86+C87+C88+C89+C90+C91+C83</f>
        <v>43172.200000000004</v>
      </c>
      <c r="D81" s="42">
        <f t="shared" si="20"/>
        <v>43172.2</v>
      </c>
      <c r="E81" s="42">
        <f t="shared" si="20"/>
        <v>29908.300000000003</v>
      </c>
      <c r="F81" s="42">
        <f t="shared" si="20"/>
        <v>11820.800000000001</v>
      </c>
      <c r="G81" s="42">
        <f t="shared" si="20"/>
        <v>8992.5999999999985</v>
      </c>
      <c r="H81" s="42">
        <f t="shared" si="20"/>
        <v>9094.9000000000015</v>
      </c>
      <c r="I81" s="42">
        <f t="shared" si="20"/>
        <v>13263.900000000001</v>
      </c>
      <c r="J81" s="42">
        <f t="shared" si="20"/>
        <v>27577.300000000003</v>
      </c>
      <c r="K81" s="42">
        <f>J81*100/E81</f>
        <v>92.20617688066524</v>
      </c>
      <c r="L81" s="23">
        <f>J81*100/D81</f>
        <v>63.877448913884415</v>
      </c>
      <c r="M81" s="23">
        <f>J81*100/C81</f>
        <v>63.8774489138844</v>
      </c>
    </row>
    <row r="82" spans="1:13" x14ac:dyDescent="0.25">
      <c r="A82" s="36" t="s">
        <v>19</v>
      </c>
      <c r="B82" s="30" t="s">
        <v>20</v>
      </c>
      <c r="C82" s="31">
        <v>29500</v>
      </c>
      <c r="D82" s="31">
        <f>F82+G82+H82+I82</f>
        <v>29500</v>
      </c>
      <c r="E82" s="26">
        <f t="shared" ref="E82:E91" si="21">F82+G82+H82</f>
        <v>20650</v>
      </c>
      <c r="F82" s="45">
        <v>8850</v>
      </c>
      <c r="G82" s="45">
        <v>5900</v>
      </c>
      <c r="H82" s="32">
        <v>5900</v>
      </c>
      <c r="I82" s="32">
        <v>8850</v>
      </c>
      <c r="J82" s="29">
        <v>18697.400000000001</v>
      </c>
      <c r="K82" s="27">
        <f>J82*100/E82</f>
        <v>90.544309927360786</v>
      </c>
      <c r="L82" s="29">
        <f>J82*100/D82</f>
        <v>63.381016949152553</v>
      </c>
      <c r="M82" s="29">
        <f>J82*100/C82</f>
        <v>63.381016949152553</v>
      </c>
    </row>
    <row r="83" spans="1:13" ht="36" x14ac:dyDescent="0.25">
      <c r="A83" s="24" t="s">
        <v>21</v>
      </c>
      <c r="B83" s="30" t="s">
        <v>22</v>
      </c>
      <c r="C83" s="31">
        <v>4257.3</v>
      </c>
      <c r="D83" s="31">
        <f>F83+G83+H83+I83</f>
        <v>4257.2999999999993</v>
      </c>
      <c r="E83" s="26">
        <f t="shared" si="21"/>
        <v>2980.2</v>
      </c>
      <c r="F83" s="45">
        <v>1277.2</v>
      </c>
      <c r="G83" s="45">
        <v>851.5</v>
      </c>
      <c r="H83" s="32">
        <v>851.5</v>
      </c>
      <c r="I83" s="32">
        <v>1277.0999999999999</v>
      </c>
      <c r="J83" s="29">
        <v>3092.2</v>
      </c>
      <c r="K83" s="27">
        <f>J83*100/E83</f>
        <v>103.7581370377827</v>
      </c>
      <c r="L83" s="29">
        <f>J83*100/D83</f>
        <v>72.632889389988975</v>
      </c>
      <c r="M83" s="29">
        <f>J83*100/C83</f>
        <v>72.632889389988961</v>
      </c>
    </row>
    <row r="84" spans="1:13" x14ac:dyDescent="0.25">
      <c r="A84" s="24" t="s">
        <v>23</v>
      </c>
      <c r="B84" s="30" t="s">
        <v>24</v>
      </c>
      <c r="C84" s="31"/>
      <c r="D84" s="31">
        <f t="shared" ref="D84:D91" si="22">F84+G84+H84+I84</f>
        <v>0</v>
      </c>
      <c r="E84" s="26">
        <f t="shared" si="21"/>
        <v>0</v>
      </c>
      <c r="F84" s="45"/>
      <c r="G84" s="45"/>
      <c r="H84" s="32"/>
      <c r="I84" s="32"/>
      <c r="J84" s="29"/>
      <c r="K84" s="27" t="e">
        <f>J84*100/E84</f>
        <v>#DIV/0!</v>
      </c>
      <c r="L84" s="29" t="e">
        <f>J84*100/D84</f>
        <v>#DIV/0!</v>
      </c>
      <c r="M84" s="29" t="e">
        <f>J84*100/C84</f>
        <v>#DIV/0!</v>
      </c>
    </row>
    <row r="85" spans="1:13" x14ac:dyDescent="0.25">
      <c r="A85" s="24" t="s">
        <v>25</v>
      </c>
      <c r="B85" s="30" t="s">
        <v>26</v>
      </c>
      <c r="C85" s="31">
        <v>2312.9</v>
      </c>
      <c r="D85" s="31">
        <f t="shared" si="22"/>
        <v>2312.9</v>
      </c>
      <c r="E85" s="26">
        <f t="shared" si="21"/>
        <v>1387.7</v>
      </c>
      <c r="F85" s="45">
        <v>462.6</v>
      </c>
      <c r="G85" s="45">
        <v>412.9</v>
      </c>
      <c r="H85" s="32">
        <v>512.20000000000005</v>
      </c>
      <c r="I85" s="32">
        <v>925.2</v>
      </c>
      <c r="J85" s="29">
        <v>1159.2</v>
      </c>
      <c r="K85" s="27">
        <f>J85*100/E85</f>
        <v>83.533905022699429</v>
      </c>
      <c r="L85" s="29">
        <f>J85*100/D85</f>
        <v>50.118898352717366</v>
      </c>
      <c r="M85" s="29">
        <f>J85*100/C85</f>
        <v>50.118898352717366</v>
      </c>
    </row>
    <row r="86" spans="1:13" x14ac:dyDescent="0.25">
      <c r="A86" s="24" t="s">
        <v>27</v>
      </c>
      <c r="B86" s="30" t="s">
        <v>28</v>
      </c>
      <c r="C86" s="31"/>
      <c r="D86" s="31">
        <f t="shared" si="22"/>
        <v>0</v>
      </c>
      <c r="E86" s="26">
        <f t="shared" si="21"/>
        <v>0</v>
      </c>
      <c r="F86" s="45"/>
      <c r="G86" s="45"/>
      <c r="H86" s="32"/>
      <c r="I86" s="32"/>
      <c r="J86" s="29"/>
      <c r="K86" s="27" t="e">
        <f>J86*100/E86</f>
        <v>#DIV/0!</v>
      </c>
      <c r="L86" s="29" t="e">
        <f>J86*100/D86</f>
        <v>#DIV/0!</v>
      </c>
      <c r="M86" s="29" t="e">
        <f>J86*100/C86</f>
        <v>#DIV/0!</v>
      </c>
    </row>
    <row r="87" spans="1:13" ht="36" x14ac:dyDescent="0.25">
      <c r="A87" s="33" t="s">
        <v>31</v>
      </c>
      <c r="B87" s="30" t="s">
        <v>32</v>
      </c>
      <c r="C87" s="31">
        <v>6954</v>
      </c>
      <c r="D87" s="31">
        <f t="shared" si="22"/>
        <v>6954</v>
      </c>
      <c r="E87" s="26">
        <f t="shared" si="21"/>
        <v>4838.6000000000004</v>
      </c>
      <c r="F87" s="45">
        <v>1223.5999999999999</v>
      </c>
      <c r="G87" s="45">
        <v>1806</v>
      </c>
      <c r="H87" s="32">
        <v>1809</v>
      </c>
      <c r="I87" s="32">
        <v>2115.4</v>
      </c>
      <c r="J87" s="29">
        <v>4501.8</v>
      </c>
      <c r="K87" s="27">
        <f>J87*100/E87</f>
        <v>93.039308891001525</v>
      </c>
      <c r="L87" s="29">
        <f>J87*100/D87</f>
        <v>64.736842105263165</v>
      </c>
      <c r="M87" s="29">
        <f>J87*100/C87</f>
        <v>64.736842105263165</v>
      </c>
    </row>
    <row r="88" spans="1:13" ht="24" x14ac:dyDescent="0.25">
      <c r="A88" s="35" t="s">
        <v>35</v>
      </c>
      <c r="B88" s="30" t="s">
        <v>36</v>
      </c>
      <c r="C88" s="31">
        <v>0</v>
      </c>
      <c r="D88" s="31">
        <f t="shared" si="22"/>
        <v>0</v>
      </c>
      <c r="E88" s="26">
        <f t="shared" si="21"/>
        <v>0</v>
      </c>
      <c r="F88" s="45"/>
      <c r="G88" s="45"/>
      <c r="H88" s="32"/>
      <c r="I88" s="32"/>
      <c r="J88" s="29">
        <v>5.7</v>
      </c>
      <c r="K88" s="27"/>
      <c r="L88" s="29"/>
      <c r="M88" s="29"/>
    </row>
    <row r="89" spans="1:13" ht="24" x14ac:dyDescent="0.25">
      <c r="A89" s="34" t="s">
        <v>37</v>
      </c>
      <c r="B89" s="30" t="s">
        <v>38</v>
      </c>
      <c r="C89" s="31">
        <v>148</v>
      </c>
      <c r="D89" s="31">
        <f t="shared" si="22"/>
        <v>148</v>
      </c>
      <c r="E89" s="26">
        <f t="shared" si="21"/>
        <v>51.8</v>
      </c>
      <c r="F89" s="45">
        <v>7.4</v>
      </c>
      <c r="G89" s="45">
        <v>22.2</v>
      </c>
      <c r="H89" s="32">
        <v>22.2</v>
      </c>
      <c r="I89" s="32">
        <v>96.2</v>
      </c>
      <c r="J89" s="29">
        <v>108.2</v>
      </c>
      <c r="K89" s="27">
        <f>J89*100/E89</f>
        <v>208.88030888030889</v>
      </c>
      <c r="L89" s="29">
        <f>J89*100/D89</f>
        <v>73.108108108108112</v>
      </c>
      <c r="M89" s="29">
        <f>J89*100/C89</f>
        <v>73.108108108108112</v>
      </c>
    </row>
    <row r="90" spans="1:13" x14ac:dyDescent="0.25">
      <c r="A90" s="36" t="s">
        <v>41</v>
      </c>
      <c r="B90" s="30" t="s">
        <v>42</v>
      </c>
      <c r="C90" s="31"/>
      <c r="D90" s="31">
        <f t="shared" si="22"/>
        <v>0</v>
      </c>
      <c r="E90" s="26">
        <f t="shared" si="21"/>
        <v>0</v>
      </c>
      <c r="F90" s="45"/>
      <c r="G90" s="45"/>
      <c r="H90" s="32"/>
      <c r="I90" s="32"/>
      <c r="J90" s="29">
        <v>11.3</v>
      </c>
      <c r="K90" s="27"/>
      <c r="L90" s="29"/>
      <c r="M90" s="29"/>
    </row>
    <row r="91" spans="1:13" x14ac:dyDescent="0.25">
      <c r="A91" s="37" t="s">
        <v>43</v>
      </c>
      <c r="B91" s="38" t="s">
        <v>44</v>
      </c>
      <c r="C91" s="31"/>
      <c r="D91" s="31">
        <f t="shared" si="22"/>
        <v>0</v>
      </c>
      <c r="E91" s="26">
        <f t="shared" si="21"/>
        <v>0</v>
      </c>
      <c r="F91" s="45"/>
      <c r="G91" s="45"/>
      <c r="H91" s="32"/>
      <c r="I91" s="32"/>
      <c r="J91" s="29">
        <v>1.5</v>
      </c>
      <c r="K91" s="27"/>
      <c r="L91" s="29"/>
      <c r="M91" s="29"/>
    </row>
    <row r="92" spans="1:13" ht="24" x14ac:dyDescent="0.25">
      <c r="A92" s="37" t="s">
        <v>60</v>
      </c>
      <c r="B92" s="38" t="s">
        <v>61</v>
      </c>
      <c r="C92" s="55"/>
      <c r="D92" s="38"/>
      <c r="E92" s="26">
        <f>F92</f>
        <v>0</v>
      </c>
      <c r="F92" s="45"/>
      <c r="G92" s="45"/>
      <c r="H92" s="32" t="e">
        <f>I92+#REF!+#REF!+#REF!</f>
        <v>#REF!</v>
      </c>
      <c r="I92" s="32"/>
      <c r="J92" s="29"/>
      <c r="K92" s="42" t="e">
        <f>J92*100/E92</f>
        <v>#DIV/0!</v>
      </c>
      <c r="L92" s="23" t="e">
        <f>J92*100/D92</f>
        <v>#DIV/0!</v>
      </c>
      <c r="M92" s="29" t="e">
        <f>J92*100/C92</f>
        <v>#DIV/0!</v>
      </c>
    </row>
    <row r="93" spans="1:13" x14ac:dyDescent="0.25">
      <c r="A93" s="39" t="s">
        <v>45</v>
      </c>
      <c r="B93" s="40" t="s">
        <v>46</v>
      </c>
      <c r="C93" s="41">
        <f t="shared" ref="C93:J93" si="23">C94+C95</f>
        <v>44557.1</v>
      </c>
      <c r="D93" s="41">
        <f t="shared" si="23"/>
        <v>86527.400000000009</v>
      </c>
      <c r="E93" s="63">
        <f t="shared" si="23"/>
        <v>70238.400000000009</v>
      </c>
      <c r="F93" s="41">
        <f t="shared" si="23"/>
        <v>21040.799999999999</v>
      </c>
      <c r="G93" s="41">
        <f t="shared" si="23"/>
        <v>12046.4</v>
      </c>
      <c r="H93" s="41">
        <f t="shared" si="23"/>
        <v>37151.199999999997</v>
      </c>
      <c r="I93" s="41">
        <f t="shared" si="23"/>
        <v>16289</v>
      </c>
      <c r="J93" s="41">
        <f t="shared" si="23"/>
        <v>53837.700000000004</v>
      </c>
      <c r="K93" s="42">
        <f>J93*100/E93</f>
        <v>76.649952162919419</v>
      </c>
      <c r="L93" s="23">
        <f>J93*100/D93</f>
        <v>62.220406483957674</v>
      </c>
      <c r="M93" s="23">
        <f>J93*100/C93</f>
        <v>120.82855482066832</v>
      </c>
    </row>
    <row r="94" spans="1:13" ht="36" x14ac:dyDescent="0.25">
      <c r="A94" s="43" t="s">
        <v>47</v>
      </c>
      <c r="B94" s="44" t="s">
        <v>48</v>
      </c>
      <c r="C94" s="45">
        <v>44557.1</v>
      </c>
      <c r="D94" s="31">
        <f>F94+G94+H94+I94</f>
        <v>86401.1</v>
      </c>
      <c r="E94" s="26">
        <f>F94+G94+H94</f>
        <v>70112.100000000006</v>
      </c>
      <c r="F94" s="45">
        <v>21040.799999999999</v>
      </c>
      <c r="G94" s="45">
        <v>11920.1</v>
      </c>
      <c r="H94" s="32">
        <f>38283.6-1132.4</f>
        <v>37151.199999999997</v>
      </c>
      <c r="I94" s="32">
        <v>16289</v>
      </c>
      <c r="J94" s="29">
        <v>53711.4</v>
      </c>
      <c r="K94" s="27">
        <f>J94*100/E94</f>
        <v>76.607889365744285</v>
      </c>
      <c r="L94" s="29">
        <f>J94*100/D94</f>
        <v>62.165180767374487</v>
      </c>
      <c r="M94" s="29">
        <f>J94*100/C94</f>
        <v>120.54509831205353</v>
      </c>
    </row>
    <row r="95" spans="1:13" x14ac:dyDescent="0.25">
      <c r="A95" s="43" t="s">
        <v>49</v>
      </c>
      <c r="B95" s="46" t="s">
        <v>50</v>
      </c>
      <c r="C95" s="47"/>
      <c r="D95" s="31">
        <f>F95+G95+H95+I95</f>
        <v>126.3</v>
      </c>
      <c r="E95" s="26">
        <f>F95+G95+H95</f>
        <v>126.3</v>
      </c>
      <c r="F95" s="64"/>
      <c r="G95" s="64">
        <v>126.3</v>
      </c>
      <c r="H95" s="32"/>
      <c r="I95" s="32"/>
      <c r="J95" s="29">
        <v>126.3</v>
      </c>
      <c r="K95" s="27">
        <f>J95*100/E95</f>
        <v>100</v>
      </c>
      <c r="L95" s="29">
        <f>J95*100/D95</f>
        <v>100</v>
      </c>
      <c r="M95" s="29"/>
    </row>
    <row r="96" spans="1:13" x14ac:dyDescent="0.25">
      <c r="A96" s="36"/>
      <c r="B96" s="50" t="s">
        <v>55</v>
      </c>
      <c r="C96" s="23">
        <f t="shared" ref="C96:J96" si="24">C93+C81</f>
        <v>87729.3</v>
      </c>
      <c r="D96" s="23">
        <f t="shared" si="24"/>
        <v>129699.6</v>
      </c>
      <c r="E96" s="23">
        <f t="shared" si="24"/>
        <v>100146.70000000001</v>
      </c>
      <c r="F96" s="23">
        <f t="shared" si="24"/>
        <v>32861.599999999999</v>
      </c>
      <c r="G96" s="23">
        <f t="shared" si="24"/>
        <v>21039</v>
      </c>
      <c r="H96" s="23">
        <f t="shared" si="24"/>
        <v>46246.1</v>
      </c>
      <c r="I96" s="23">
        <f t="shared" si="24"/>
        <v>29552.9</v>
      </c>
      <c r="J96" s="23">
        <f t="shared" si="24"/>
        <v>81415</v>
      </c>
      <c r="K96" s="42">
        <f>J96*100/E96</f>
        <v>81.295739150665966</v>
      </c>
      <c r="L96" s="23">
        <f>J96*100/D96</f>
        <v>62.771974624439856</v>
      </c>
      <c r="M96" s="23">
        <f>J96*100/C96</f>
        <v>92.802518656822741</v>
      </c>
    </row>
    <row r="97" spans="1:13" x14ac:dyDescent="0.25">
      <c r="A97" s="51"/>
      <c r="B97" s="52"/>
      <c r="C97" s="52"/>
      <c r="D97" s="52"/>
      <c r="E97" s="52"/>
      <c r="F97" s="52"/>
      <c r="G97" s="52"/>
      <c r="H97" s="52"/>
      <c r="I97" s="52"/>
      <c r="J97" s="52"/>
      <c r="K97" s="42"/>
      <c r="L97" s="23"/>
      <c r="M97" s="29"/>
    </row>
    <row r="98" spans="1:13" x14ac:dyDescent="0.25">
      <c r="A98" s="18" t="s">
        <v>62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x14ac:dyDescent="0.25">
      <c r="A99" s="39" t="s">
        <v>17</v>
      </c>
      <c r="B99" s="54" t="s">
        <v>18</v>
      </c>
      <c r="C99" s="42">
        <f t="shared" ref="C99:J99" si="25">C100+C103+C107+C104+C105+C108+C106+C102+C101</f>
        <v>3213.8</v>
      </c>
      <c r="D99" s="42">
        <f t="shared" si="25"/>
        <v>3213.7999999999997</v>
      </c>
      <c r="E99" s="42">
        <f t="shared" si="25"/>
        <v>2399.3000000000002</v>
      </c>
      <c r="F99" s="42">
        <f t="shared" si="25"/>
        <v>775.7</v>
      </c>
      <c r="G99" s="42">
        <f t="shared" si="25"/>
        <v>814.30000000000007</v>
      </c>
      <c r="H99" s="42">
        <f t="shared" si="25"/>
        <v>809.3</v>
      </c>
      <c r="I99" s="42">
        <f t="shared" si="25"/>
        <v>814.5</v>
      </c>
      <c r="J99" s="42">
        <f t="shared" si="25"/>
        <v>2059.6000000000004</v>
      </c>
      <c r="K99" s="42">
        <f>J99*100/E99</f>
        <v>85.841703830283834</v>
      </c>
      <c r="L99" s="23">
        <f>J99*100/D99</f>
        <v>64.086128570539557</v>
      </c>
      <c r="M99" s="23">
        <f>J99*100/C99</f>
        <v>64.086128570539557</v>
      </c>
    </row>
    <row r="100" spans="1:13" x14ac:dyDescent="0.25">
      <c r="A100" s="36" t="s">
        <v>19</v>
      </c>
      <c r="B100" s="30" t="s">
        <v>20</v>
      </c>
      <c r="C100" s="31">
        <v>1650</v>
      </c>
      <c r="D100" s="31">
        <f>F100+G100+H100+I100</f>
        <v>1650</v>
      </c>
      <c r="E100" s="26">
        <f t="shared" ref="E100:E110" si="26">F100+G100+H100</f>
        <v>1237.5</v>
      </c>
      <c r="F100" s="45">
        <v>412.5</v>
      </c>
      <c r="G100" s="45">
        <v>412.5</v>
      </c>
      <c r="H100" s="32">
        <v>412.5</v>
      </c>
      <c r="I100" s="29">
        <v>412.5</v>
      </c>
      <c r="J100" s="29">
        <v>877.3</v>
      </c>
      <c r="K100" s="27">
        <f>J100*100/E100</f>
        <v>70.892929292929296</v>
      </c>
      <c r="L100" s="29">
        <f>J100*100/D100</f>
        <v>53.169696969696972</v>
      </c>
      <c r="M100" s="29">
        <f>J100*100/C100</f>
        <v>53.169696969696972</v>
      </c>
    </row>
    <row r="101" spans="1:13" ht="36" x14ac:dyDescent="0.25">
      <c r="A101" s="24" t="s">
        <v>21</v>
      </c>
      <c r="B101" s="30" t="s">
        <v>22</v>
      </c>
      <c r="C101" s="31">
        <v>1384.2</v>
      </c>
      <c r="D101" s="31">
        <f>F101+G101+H101+I101</f>
        <v>1384.1999999999998</v>
      </c>
      <c r="E101" s="26">
        <f t="shared" si="26"/>
        <v>1038.0999999999999</v>
      </c>
      <c r="F101" s="45">
        <v>346</v>
      </c>
      <c r="G101" s="45">
        <v>346.1</v>
      </c>
      <c r="H101" s="32">
        <v>346</v>
      </c>
      <c r="I101" s="29">
        <v>346.1</v>
      </c>
      <c r="J101" s="29">
        <v>1005.3</v>
      </c>
      <c r="K101" s="27">
        <f>J101*100/E101</f>
        <v>96.840381466140073</v>
      </c>
      <c r="L101" s="29">
        <f>J101*100/D101</f>
        <v>72.626788036410929</v>
      </c>
      <c r="M101" s="29">
        <f>J101*100/C101</f>
        <v>72.626788036410915</v>
      </c>
    </row>
    <row r="102" spans="1:13" x14ac:dyDescent="0.25">
      <c r="A102" s="24" t="s">
        <v>23</v>
      </c>
      <c r="B102" s="30" t="s">
        <v>24</v>
      </c>
      <c r="C102" s="31"/>
      <c r="D102" s="31">
        <f>F102+G102+H102+I102</f>
        <v>0</v>
      </c>
      <c r="E102" s="26">
        <f t="shared" si="26"/>
        <v>0</v>
      </c>
      <c r="F102" s="45"/>
      <c r="G102" s="45"/>
      <c r="H102" s="32"/>
      <c r="I102" s="29"/>
      <c r="J102" s="29"/>
      <c r="K102" s="27" t="e">
        <f>J102*100/E102</f>
        <v>#DIV/0!</v>
      </c>
      <c r="L102" s="29" t="e">
        <f>J102*100/D102</f>
        <v>#DIV/0!</v>
      </c>
      <c r="M102" s="29" t="e">
        <f>J102*100/C102</f>
        <v>#DIV/0!</v>
      </c>
    </row>
    <row r="103" spans="1:13" x14ac:dyDescent="0.25">
      <c r="A103" s="24" t="s">
        <v>25</v>
      </c>
      <c r="B103" s="30" t="s">
        <v>26</v>
      </c>
      <c r="C103" s="31">
        <v>152.1</v>
      </c>
      <c r="D103" s="31">
        <f t="shared" ref="D103:D111" si="27">F103+G103+H103+I103</f>
        <v>152.10000000000002</v>
      </c>
      <c r="E103" s="26">
        <f t="shared" si="26"/>
        <v>104.4</v>
      </c>
      <c r="F103" s="45">
        <v>14.2</v>
      </c>
      <c r="G103" s="45">
        <v>47.6</v>
      </c>
      <c r="H103" s="32">
        <v>42.6</v>
      </c>
      <c r="I103" s="29">
        <v>47.7</v>
      </c>
      <c r="J103" s="29">
        <v>121.6</v>
      </c>
      <c r="K103" s="27">
        <f>J103*100/E103</f>
        <v>116.4750957854406</v>
      </c>
      <c r="L103" s="29">
        <f>J103*100/D103</f>
        <v>79.947403024326093</v>
      </c>
      <c r="M103" s="29">
        <f>J103*100/C103</f>
        <v>79.947403024326107</v>
      </c>
    </row>
    <row r="104" spans="1:13" x14ac:dyDescent="0.25">
      <c r="A104" s="24" t="s">
        <v>27</v>
      </c>
      <c r="B104" s="30" t="s">
        <v>28</v>
      </c>
      <c r="C104" s="31">
        <v>1.5</v>
      </c>
      <c r="D104" s="31">
        <f t="shared" si="27"/>
        <v>1.5</v>
      </c>
      <c r="E104" s="26">
        <f t="shared" si="26"/>
        <v>1.1000000000000001</v>
      </c>
      <c r="F104" s="45">
        <v>0.4</v>
      </c>
      <c r="G104" s="45">
        <v>0.3</v>
      </c>
      <c r="H104" s="32">
        <v>0.4</v>
      </c>
      <c r="I104" s="29">
        <v>0.4</v>
      </c>
      <c r="J104" s="29">
        <v>1.7</v>
      </c>
      <c r="K104" s="27">
        <f>J104*100/E104</f>
        <v>154.54545454545453</v>
      </c>
      <c r="L104" s="29">
        <f>J104*100/D104</f>
        <v>113.33333333333333</v>
      </c>
      <c r="M104" s="29">
        <f>J104*100/C104</f>
        <v>113.33333333333333</v>
      </c>
    </row>
    <row r="105" spans="1:13" ht="36" x14ac:dyDescent="0.25">
      <c r="A105" s="33" t="s">
        <v>31</v>
      </c>
      <c r="B105" s="30" t="s">
        <v>32</v>
      </c>
      <c r="C105" s="31">
        <v>26</v>
      </c>
      <c r="D105" s="31">
        <f t="shared" si="27"/>
        <v>26</v>
      </c>
      <c r="E105" s="26">
        <f t="shared" si="26"/>
        <v>18.2</v>
      </c>
      <c r="F105" s="45">
        <v>2.6</v>
      </c>
      <c r="G105" s="45">
        <v>7.8</v>
      </c>
      <c r="H105" s="32">
        <v>7.8</v>
      </c>
      <c r="I105" s="29">
        <v>7.8</v>
      </c>
      <c r="J105" s="29">
        <v>52.3</v>
      </c>
      <c r="K105" s="27">
        <f>J105*100/E105</f>
        <v>287.36263736263737</v>
      </c>
      <c r="L105" s="29">
        <f>J105*100/D105</f>
        <v>201.15384615384616</v>
      </c>
      <c r="M105" s="29">
        <f>J105*100/C105</f>
        <v>201.15384615384616</v>
      </c>
    </row>
    <row r="106" spans="1:13" ht="24" x14ac:dyDescent="0.25">
      <c r="A106" s="35" t="s">
        <v>35</v>
      </c>
      <c r="B106" s="30" t="s">
        <v>36</v>
      </c>
      <c r="C106" s="31">
        <v>0</v>
      </c>
      <c r="D106" s="31">
        <f t="shared" si="27"/>
        <v>0</v>
      </c>
      <c r="E106" s="26">
        <f t="shared" si="26"/>
        <v>0</v>
      </c>
      <c r="F106" s="45"/>
      <c r="G106" s="45"/>
      <c r="H106" s="32"/>
      <c r="I106" s="29"/>
      <c r="J106" s="29"/>
      <c r="K106" s="27"/>
      <c r="L106" s="29"/>
      <c r="M106" s="29"/>
    </row>
    <row r="107" spans="1:13" x14ac:dyDescent="0.25">
      <c r="A107" s="36" t="s">
        <v>41</v>
      </c>
      <c r="B107" s="65" t="s">
        <v>42</v>
      </c>
      <c r="C107" s="31"/>
      <c r="D107" s="31">
        <f t="shared" si="27"/>
        <v>0</v>
      </c>
      <c r="E107" s="26">
        <f t="shared" si="26"/>
        <v>0</v>
      </c>
      <c r="F107" s="45"/>
      <c r="G107" s="45"/>
      <c r="H107" s="32"/>
      <c r="I107" s="29"/>
      <c r="J107" s="29"/>
      <c r="K107" s="27"/>
      <c r="L107" s="29"/>
      <c r="M107" s="29"/>
    </row>
    <row r="108" spans="1:13" x14ac:dyDescent="0.25">
      <c r="A108" s="35" t="s">
        <v>43</v>
      </c>
      <c r="B108" s="38" t="s">
        <v>44</v>
      </c>
      <c r="C108" s="31"/>
      <c r="D108" s="31">
        <f t="shared" si="27"/>
        <v>0</v>
      </c>
      <c r="E108" s="26">
        <f t="shared" si="26"/>
        <v>0</v>
      </c>
      <c r="F108" s="45"/>
      <c r="G108" s="45"/>
      <c r="H108" s="32"/>
      <c r="I108" s="29"/>
      <c r="J108" s="29">
        <v>1.4</v>
      </c>
      <c r="K108" s="42"/>
      <c r="L108" s="23"/>
      <c r="M108" s="29"/>
    </row>
    <row r="109" spans="1:13" x14ac:dyDescent="0.25">
      <c r="A109" s="20" t="s">
        <v>45</v>
      </c>
      <c r="B109" s="40" t="s">
        <v>46</v>
      </c>
      <c r="C109" s="41">
        <f t="shared" ref="C109:J109" si="28">C110+C111</f>
        <v>24834.799999999999</v>
      </c>
      <c r="D109" s="41">
        <f t="shared" si="28"/>
        <v>48973.799999999996</v>
      </c>
      <c r="E109" s="41">
        <f t="shared" si="28"/>
        <v>42625.1</v>
      </c>
      <c r="F109" s="41">
        <f t="shared" si="28"/>
        <v>19348.599999999999</v>
      </c>
      <c r="G109" s="41">
        <f t="shared" si="28"/>
        <v>14150.4</v>
      </c>
      <c r="H109" s="41">
        <f t="shared" si="28"/>
        <v>9126.1</v>
      </c>
      <c r="I109" s="41">
        <f t="shared" si="28"/>
        <v>6348.7</v>
      </c>
      <c r="J109" s="41">
        <f t="shared" si="28"/>
        <v>37880.1</v>
      </c>
      <c r="K109" s="42">
        <f>J109*100/E109</f>
        <v>88.868061306601049</v>
      </c>
      <c r="L109" s="23">
        <f>J109*100/D109</f>
        <v>77.347683863616879</v>
      </c>
      <c r="M109" s="23">
        <f>J109*100/C109</f>
        <v>152.52830705300627</v>
      </c>
    </row>
    <row r="110" spans="1:13" ht="36" x14ac:dyDescent="0.25">
      <c r="A110" s="43" t="s">
        <v>47</v>
      </c>
      <c r="B110" s="44" t="s">
        <v>48</v>
      </c>
      <c r="C110" s="45">
        <v>24834.799999999999</v>
      </c>
      <c r="D110" s="31">
        <f t="shared" si="27"/>
        <v>48973.799999999996</v>
      </c>
      <c r="E110" s="26">
        <f t="shared" si="26"/>
        <v>42625.1</v>
      </c>
      <c r="F110" s="45">
        <f>19088.6+260</f>
        <v>19348.599999999999</v>
      </c>
      <c r="G110" s="45">
        <v>14150.4</v>
      </c>
      <c r="H110" s="32">
        <v>9126.1</v>
      </c>
      <c r="I110" s="29">
        <f>6208.7+140</f>
        <v>6348.7</v>
      </c>
      <c r="J110" s="29">
        <v>37880.1</v>
      </c>
      <c r="K110" s="27">
        <f>J110*100/E110</f>
        <v>88.868061306601049</v>
      </c>
      <c r="L110" s="29">
        <f>J110*100/D110</f>
        <v>77.347683863616879</v>
      </c>
      <c r="M110" s="29">
        <f>J110*100/C110</f>
        <v>152.52830705300627</v>
      </c>
    </row>
    <row r="111" spans="1:13" x14ac:dyDescent="0.25">
      <c r="A111" s="43" t="s">
        <v>63</v>
      </c>
      <c r="B111" s="46" t="s">
        <v>50</v>
      </c>
      <c r="C111" s="46"/>
      <c r="D111" s="31">
        <f t="shared" si="27"/>
        <v>0</v>
      </c>
      <c r="E111" s="31">
        <f>F111+G111</f>
        <v>0</v>
      </c>
      <c r="F111" s="64"/>
      <c r="G111" s="64"/>
      <c r="H111" s="32"/>
      <c r="I111" s="29"/>
      <c r="J111" s="29"/>
      <c r="K111" s="42"/>
      <c r="L111" s="23"/>
      <c r="M111" s="29" t="e">
        <f>J111*100/C111</f>
        <v>#DIV/0!</v>
      </c>
    </row>
    <row r="112" spans="1:13" x14ac:dyDescent="0.25">
      <c r="A112" s="36"/>
      <c r="B112" s="50" t="s">
        <v>55</v>
      </c>
      <c r="C112" s="23">
        <f t="shared" ref="C112:J112" si="29">C109+C99</f>
        <v>28048.6</v>
      </c>
      <c r="D112" s="23">
        <f t="shared" si="29"/>
        <v>52187.6</v>
      </c>
      <c r="E112" s="22">
        <f t="shared" si="29"/>
        <v>45024.4</v>
      </c>
      <c r="F112" s="22">
        <f t="shared" si="29"/>
        <v>20124.3</v>
      </c>
      <c r="G112" s="22">
        <f>G109+G99</f>
        <v>14964.699999999999</v>
      </c>
      <c r="H112" s="23">
        <f t="shared" si="29"/>
        <v>9935.4</v>
      </c>
      <c r="I112" s="23">
        <f t="shared" si="29"/>
        <v>7163.2</v>
      </c>
      <c r="J112" s="23">
        <f t="shared" si="29"/>
        <v>39939.699999999997</v>
      </c>
      <c r="K112" s="42">
        <f>J112*100/E112</f>
        <v>88.706790096036798</v>
      </c>
      <c r="L112" s="23">
        <f>J112*100/D112</f>
        <v>76.53101503039035</v>
      </c>
      <c r="M112" s="23">
        <f>J112*100/C112</f>
        <v>142.39462932196258</v>
      </c>
    </row>
    <row r="113" spans="1:13" x14ac:dyDescent="0.25">
      <c r="A113" s="51"/>
      <c r="B113" s="52"/>
      <c r="C113" s="52"/>
      <c r="D113" s="52"/>
      <c r="E113" s="52"/>
      <c r="F113" s="52"/>
      <c r="G113" s="52"/>
      <c r="H113" s="52"/>
      <c r="I113" s="52"/>
      <c r="J113" s="52"/>
      <c r="K113" s="42"/>
      <c r="L113" s="23"/>
      <c r="M113" s="29"/>
    </row>
    <row r="114" spans="1:13" x14ac:dyDescent="0.25">
      <c r="A114" s="18" t="s">
        <v>64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x14ac:dyDescent="0.25">
      <c r="A115" s="39" t="s">
        <v>17</v>
      </c>
      <c r="B115" s="54" t="s">
        <v>18</v>
      </c>
      <c r="C115" s="42">
        <f>C116+C120+C124+C121+C122+C125+C123+C126+C117+C118+C119</f>
        <v>5233.8</v>
      </c>
      <c r="D115" s="42">
        <f t="shared" ref="D115:I115" si="30">D116+D120+D124+D121+D122+D125+D123+D126+D117+D118+D119</f>
        <v>5233.8</v>
      </c>
      <c r="E115" s="42">
        <f t="shared" si="30"/>
        <v>3859</v>
      </c>
      <c r="F115" s="42">
        <f t="shared" si="30"/>
        <v>1317</v>
      </c>
      <c r="G115" s="42">
        <f t="shared" si="30"/>
        <v>1271</v>
      </c>
      <c r="H115" s="42">
        <f t="shared" si="30"/>
        <v>1271</v>
      </c>
      <c r="I115" s="42">
        <f t="shared" si="30"/>
        <v>1374.8</v>
      </c>
      <c r="J115" s="42">
        <f>J116+J120+J124+J121+J122+J125+J123+J126+J117+J118+J119</f>
        <v>3641.1</v>
      </c>
      <c r="K115" s="42">
        <f>J115*100/E115</f>
        <v>94.353459445452188</v>
      </c>
      <c r="L115" s="23">
        <f>J115*100/D115</f>
        <v>69.568955634529402</v>
      </c>
      <c r="M115" s="23">
        <f>J115*100/C115</f>
        <v>69.568955634529402</v>
      </c>
    </row>
    <row r="116" spans="1:13" x14ac:dyDescent="0.25">
      <c r="A116" s="36" t="s">
        <v>19</v>
      </c>
      <c r="B116" s="30" t="s">
        <v>20</v>
      </c>
      <c r="C116" s="31">
        <v>1220</v>
      </c>
      <c r="D116" s="31">
        <f>F116+G116+H116+I116</f>
        <v>1220</v>
      </c>
      <c r="E116" s="26">
        <f t="shared" ref="E116:E128" si="31">F116+G116+H116</f>
        <v>900</v>
      </c>
      <c r="F116" s="31">
        <v>300</v>
      </c>
      <c r="G116" s="31">
        <v>300</v>
      </c>
      <c r="H116" s="29">
        <v>300</v>
      </c>
      <c r="I116" s="29">
        <v>320</v>
      </c>
      <c r="J116" s="29">
        <v>944.9</v>
      </c>
      <c r="K116" s="27">
        <f>J116*100/E116</f>
        <v>104.98888888888889</v>
      </c>
      <c r="L116" s="29">
        <f>J116*100/D116</f>
        <v>77.450819672131146</v>
      </c>
      <c r="M116" s="29">
        <f>J116*100/C116</f>
        <v>77.450819672131146</v>
      </c>
    </row>
    <row r="117" spans="1:13" x14ac:dyDescent="0.25">
      <c r="A117" s="24" t="s">
        <v>23</v>
      </c>
      <c r="B117" s="30" t="s">
        <v>24</v>
      </c>
      <c r="C117" s="31"/>
      <c r="D117" s="31">
        <f>F117+G117+H117+I117</f>
        <v>0</v>
      </c>
      <c r="E117" s="26">
        <f t="shared" si="31"/>
        <v>0</v>
      </c>
      <c r="F117" s="31"/>
      <c r="G117" s="31"/>
      <c r="H117" s="29"/>
      <c r="I117" s="29"/>
      <c r="J117" s="29"/>
      <c r="K117" s="27" t="e">
        <f>J117*100/E117</f>
        <v>#DIV/0!</v>
      </c>
      <c r="L117" s="29" t="e">
        <f>J117*100/D117</f>
        <v>#DIV/0!</v>
      </c>
      <c r="M117" s="29" t="e">
        <f>J117*100/C117</f>
        <v>#DIV/0!</v>
      </c>
    </row>
    <row r="118" spans="1:13" ht="36" x14ac:dyDescent="0.25">
      <c r="A118" s="24" t="s">
        <v>21</v>
      </c>
      <c r="B118" s="30" t="s">
        <v>22</v>
      </c>
      <c r="C118" s="31">
        <v>2995.9</v>
      </c>
      <c r="D118" s="31">
        <f>F118+G118+H118+I118</f>
        <v>2995.9</v>
      </c>
      <c r="E118" s="26">
        <f t="shared" si="31"/>
        <v>2241</v>
      </c>
      <c r="F118" s="31">
        <v>747</v>
      </c>
      <c r="G118" s="31">
        <v>747</v>
      </c>
      <c r="H118" s="29">
        <v>747</v>
      </c>
      <c r="I118" s="29">
        <v>754.9</v>
      </c>
      <c r="J118" s="29">
        <v>2176</v>
      </c>
      <c r="K118" s="27">
        <f>J118*100/E118</f>
        <v>97.099509147701923</v>
      </c>
      <c r="L118" s="29">
        <f>J118*100/D118</f>
        <v>72.632597883774494</v>
      </c>
      <c r="M118" s="29">
        <f>J118*100/C118</f>
        <v>72.632597883774494</v>
      </c>
    </row>
    <row r="119" spans="1:13" x14ac:dyDescent="0.25">
      <c r="A119" s="24" t="s">
        <v>23</v>
      </c>
      <c r="B119" s="30" t="s">
        <v>24</v>
      </c>
      <c r="C119" s="31">
        <v>10</v>
      </c>
      <c r="D119" s="31">
        <f>F119+G119+H119+I119</f>
        <v>10</v>
      </c>
      <c r="E119" s="26">
        <f t="shared" si="31"/>
        <v>8</v>
      </c>
      <c r="F119" s="31">
        <v>2</v>
      </c>
      <c r="G119" s="31">
        <v>3</v>
      </c>
      <c r="H119" s="29">
        <v>3</v>
      </c>
      <c r="I119" s="29">
        <v>2</v>
      </c>
      <c r="J119" s="29">
        <v>13.7</v>
      </c>
      <c r="K119" s="27">
        <f>J119*100/E119</f>
        <v>171.25</v>
      </c>
      <c r="L119" s="29">
        <f>J119*100/D119</f>
        <v>137</v>
      </c>
      <c r="M119" s="29">
        <f>J119*100/C119</f>
        <v>137</v>
      </c>
    </row>
    <row r="120" spans="1:13" x14ac:dyDescent="0.25">
      <c r="A120" s="24" t="s">
        <v>25</v>
      </c>
      <c r="B120" s="30" t="s">
        <v>26</v>
      </c>
      <c r="C120" s="31">
        <v>231.2</v>
      </c>
      <c r="D120" s="31">
        <f t="shared" ref="D120:D128" si="32">F120+G120+H120+I120</f>
        <v>231.2</v>
      </c>
      <c r="E120" s="26">
        <f t="shared" si="31"/>
        <v>156</v>
      </c>
      <c r="F120" s="31">
        <v>90</v>
      </c>
      <c r="G120" s="31">
        <v>33</v>
      </c>
      <c r="H120" s="29">
        <v>33</v>
      </c>
      <c r="I120" s="29">
        <v>75.2</v>
      </c>
      <c r="J120" s="29">
        <v>41.6</v>
      </c>
      <c r="K120" s="27">
        <f>J120*100/E120</f>
        <v>26.666666666666668</v>
      </c>
      <c r="L120" s="29">
        <f>J120*100/D120</f>
        <v>17.993079584775089</v>
      </c>
      <c r="M120" s="29">
        <f>J120*100/C120</f>
        <v>17.993079584775089</v>
      </c>
    </row>
    <row r="121" spans="1:13" x14ac:dyDescent="0.25">
      <c r="A121" s="24" t="s">
        <v>27</v>
      </c>
      <c r="B121" s="30" t="s">
        <v>28</v>
      </c>
      <c r="C121" s="31">
        <v>13.5</v>
      </c>
      <c r="D121" s="31">
        <f t="shared" si="32"/>
        <v>13.5</v>
      </c>
      <c r="E121" s="26">
        <f t="shared" si="31"/>
        <v>9</v>
      </c>
      <c r="F121" s="31">
        <v>3</v>
      </c>
      <c r="G121" s="31">
        <v>3</v>
      </c>
      <c r="H121" s="29">
        <v>3</v>
      </c>
      <c r="I121" s="29">
        <v>4.5</v>
      </c>
      <c r="J121" s="29">
        <v>10</v>
      </c>
      <c r="K121" s="27">
        <f>J121*100/E121</f>
        <v>111.11111111111111</v>
      </c>
      <c r="L121" s="29">
        <f>J121*100/D121</f>
        <v>74.074074074074076</v>
      </c>
      <c r="M121" s="29">
        <f>J121*100/C121</f>
        <v>74.074074074074076</v>
      </c>
    </row>
    <row r="122" spans="1:13" ht="36" x14ac:dyDescent="0.25">
      <c r="A122" s="33" t="s">
        <v>31</v>
      </c>
      <c r="B122" s="30" t="s">
        <v>32</v>
      </c>
      <c r="C122" s="31">
        <v>763.2</v>
      </c>
      <c r="D122" s="31">
        <f t="shared" si="32"/>
        <v>763.2</v>
      </c>
      <c r="E122" s="26">
        <f t="shared" si="31"/>
        <v>545</v>
      </c>
      <c r="F122" s="31">
        <v>175</v>
      </c>
      <c r="G122" s="31">
        <v>185</v>
      </c>
      <c r="H122" s="29">
        <v>185</v>
      </c>
      <c r="I122" s="29">
        <v>218.2</v>
      </c>
      <c r="J122" s="29">
        <v>444.9</v>
      </c>
      <c r="K122" s="27">
        <f>J122*100/E122</f>
        <v>81.633027522935777</v>
      </c>
      <c r="L122" s="29">
        <f>J122*100/D122</f>
        <v>58.294025157232703</v>
      </c>
      <c r="M122" s="29">
        <f>J122*100/C122</f>
        <v>58.294025157232703</v>
      </c>
    </row>
    <row r="123" spans="1:13" ht="24" x14ac:dyDescent="0.25">
      <c r="A123" s="35" t="s">
        <v>35</v>
      </c>
      <c r="B123" s="30" t="s">
        <v>36</v>
      </c>
      <c r="C123" s="31">
        <v>0</v>
      </c>
      <c r="D123" s="31">
        <f t="shared" si="32"/>
        <v>0</v>
      </c>
      <c r="E123" s="26">
        <f t="shared" si="31"/>
        <v>0</v>
      </c>
      <c r="F123" s="31"/>
      <c r="G123" s="31"/>
      <c r="H123" s="29"/>
      <c r="I123" s="29"/>
      <c r="J123" s="29"/>
      <c r="K123" s="27"/>
      <c r="L123" s="29"/>
      <c r="M123" s="29"/>
    </row>
    <row r="124" spans="1:13" ht="24" x14ac:dyDescent="0.25">
      <c r="A124" s="34" t="s">
        <v>37</v>
      </c>
      <c r="B124" s="30" t="s">
        <v>38</v>
      </c>
      <c r="C124" s="31"/>
      <c r="D124" s="31">
        <f t="shared" si="32"/>
        <v>0</v>
      </c>
      <c r="E124" s="26">
        <f t="shared" si="31"/>
        <v>0</v>
      </c>
      <c r="F124" s="31"/>
      <c r="G124" s="31"/>
      <c r="H124" s="29"/>
      <c r="I124" s="29"/>
      <c r="J124" s="29"/>
      <c r="K124" s="27"/>
      <c r="L124" s="29"/>
      <c r="M124" s="29"/>
    </row>
    <row r="125" spans="1:13" x14ac:dyDescent="0.25">
      <c r="A125" s="36" t="s">
        <v>41</v>
      </c>
      <c r="B125" s="30" t="s">
        <v>42</v>
      </c>
      <c r="C125" s="31"/>
      <c r="D125" s="31">
        <f t="shared" si="32"/>
        <v>0</v>
      </c>
      <c r="E125" s="26">
        <f t="shared" si="31"/>
        <v>0</v>
      </c>
      <c r="F125" s="31"/>
      <c r="G125" s="31"/>
      <c r="H125" s="29"/>
      <c r="I125" s="29"/>
      <c r="J125" s="29"/>
      <c r="K125" s="42" t="e">
        <f>J125*100/E125</f>
        <v>#DIV/0!</v>
      </c>
      <c r="L125" s="23" t="e">
        <f>J125*100/D125</f>
        <v>#DIV/0!</v>
      </c>
      <c r="M125" s="29" t="e">
        <f>J125*100/C125</f>
        <v>#DIV/0!</v>
      </c>
    </row>
    <row r="126" spans="1:13" x14ac:dyDescent="0.25">
      <c r="A126" s="34" t="s">
        <v>43</v>
      </c>
      <c r="B126" s="38" t="s">
        <v>44</v>
      </c>
      <c r="C126" s="31"/>
      <c r="D126" s="31">
        <f t="shared" si="32"/>
        <v>0</v>
      </c>
      <c r="E126" s="26">
        <f t="shared" si="31"/>
        <v>0</v>
      </c>
      <c r="F126" s="31"/>
      <c r="G126" s="31"/>
      <c r="H126" s="29"/>
      <c r="I126" s="29"/>
      <c r="J126" s="29">
        <v>10</v>
      </c>
      <c r="K126" s="42"/>
      <c r="L126" s="23"/>
      <c r="M126" s="29"/>
    </row>
    <row r="127" spans="1:13" x14ac:dyDescent="0.25">
      <c r="A127" s="39" t="s">
        <v>45</v>
      </c>
      <c r="B127" s="40" t="s">
        <v>46</v>
      </c>
      <c r="C127" s="41">
        <f t="shared" ref="C127:J127" si="33">C128</f>
        <v>29441.3</v>
      </c>
      <c r="D127" s="41">
        <f t="shared" si="33"/>
        <v>41930.6</v>
      </c>
      <c r="E127" s="66">
        <f t="shared" si="33"/>
        <v>33478.1</v>
      </c>
      <c r="F127" s="66">
        <f t="shared" si="33"/>
        <v>9959</v>
      </c>
      <c r="G127" s="66">
        <f t="shared" si="33"/>
        <v>15085.8</v>
      </c>
      <c r="H127" s="66">
        <f t="shared" si="33"/>
        <v>8433.2999999999993</v>
      </c>
      <c r="I127" s="41">
        <f t="shared" si="33"/>
        <v>8452.5</v>
      </c>
      <c r="J127" s="41">
        <f t="shared" si="33"/>
        <v>29998.400000000001</v>
      </c>
      <c r="K127" s="42">
        <f>J127*100/E127</f>
        <v>89.606040964092955</v>
      </c>
      <c r="L127" s="23">
        <f>J127*100/D127</f>
        <v>71.542978159148689</v>
      </c>
      <c r="M127" s="23">
        <f>J127*100/C127</f>
        <v>101.89223981278001</v>
      </c>
    </row>
    <row r="128" spans="1:13" ht="36" x14ac:dyDescent="0.25">
      <c r="A128" s="43" t="s">
        <v>47</v>
      </c>
      <c r="B128" s="44" t="s">
        <v>48</v>
      </c>
      <c r="C128" s="45">
        <v>29441.3</v>
      </c>
      <c r="D128" s="31">
        <f t="shared" si="32"/>
        <v>41930.6</v>
      </c>
      <c r="E128" s="26">
        <f t="shared" si="31"/>
        <v>33478.1</v>
      </c>
      <c r="F128" s="31">
        <f>9938.9+20.1</f>
        <v>9959</v>
      </c>
      <c r="G128" s="31">
        <v>15085.8</v>
      </c>
      <c r="H128" s="29">
        <f>8405+28.3</f>
        <v>8433.2999999999993</v>
      </c>
      <c r="I128" s="29">
        <f>6356.9+2095.6</f>
        <v>8452.5</v>
      </c>
      <c r="J128" s="29">
        <v>29998.400000000001</v>
      </c>
      <c r="K128" s="27">
        <f>J128*100/E128</f>
        <v>89.606040964092955</v>
      </c>
      <c r="L128" s="29">
        <f>J128*100/D128</f>
        <v>71.542978159148689</v>
      </c>
      <c r="M128" s="29">
        <f>J128*100/C128</f>
        <v>101.89223981278001</v>
      </c>
    </row>
    <row r="129" spans="1:13" x14ac:dyDescent="0.25">
      <c r="A129" s="36"/>
      <c r="B129" s="50" t="s">
        <v>55</v>
      </c>
      <c r="C129" s="23">
        <f t="shared" ref="C129:J129" si="34">C127+C115</f>
        <v>34675.1</v>
      </c>
      <c r="D129" s="23">
        <f t="shared" si="34"/>
        <v>47164.4</v>
      </c>
      <c r="E129" s="23">
        <f t="shared" si="34"/>
        <v>37337.1</v>
      </c>
      <c r="F129" s="23">
        <f t="shared" si="34"/>
        <v>11276</v>
      </c>
      <c r="G129" s="23">
        <f t="shared" si="34"/>
        <v>16356.8</v>
      </c>
      <c r="H129" s="23">
        <f t="shared" si="34"/>
        <v>9704.2999999999993</v>
      </c>
      <c r="I129" s="23">
        <f t="shared" si="34"/>
        <v>9827.2999999999993</v>
      </c>
      <c r="J129" s="23">
        <f t="shared" si="34"/>
        <v>33639.5</v>
      </c>
      <c r="K129" s="42">
        <f>J129*100/E129</f>
        <v>90.096713456588759</v>
      </c>
      <c r="L129" s="23">
        <f>J129*100/D129</f>
        <v>71.323922280364002</v>
      </c>
      <c r="M129" s="23">
        <f>J129*100/C129</f>
        <v>97.013418850991059</v>
      </c>
    </row>
    <row r="130" spans="1:13" x14ac:dyDescent="0.25">
      <c r="A130" s="51"/>
      <c r="B130" s="52"/>
      <c r="C130" s="52"/>
      <c r="D130" s="52"/>
      <c r="E130" s="52"/>
      <c r="F130" s="52"/>
      <c r="G130" s="52"/>
      <c r="H130" s="52"/>
      <c r="I130" s="52"/>
      <c r="J130" s="52"/>
      <c r="K130" s="42"/>
      <c r="L130" s="23"/>
      <c r="M130" s="29"/>
    </row>
    <row r="131" spans="1:13" x14ac:dyDescent="0.25">
      <c r="A131" s="18" t="s">
        <v>65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 x14ac:dyDescent="0.25">
      <c r="A132" s="39" t="s">
        <v>17</v>
      </c>
      <c r="B132" s="54" t="s">
        <v>18</v>
      </c>
      <c r="C132" s="42">
        <f t="shared" ref="C132:I132" si="35">C133+C135+C136+C137+C139+C141+C138+C140+C134</f>
        <v>9968.5</v>
      </c>
      <c r="D132" s="42">
        <f t="shared" si="35"/>
        <v>9968.5</v>
      </c>
      <c r="E132" s="42">
        <f t="shared" si="35"/>
        <v>7278.0999999999995</v>
      </c>
      <c r="F132" s="42">
        <f t="shared" si="35"/>
        <v>1877</v>
      </c>
      <c r="G132" s="42">
        <f t="shared" si="35"/>
        <v>2817.5</v>
      </c>
      <c r="H132" s="42">
        <f t="shared" si="35"/>
        <v>2583.6</v>
      </c>
      <c r="I132" s="42">
        <f t="shared" si="35"/>
        <v>2690.4</v>
      </c>
      <c r="J132" s="42">
        <f>J133+J135+J136+J137+J139+J141+J138+J140+J134</f>
        <v>7286.0999999999995</v>
      </c>
      <c r="K132" s="42">
        <f>J132*100/E132</f>
        <v>100.10991879748836</v>
      </c>
      <c r="L132" s="23">
        <f>J132*100/D132</f>
        <v>73.091237397803084</v>
      </c>
      <c r="M132" s="23">
        <f>J132*100/C132</f>
        <v>73.091237397803084</v>
      </c>
    </row>
    <row r="133" spans="1:13" x14ac:dyDescent="0.25">
      <c r="A133" s="36" t="s">
        <v>19</v>
      </c>
      <c r="B133" s="30" t="s">
        <v>20</v>
      </c>
      <c r="C133" s="31">
        <v>2675</v>
      </c>
      <c r="D133" s="31">
        <f>F133+G133+H133+I133</f>
        <v>2675</v>
      </c>
      <c r="E133" s="26">
        <f t="shared" ref="E133:E146" si="36">F133+G133+H133</f>
        <v>2111.1999999999998</v>
      </c>
      <c r="F133" s="45">
        <v>605.6</v>
      </c>
      <c r="G133" s="45">
        <v>898.1</v>
      </c>
      <c r="H133" s="32">
        <v>607.5</v>
      </c>
      <c r="I133" s="29">
        <v>563.79999999999995</v>
      </c>
      <c r="J133" s="29">
        <v>2101</v>
      </c>
      <c r="K133" s="27">
        <f>J133*100/E133</f>
        <v>99.516862447896941</v>
      </c>
      <c r="L133" s="29">
        <f>J133*100/D133</f>
        <v>78.54205607476635</v>
      </c>
      <c r="M133" s="29">
        <f>J133*100/C133</f>
        <v>78.54205607476635</v>
      </c>
    </row>
    <row r="134" spans="1:13" ht="36" x14ac:dyDescent="0.25">
      <c r="A134" s="24" t="s">
        <v>66</v>
      </c>
      <c r="B134" s="30" t="s">
        <v>22</v>
      </c>
      <c r="C134" s="31">
        <v>6546.6</v>
      </c>
      <c r="D134" s="31">
        <f>F134+G134+H134+I134</f>
        <v>6546.5999999999995</v>
      </c>
      <c r="E134" s="26">
        <f t="shared" si="36"/>
        <v>4668.8999999999996</v>
      </c>
      <c r="F134" s="45">
        <v>1174</v>
      </c>
      <c r="G134" s="45">
        <v>1756.6</v>
      </c>
      <c r="H134" s="32">
        <v>1738.3</v>
      </c>
      <c r="I134" s="29">
        <v>1877.7</v>
      </c>
      <c r="J134" s="29">
        <v>4755</v>
      </c>
      <c r="K134" s="27">
        <f>J134*100/E134</f>
        <v>101.84411745807364</v>
      </c>
      <c r="L134" s="29">
        <f>J134*100/D134</f>
        <v>72.633122536889388</v>
      </c>
      <c r="M134" s="29">
        <f>J134*100/C134</f>
        <v>72.633122536889374</v>
      </c>
    </row>
    <row r="135" spans="1:13" x14ac:dyDescent="0.25">
      <c r="A135" s="24" t="s">
        <v>25</v>
      </c>
      <c r="B135" s="30" t="s">
        <v>26</v>
      </c>
      <c r="C135" s="31">
        <v>506.9</v>
      </c>
      <c r="D135" s="31">
        <f t="shared" ref="D135:D146" si="37">F135+G135+H135+I135</f>
        <v>506.9</v>
      </c>
      <c r="E135" s="26">
        <f t="shared" si="36"/>
        <v>347.5</v>
      </c>
      <c r="F135" s="45">
        <v>75.400000000000006</v>
      </c>
      <c r="G135" s="45">
        <v>111.3</v>
      </c>
      <c r="H135" s="32">
        <v>160.80000000000001</v>
      </c>
      <c r="I135" s="29">
        <v>159.4</v>
      </c>
      <c r="J135" s="29">
        <v>174.5</v>
      </c>
      <c r="K135" s="27">
        <f>J135*100/E135</f>
        <v>50.215827338129493</v>
      </c>
      <c r="L135" s="29">
        <f>J135*100/D135</f>
        <v>34.424935884789903</v>
      </c>
      <c r="M135" s="29">
        <f>J135*100/C135</f>
        <v>34.424935884789903</v>
      </c>
    </row>
    <row r="136" spans="1:13" x14ac:dyDescent="0.25">
      <c r="A136" s="24" t="s">
        <v>27</v>
      </c>
      <c r="B136" s="30" t="s">
        <v>28</v>
      </c>
      <c r="C136" s="31">
        <v>20</v>
      </c>
      <c r="D136" s="31">
        <f t="shared" si="37"/>
        <v>20</v>
      </c>
      <c r="E136" s="26">
        <f t="shared" si="36"/>
        <v>18</v>
      </c>
      <c r="F136" s="45">
        <v>2.5</v>
      </c>
      <c r="G136" s="45">
        <v>6.5</v>
      </c>
      <c r="H136" s="32">
        <v>9</v>
      </c>
      <c r="I136" s="29">
        <v>2</v>
      </c>
      <c r="J136" s="29">
        <v>14.7</v>
      </c>
      <c r="K136" s="27">
        <f>J136*100/E136</f>
        <v>81.666666666666671</v>
      </c>
      <c r="L136" s="29">
        <f>J136*100/D136</f>
        <v>73.5</v>
      </c>
      <c r="M136" s="29">
        <f>J136*100/C136</f>
        <v>73.5</v>
      </c>
    </row>
    <row r="137" spans="1:13" ht="36" x14ac:dyDescent="0.25">
      <c r="A137" s="33" t="s">
        <v>31</v>
      </c>
      <c r="B137" s="30" t="s">
        <v>32</v>
      </c>
      <c r="C137" s="31">
        <v>220</v>
      </c>
      <c r="D137" s="31">
        <f t="shared" si="37"/>
        <v>220</v>
      </c>
      <c r="E137" s="26">
        <f t="shared" si="36"/>
        <v>132.5</v>
      </c>
      <c r="F137" s="45">
        <v>19.5</v>
      </c>
      <c r="G137" s="45">
        <v>45</v>
      </c>
      <c r="H137" s="32">
        <v>68</v>
      </c>
      <c r="I137" s="29">
        <v>87.5</v>
      </c>
      <c r="J137" s="29">
        <v>230.7</v>
      </c>
      <c r="K137" s="27">
        <f>J137*100/E137</f>
        <v>174.11320754716982</v>
      </c>
      <c r="L137" s="29">
        <f>J137*100/D137</f>
        <v>104.86363636363636</v>
      </c>
      <c r="M137" s="29">
        <f>J137*100/C137</f>
        <v>104.86363636363636</v>
      </c>
    </row>
    <row r="138" spans="1:13" ht="24" x14ac:dyDescent="0.25">
      <c r="A138" s="35" t="s">
        <v>35</v>
      </c>
      <c r="B138" s="30" t="s">
        <v>36</v>
      </c>
      <c r="C138" s="31">
        <v>0</v>
      </c>
      <c r="D138" s="31">
        <f t="shared" si="37"/>
        <v>0</v>
      </c>
      <c r="E138" s="26">
        <f t="shared" si="36"/>
        <v>0</v>
      </c>
      <c r="F138" s="45"/>
      <c r="G138" s="45"/>
      <c r="H138" s="32"/>
      <c r="I138" s="29"/>
      <c r="J138" s="29"/>
      <c r="K138" s="27"/>
      <c r="L138" s="29"/>
      <c r="M138" s="29"/>
    </row>
    <row r="139" spans="1:13" ht="24" x14ac:dyDescent="0.25">
      <c r="A139" s="35" t="s">
        <v>37</v>
      </c>
      <c r="B139" s="30" t="s">
        <v>38</v>
      </c>
      <c r="C139" s="31">
        <v>0</v>
      </c>
      <c r="D139" s="31">
        <f t="shared" si="37"/>
        <v>0</v>
      </c>
      <c r="E139" s="26">
        <f t="shared" si="36"/>
        <v>0</v>
      </c>
      <c r="F139" s="45"/>
      <c r="G139" s="45"/>
      <c r="H139" s="32"/>
      <c r="I139" s="29"/>
      <c r="J139" s="29"/>
      <c r="K139" s="27" t="e">
        <f>J139*100/E139</f>
        <v>#DIV/0!</v>
      </c>
      <c r="L139" s="29" t="e">
        <f>J139*100/D139</f>
        <v>#DIV/0!</v>
      </c>
      <c r="M139" s="29"/>
    </row>
    <row r="140" spans="1:13" x14ac:dyDescent="0.25">
      <c r="A140" s="36" t="s">
        <v>41</v>
      </c>
      <c r="B140" s="30" t="s">
        <v>42</v>
      </c>
      <c r="C140" s="31"/>
      <c r="D140" s="31">
        <f t="shared" si="37"/>
        <v>0</v>
      </c>
      <c r="E140" s="26">
        <f t="shared" si="36"/>
        <v>0</v>
      </c>
      <c r="F140" s="45"/>
      <c r="G140" s="45"/>
      <c r="H140" s="32"/>
      <c r="I140" s="29"/>
      <c r="J140" s="29"/>
      <c r="K140" s="27"/>
      <c r="L140" s="29"/>
      <c r="M140" s="29"/>
    </row>
    <row r="141" spans="1:13" x14ac:dyDescent="0.25">
      <c r="A141" s="35" t="s">
        <v>43</v>
      </c>
      <c r="B141" s="38" t="s">
        <v>44</v>
      </c>
      <c r="C141" s="31"/>
      <c r="D141" s="31">
        <f t="shared" si="37"/>
        <v>0</v>
      </c>
      <c r="E141" s="26">
        <f t="shared" si="36"/>
        <v>0</v>
      </c>
      <c r="F141" s="45"/>
      <c r="G141" s="45"/>
      <c r="H141" s="32"/>
      <c r="I141" s="29"/>
      <c r="J141" s="32">
        <v>10.199999999999999</v>
      </c>
      <c r="K141" s="27"/>
      <c r="L141" s="29"/>
      <c r="M141" s="29"/>
    </row>
    <row r="142" spans="1:13" x14ac:dyDescent="0.25">
      <c r="A142" s="20" t="s">
        <v>45</v>
      </c>
      <c r="B142" s="40" t="s">
        <v>46</v>
      </c>
      <c r="C142" s="41">
        <f t="shared" ref="C142:I142" si="38">C143+C144+C145</f>
        <v>46888.3</v>
      </c>
      <c r="D142" s="41">
        <f>D143+D144+D146</f>
        <v>86873.099999999991</v>
      </c>
      <c r="E142" s="41">
        <f t="shared" si="38"/>
        <v>72082.099999999991</v>
      </c>
      <c r="F142" s="41">
        <f>F143+F144+F145+F146</f>
        <v>43411.7</v>
      </c>
      <c r="G142" s="41">
        <f t="shared" si="38"/>
        <v>14339.5</v>
      </c>
      <c r="H142" s="41">
        <f t="shared" si="38"/>
        <v>14355.9</v>
      </c>
      <c r="I142" s="41">
        <f t="shared" si="38"/>
        <v>14766</v>
      </c>
      <c r="J142" s="41">
        <f>J143+J144+J145+J146</f>
        <v>41742.5</v>
      </c>
      <c r="K142" s="42">
        <f>J142*100/E142</f>
        <v>57.909661344494687</v>
      </c>
      <c r="L142" s="23">
        <f>J142*100/D142</f>
        <v>48.049971740389147</v>
      </c>
      <c r="M142" s="23">
        <f>J142*100/C142</f>
        <v>89.02540719113297</v>
      </c>
    </row>
    <row r="143" spans="1:13" ht="36" x14ac:dyDescent="0.25">
      <c r="A143" s="43" t="s">
        <v>47</v>
      </c>
      <c r="B143" s="44" t="s">
        <v>48</v>
      </c>
      <c r="C143" s="45">
        <v>46888.3</v>
      </c>
      <c r="D143" s="31">
        <f>F143+G143+H143+I143</f>
        <v>86848.099999999991</v>
      </c>
      <c r="E143" s="26">
        <f t="shared" si="36"/>
        <v>72082.099999999991</v>
      </c>
      <c r="F143" s="45">
        <v>43386.7</v>
      </c>
      <c r="G143" s="45">
        <v>14339.5</v>
      </c>
      <c r="H143" s="32">
        <v>14355.9</v>
      </c>
      <c r="I143" s="29">
        <v>14766</v>
      </c>
      <c r="J143" s="29">
        <v>41717.5</v>
      </c>
      <c r="K143" s="27">
        <f>J143*100/E143</f>
        <v>57.874978670155286</v>
      </c>
      <c r="L143" s="29">
        <f>J143*100/D143</f>
        <v>48.035017461521903</v>
      </c>
      <c r="M143" s="29">
        <f>J143*100/C143</f>
        <v>88.972088985951714</v>
      </c>
    </row>
    <row r="144" spans="1:13" x14ac:dyDescent="0.25">
      <c r="A144" s="43" t="s">
        <v>63</v>
      </c>
      <c r="B144" s="46" t="s">
        <v>50</v>
      </c>
      <c r="C144" s="46"/>
      <c r="D144" s="31">
        <f t="shared" si="37"/>
        <v>0</v>
      </c>
      <c r="E144" s="26">
        <f t="shared" si="36"/>
        <v>0</v>
      </c>
      <c r="F144" s="64"/>
      <c r="G144" s="64"/>
      <c r="H144" s="32"/>
      <c r="I144" s="29"/>
      <c r="J144" s="29"/>
      <c r="K144" s="27" t="e">
        <f>J144*100/E144</f>
        <v>#DIV/0!</v>
      </c>
      <c r="L144" s="29" t="e">
        <f>J144*100/D144</f>
        <v>#DIV/0!</v>
      </c>
      <c r="M144" s="29" t="e">
        <f>J144*100/C144</f>
        <v>#DIV/0!</v>
      </c>
    </row>
    <row r="145" spans="1:13" ht="48" x14ac:dyDescent="0.25">
      <c r="A145" s="43" t="s">
        <v>53</v>
      </c>
      <c r="B145" s="48" t="s">
        <v>54</v>
      </c>
      <c r="C145" s="46"/>
      <c r="D145" s="31">
        <f t="shared" si="37"/>
        <v>0</v>
      </c>
      <c r="E145" s="26">
        <f t="shared" si="36"/>
        <v>0</v>
      </c>
      <c r="F145" s="64"/>
      <c r="G145" s="64"/>
      <c r="H145" s="32"/>
      <c r="I145" s="29"/>
      <c r="J145" s="29"/>
      <c r="K145" s="27" t="e">
        <f>J145*100/E145</f>
        <v>#DIV/0!</v>
      </c>
      <c r="L145" s="29" t="e">
        <f>J145*100/D145</f>
        <v>#DIV/0!</v>
      </c>
      <c r="M145" s="29" t="e">
        <f>J145*100/C145</f>
        <v>#DIV/0!</v>
      </c>
    </row>
    <row r="146" spans="1:13" x14ac:dyDescent="0.25">
      <c r="A146" s="43" t="s">
        <v>49</v>
      </c>
      <c r="B146" s="46" t="s">
        <v>50</v>
      </c>
      <c r="C146" s="46"/>
      <c r="D146" s="31">
        <f t="shared" si="37"/>
        <v>25</v>
      </c>
      <c r="E146" s="26">
        <f t="shared" si="36"/>
        <v>25</v>
      </c>
      <c r="F146" s="64">
        <v>25</v>
      </c>
      <c r="G146" s="64"/>
      <c r="H146" s="32"/>
      <c r="I146" s="29"/>
      <c r="J146" s="29">
        <v>25</v>
      </c>
      <c r="K146" s="27">
        <f>J146*100/E146</f>
        <v>100</v>
      </c>
      <c r="L146" s="29">
        <f>J146*100/D146</f>
        <v>100</v>
      </c>
      <c r="M146" s="29"/>
    </row>
    <row r="147" spans="1:13" x14ac:dyDescent="0.25">
      <c r="A147" s="36"/>
      <c r="B147" s="50" t="s">
        <v>55</v>
      </c>
      <c r="C147" s="23">
        <f t="shared" ref="C147:I147" si="39">C142+C132</f>
        <v>56856.800000000003</v>
      </c>
      <c r="D147" s="23">
        <f t="shared" si="39"/>
        <v>96841.599999999991</v>
      </c>
      <c r="E147" s="23">
        <f t="shared" si="39"/>
        <v>79360.2</v>
      </c>
      <c r="F147" s="22">
        <f t="shared" si="39"/>
        <v>45288.7</v>
      </c>
      <c r="G147" s="22">
        <f t="shared" si="39"/>
        <v>17157</v>
      </c>
      <c r="H147" s="22">
        <f t="shared" si="39"/>
        <v>16939.5</v>
      </c>
      <c r="I147" s="23">
        <f t="shared" si="39"/>
        <v>17456.400000000001</v>
      </c>
      <c r="J147" s="23">
        <f>J142+J132</f>
        <v>49028.6</v>
      </c>
      <c r="K147" s="42">
        <f>J147*100/E147</f>
        <v>61.779834224208109</v>
      </c>
      <c r="L147" s="23">
        <f>J147*100/D147</f>
        <v>50.627622839771341</v>
      </c>
      <c r="M147" s="23">
        <f>J147*100/C147</f>
        <v>86.23172602045841</v>
      </c>
    </row>
    <row r="148" spans="1:13" x14ac:dyDescent="0.25">
      <c r="A148" s="67"/>
      <c r="B148" s="68"/>
      <c r="C148" s="68"/>
      <c r="D148" s="68"/>
      <c r="E148" s="68"/>
      <c r="F148" s="68"/>
      <c r="G148" s="68"/>
      <c r="H148" s="68"/>
      <c r="I148" s="68"/>
      <c r="J148" s="68"/>
      <c r="K148" s="42"/>
      <c r="L148" s="23"/>
      <c r="M148" s="29"/>
    </row>
    <row r="149" spans="1:13" x14ac:dyDescent="0.25">
      <c r="A149" s="18" t="s">
        <v>67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x14ac:dyDescent="0.25">
      <c r="A150" s="39" t="s">
        <v>17</v>
      </c>
      <c r="B150" s="54" t="s">
        <v>18</v>
      </c>
      <c r="C150" s="42">
        <f t="shared" ref="C150:I150" si="40">C151+C154+C156+C158+C155+C159+C157+C160+C153+C152</f>
        <v>21387.699999999997</v>
      </c>
      <c r="D150" s="42">
        <f t="shared" si="40"/>
        <v>21887.699999999997</v>
      </c>
      <c r="E150" s="42">
        <f t="shared" si="40"/>
        <v>16769.900000000001</v>
      </c>
      <c r="F150" s="42">
        <f t="shared" si="40"/>
        <v>5146.6000000000004</v>
      </c>
      <c r="G150" s="42">
        <f t="shared" si="40"/>
        <v>5821.4999999999991</v>
      </c>
      <c r="H150" s="42">
        <f t="shared" si="40"/>
        <v>5801.8</v>
      </c>
      <c r="I150" s="42">
        <f t="shared" si="40"/>
        <v>5117.8</v>
      </c>
      <c r="J150" s="42">
        <f>J151+J154+J156+J158+J155+J159+J157+J160+J153+J152</f>
        <v>15167.400000000001</v>
      </c>
      <c r="K150" s="42">
        <f>J150*100/E150</f>
        <v>90.444188695221797</v>
      </c>
      <c r="L150" s="23">
        <f>J150*100/D150</f>
        <v>69.296454172891643</v>
      </c>
      <c r="M150" s="23">
        <f>J150*100/C150</f>
        <v>70.916461330577874</v>
      </c>
    </row>
    <row r="151" spans="1:13" x14ac:dyDescent="0.25">
      <c r="A151" s="36" t="s">
        <v>19</v>
      </c>
      <c r="B151" s="30" t="s">
        <v>20</v>
      </c>
      <c r="C151" s="31">
        <v>13460</v>
      </c>
      <c r="D151" s="45">
        <f>F151+G151+H151+I151</f>
        <v>13710</v>
      </c>
      <c r="E151" s="26">
        <f t="shared" ref="E151:E163" si="41">F151+G151+H151</f>
        <v>10795.3</v>
      </c>
      <c r="F151" s="45">
        <v>3322.1</v>
      </c>
      <c r="G151" s="45">
        <v>3693.7</v>
      </c>
      <c r="H151" s="32">
        <v>3779.5</v>
      </c>
      <c r="I151" s="29">
        <v>2914.7</v>
      </c>
      <c r="J151" s="29">
        <v>11029.5</v>
      </c>
      <c r="K151" s="27">
        <f>J151*100/E151</f>
        <v>102.16946263651775</v>
      </c>
      <c r="L151" s="29">
        <f>J151*100/D151</f>
        <v>80.448577680525162</v>
      </c>
      <c r="M151" s="29">
        <f>J151*100/C151</f>
        <v>81.942793462109961</v>
      </c>
    </row>
    <row r="152" spans="1:13" ht="36" x14ac:dyDescent="0.25">
      <c r="A152" s="24" t="s">
        <v>21</v>
      </c>
      <c r="B152" s="30" t="s">
        <v>22</v>
      </c>
      <c r="C152" s="31">
        <v>4923.1000000000004</v>
      </c>
      <c r="D152" s="45">
        <f>F152+G152+H152+I152</f>
        <v>4923.0999999999995</v>
      </c>
      <c r="E152" s="26">
        <f t="shared" si="41"/>
        <v>3744.8999999999996</v>
      </c>
      <c r="F152" s="45">
        <v>1180</v>
      </c>
      <c r="G152" s="45">
        <v>1222.7</v>
      </c>
      <c r="H152" s="32">
        <v>1342.2</v>
      </c>
      <c r="I152" s="29">
        <v>1178.2</v>
      </c>
      <c r="J152" s="29">
        <v>3575.8</v>
      </c>
      <c r="K152" s="27">
        <f>J152*100/E152</f>
        <v>95.484525621511935</v>
      </c>
      <c r="L152" s="29">
        <f>J152*100/D152</f>
        <v>72.633097032357668</v>
      </c>
      <c r="M152" s="29">
        <f>J152*100/C152</f>
        <v>72.633097032357654</v>
      </c>
    </row>
    <row r="153" spans="1:13" x14ac:dyDescent="0.25">
      <c r="A153" s="24" t="s">
        <v>23</v>
      </c>
      <c r="B153" s="30" t="s">
        <v>24</v>
      </c>
      <c r="C153" s="31">
        <v>15</v>
      </c>
      <c r="D153" s="45">
        <f t="shared" ref="D153:D162" si="42">F153+G153+H153+I153</f>
        <v>14.999999999999998</v>
      </c>
      <c r="E153" s="26">
        <f t="shared" si="41"/>
        <v>12.899999999999999</v>
      </c>
      <c r="F153" s="45">
        <v>4.5</v>
      </c>
      <c r="G153" s="45">
        <v>5.6</v>
      </c>
      <c r="H153" s="32">
        <v>2.8</v>
      </c>
      <c r="I153" s="29">
        <v>2.1</v>
      </c>
      <c r="J153" s="29">
        <v>2.6</v>
      </c>
      <c r="K153" s="27">
        <f>J153*100/E153</f>
        <v>20.155038759689926</v>
      </c>
      <c r="L153" s="29">
        <f>J153*100/D153</f>
        <v>17.333333333333336</v>
      </c>
      <c r="M153" s="29">
        <f>J153*100/C153</f>
        <v>17.333333333333332</v>
      </c>
    </row>
    <row r="154" spans="1:13" x14ac:dyDescent="0.25">
      <c r="A154" s="24" t="s">
        <v>25</v>
      </c>
      <c r="B154" s="30" t="s">
        <v>26</v>
      </c>
      <c r="C154" s="31">
        <v>1987</v>
      </c>
      <c r="D154" s="45">
        <f t="shared" si="42"/>
        <v>1737</v>
      </c>
      <c r="E154" s="26">
        <f t="shared" si="41"/>
        <v>957.1</v>
      </c>
      <c r="F154" s="45">
        <v>392</v>
      </c>
      <c r="G154" s="45">
        <v>148.69999999999999</v>
      </c>
      <c r="H154" s="32">
        <v>416.4</v>
      </c>
      <c r="I154" s="29">
        <v>779.9</v>
      </c>
      <c r="J154" s="29">
        <v>-39.1</v>
      </c>
      <c r="K154" s="27">
        <f>J154*100/E154</f>
        <v>-4.0852575488454708</v>
      </c>
      <c r="L154" s="29">
        <f>J154*100/D154</f>
        <v>-2.251007484168106</v>
      </c>
      <c r="M154" s="29">
        <f>J154*100/C154</f>
        <v>-1.9677906391545044</v>
      </c>
    </row>
    <row r="155" spans="1:13" x14ac:dyDescent="0.25">
      <c r="A155" s="24" t="s">
        <v>27</v>
      </c>
      <c r="B155" s="30" t="s">
        <v>28</v>
      </c>
      <c r="C155" s="31">
        <v>148.6</v>
      </c>
      <c r="D155" s="45">
        <f t="shared" si="42"/>
        <v>148.6</v>
      </c>
      <c r="E155" s="26">
        <f t="shared" si="41"/>
        <v>114.7</v>
      </c>
      <c r="F155" s="45">
        <v>35.799999999999997</v>
      </c>
      <c r="G155" s="45">
        <v>38.1</v>
      </c>
      <c r="H155" s="32">
        <v>40.799999999999997</v>
      </c>
      <c r="I155" s="29">
        <v>33.9</v>
      </c>
      <c r="J155" s="29">
        <v>49.2</v>
      </c>
      <c r="K155" s="27">
        <f>J155*100/E155</f>
        <v>42.894507410636443</v>
      </c>
      <c r="L155" s="29">
        <f>J155*100/D155</f>
        <v>33.109017496635261</v>
      </c>
      <c r="M155" s="29">
        <f>J155*100/C155</f>
        <v>33.109017496635261</v>
      </c>
    </row>
    <row r="156" spans="1:13" ht="36" x14ac:dyDescent="0.25">
      <c r="A156" s="33" t="s">
        <v>31</v>
      </c>
      <c r="B156" s="30" t="s">
        <v>32</v>
      </c>
      <c r="C156" s="31">
        <v>854</v>
      </c>
      <c r="D156" s="45">
        <f t="shared" si="42"/>
        <v>854</v>
      </c>
      <c r="E156" s="26">
        <f t="shared" si="41"/>
        <v>645</v>
      </c>
      <c r="F156" s="45">
        <v>212.2</v>
      </c>
      <c r="G156" s="45">
        <v>212.7</v>
      </c>
      <c r="H156" s="32">
        <v>220.1</v>
      </c>
      <c r="I156" s="29">
        <v>209</v>
      </c>
      <c r="J156" s="29">
        <v>39.700000000000003</v>
      </c>
      <c r="K156" s="27">
        <f>J156*100/E156</f>
        <v>6.1550387596899228</v>
      </c>
      <c r="L156" s="29">
        <f>J156*100/D156</f>
        <v>4.6487119437939119</v>
      </c>
      <c r="M156" s="29">
        <f>J156*100/C156</f>
        <v>4.6487119437939119</v>
      </c>
    </row>
    <row r="157" spans="1:13" ht="24" x14ac:dyDescent="0.25">
      <c r="A157" s="35" t="s">
        <v>35</v>
      </c>
      <c r="B157" s="30" t="s">
        <v>36</v>
      </c>
      <c r="C157" s="31"/>
      <c r="D157" s="45">
        <f t="shared" si="42"/>
        <v>500</v>
      </c>
      <c r="E157" s="26">
        <f t="shared" si="41"/>
        <v>500</v>
      </c>
      <c r="F157" s="45"/>
      <c r="G157" s="45">
        <v>500</v>
      </c>
      <c r="H157" s="32"/>
      <c r="I157" s="29"/>
      <c r="J157" s="29">
        <v>509.2</v>
      </c>
      <c r="K157" s="27">
        <f>J157*100/E157</f>
        <v>101.84</v>
      </c>
      <c r="L157" s="29">
        <f>J157*100/D157</f>
        <v>101.84</v>
      </c>
      <c r="M157" s="29"/>
    </row>
    <row r="158" spans="1:13" ht="24" x14ac:dyDescent="0.25">
      <c r="A158" s="34" t="s">
        <v>37</v>
      </c>
      <c r="B158" s="30" t="s">
        <v>38</v>
      </c>
      <c r="C158" s="31"/>
      <c r="D158" s="45">
        <f t="shared" si="42"/>
        <v>0</v>
      </c>
      <c r="E158" s="26">
        <f t="shared" si="41"/>
        <v>0</v>
      </c>
      <c r="F158" s="45"/>
      <c r="G158" s="45"/>
      <c r="H158" s="32"/>
      <c r="I158" s="29"/>
      <c r="J158" s="29"/>
      <c r="K158" s="27"/>
      <c r="L158" s="29"/>
      <c r="M158" s="29"/>
    </row>
    <row r="159" spans="1:13" x14ac:dyDescent="0.25">
      <c r="A159" s="36" t="s">
        <v>41</v>
      </c>
      <c r="B159" s="30" t="s">
        <v>42</v>
      </c>
      <c r="C159" s="31"/>
      <c r="D159" s="45">
        <f t="shared" si="42"/>
        <v>0</v>
      </c>
      <c r="E159" s="26">
        <f t="shared" si="41"/>
        <v>0</v>
      </c>
      <c r="F159" s="45"/>
      <c r="G159" s="45"/>
      <c r="H159" s="32"/>
      <c r="I159" s="29"/>
      <c r="J159" s="29"/>
      <c r="K159" s="27"/>
      <c r="L159" s="29"/>
      <c r="M159" s="29"/>
    </row>
    <row r="160" spans="1:13" x14ac:dyDescent="0.25">
      <c r="A160" s="34" t="s">
        <v>43</v>
      </c>
      <c r="B160" s="38" t="s">
        <v>44</v>
      </c>
      <c r="C160" s="31"/>
      <c r="D160" s="45">
        <f t="shared" si="42"/>
        <v>0</v>
      </c>
      <c r="E160" s="26">
        <f t="shared" si="41"/>
        <v>0</v>
      </c>
      <c r="F160" s="45"/>
      <c r="G160" s="45"/>
      <c r="H160" s="32"/>
      <c r="I160" s="29"/>
      <c r="J160" s="29">
        <v>0.5</v>
      </c>
      <c r="K160" s="42"/>
      <c r="L160" s="23"/>
      <c r="M160" s="29"/>
    </row>
    <row r="161" spans="1:13" x14ac:dyDescent="0.25">
      <c r="A161" s="39" t="s">
        <v>45</v>
      </c>
      <c r="B161" s="40" t="s">
        <v>46</v>
      </c>
      <c r="C161" s="41">
        <f>C162+C163</f>
        <v>32823.699999999997</v>
      </c>
      <c r="D161" s="41">
        <f>D162+D163</f>
        <v>77959.700000000012</v>
      </c>
      <c r="E161" s="41">
        <f t="shared" ref="E161:J161" si="43">E162+E163</f>
        <v>66116.100000000006</v>
      </c>
      <c r="F161" s="41">
        <f t="shared" si="43"/>
        <v>52909.9</v>
      </c>
      <c r="G161" s="41">
        <f t="shared" si="43"/>
        <v>14330.1</v>
      </c>
      <c r="H161" s="41">
        <f t="shared" si="43"/>
        <v>-1123.8999999999996</v>
      </c>
      <c r="I161" s="41">
        <f t="shared" si="43"/>
        <v>11843.599999999999</v>
      </c>
      <c r="J161" s="41">
        <f t="shared" si="43"/>
        <v>37631</v>
      </c>
      <c r="K161" s="42">
        <f>J161*100/E161</f>
        <v>56.91654528927144</v>
      </c>
      <c r="L161" s="23">
        <f>J161*100/D161</f>
        <v>48.26981119732374</v>
      </c>
      <c r="M161" s="23">
        <f>J161*100/C161</f>
        <v>114.64581994107917</v>
      </c>
    </row>
    <row r="162" spans="1:13" ht="36" x14ac:dyDescent="0.25">
      <c r="A162" s="43" t="s">
        <v>47</v>
      </c>
      <c r="B162" s="44" t="s">
        <v>48</v>
      </c>
      <c r="C162" s="45">
        <v>32823.699999999997</v>
      </c>
      <c r="D162" s="45">
        <f t="shared" si="42"/>
        <v>77478.700000000012</v>
      </c>
      <c r="E162" s="26">
        <f t="shared" si="41"/>
        <v>65635.100000000006</v>
      </c>
      <c r="F162" s="45">
        <v>52909.9</v>
      </c>
      <c r="G162" s="45">
        <v>13849.1</v>
      </c>
      <c r="H162" s="32">
        <f>11294.6-12418.5</f>
        <v>-1123.8999999999996</v>
      </c>
      <c r="I162" s="29">
        <f>7097.4+4746.2</f>
        <v>11843.599999999999</v>
      </c>
      <c r="J162" s="29">
        <v>37150</v>
      </c>
      <c r="K162" s="27">
        <f>J162*100/E162</f>
        <v>56.600812674925457</v>
      </c>
      <c r="L162" s="29">
        <f>J162*100/D162</f>
        <v>47.948662019367895</v>
      </c>
      <c r="M162" s="29">
        <f>J162*100/C162</f>
        <v>113.18041537060112</v>
      </c>
    </row>
    <row r="163" spans="1:13" x14ac:dyDescent="0.25">
      <c r="A163" s="43" t="s">
        <v>49</v>
      </c>
      <c r="B163" s="46" t="s">
        <v>50</v>
      </c>
      <c r="C163" s="46"/>
      <c r="D163" s="45">
        <f>F163+G163+H163+I163</f>
        <v>481</v>
      </c>
      <c r="E163" s="26">
        <f t="shared" si="41"/>
        <v>481</v>
      </c>
      <c r="F163" s="45"/>
      <c r="G163" s="45">
        <v>481</v>
      </c>
      <c r="H163" s="32"/>
      <c r="I163" s="29"/>
      <c r="J163" s="29">
        <v>481</v>
      </c>
      <c r="K163" s="27">
        <f>J163*100/E163</f>
        <v>100</v>
      </c>
      <c r="L163" s="29">
        <f>J163*100/D163</f>
        <v>100</v>
      </c>
      <c r="M163" s="29"/>
    </row>
    <row r="164" spans="1:13" x14ac:dyDescent="0.25">
      <c r="A164" s="36"/>
      <c r="B164" s="50" t="s">
        <v>55</v>
      </c>
      <c r="C164" s="23">
        <f t="shared" ref="C164:I164" si="44">C161+C150</f>
        <v>54211.399999999994</v>
      </c>
      <c r="D164" s="23">
        <f t="shared" si="44"/>
        <v>99847.400000000009</v>
      </c>
      <c r="E164" s="23">
        <f t="shared" si="44"/>
        <v>82886</v>
      </c>
      <c r="F164" s="23">
        <f t="shared" si="44"/>
        <v>58056.5</v>
      </c>
      <c r="G164" s="23">
        <f t="shared" si="44"/>
        <v>20151.599999999999</v>
      </c>
      <c r="H164" s="23">
        <f t="shared" si="44"/>
        <v>4677.9000000000005</v>
      </c>
      <c r="I164" s="23">
        <f t="shared" si="44"/>
        <v>16961.399999999998</v>
      </c>
      <c r="J164" s="23">
        <f>J161+J150-0.1</f>
        <v>52798.3</v>
      </c>
      <c r="K164" s="42">
        <f>J164*100/E164</f>
        <v>63.699901068938061</v>
      </c>
      <c r="L164" s="23">
        <f>J164*100/D164</f>
        <v>52.878993343842701</v>
      </c>
      <c r="M164" s="23">
        <f>J164*100/C164</f>
        <v>97.393352689655686</v>
      </c>
    </row>
    <row r="165" spans="1:13" x14ac:dyDescent="0.25">
      <c r="A165" s="51"/>
      <c r="B165" s="52"/>
      <c r="C165" s="52"/>
      <c r="D165" s="52"/>
      <c r="E165" s="52"/>
      <c r="F165" s="52"/>
      <c r="G165" s="52"/>
      <c r="H165" s="52"/>
      <c r="I165" s="52"/>
      <c r="J165" s="52"/>
      <c r="K165" s="42"/>
      <c r="L165" s="23"/>
      <c r="M165" s="29"/>
    </row>
    <row r="166" spans="1:13" x14ac:dyDescent="0.25">
      <c r="A166" s="18" t="s">
        <v>68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1:13" x14ac:dyDescent="0.25">
      <c r="A167" s="39" t="s">
        <v>17</v>
      </c>
      <c r="B167" s="54" t="s">
        <v>18</v>
      </c>
      <c r="C167" s="42">
        <f>C168+C171+C172+C173+C175+C176+C177+C174+C169+C170</f>
        <v>7081.1</v>
      </c>
      <c r="D167" s="42">
        <f>D168+D171+D172+D173+D175+D176+D177+D174+D169+D170</f>
        <v>7427</v>
      </c>
      <c r="E167" s="42">
        <f t="shared" ref="E167:J167" si="45">E168+E171+E172+E173+E175+E176+E177+E174+E169+E170</f>
        <v>5063.4000000000005</v>
      </c>
      <c r="F167" s="42">
        <f t="shared" si="45"/>
        <v>1536</v>
      </c>
      <c r="G167" s="42">
        <f t="shared" si="45"/>
        <v>1855.3</v>
      </c>
      <c r="H167" s="42">
        <f t="shared" si="45"/>
        <v>1672.1</v>
      </c>
      <c r="I167" s="42">
        <f t="shared" si="45"/>
        <v>2363.6</v>
      </c>
      <c r="J167" s="42">
        <f t="shared" si="45"/>
        <v>5234.2000000000007</v>
      </c>
      <c r="K167" s="42">
        <f>J167*100/E167</f>
        <v>103.37322747560927</v>
      </c>
      <c r="L167" s="23">
        <f>J167*100/D167</f>
        <v>70.475292850410668</v>
      </c>
      <c r="M167" s="23">
        <f>J167*100/C167</f>
        <v>73.917894112496654</v>
      </c>
    </row>
    <row r="168" spans="1:13" x14ac:dyDescent="0.25">
      <c r="A168" s="36" t="s">
        <v>19</v>
      </c>
      <c r="B168" s="30" t="s">
        <v>20</v>
      </c>
      <c r="C168" s="31">
        <v>2930</v>
      </c>
      <c r="D168" s="45">
        <f>F168+G168+H168+I168</f>
        <v>2930</v>
      </c>
      <c r="E168" s="26">
        <f t="shared" ref="E168:E179" si="46">F168+G168+H168</f>
        <v>2146.6999999999998</v>
      </c>
      <c r="F168" s="31">
        <v>730</v>
      </c>
      <c r="G168" s="31">
        <v>791.7</v>
      </c>
      <c r="H168" s="32">
        <v>625</v>
      </c>
      <c r="I168" s="29">
        <v>783.3</v>
      </c>
      <c r="J168" s="29">
        <v>2115.6999999999998</v>
      </c>
      <c r="K168" s="27">
        <f>J168*100/E168</f>
        <v>98.555923044673207</v>
      </c>
      <c r="L168" s="29">
        <f>J168*100/D168</f>
        <v>72.208191126279857</v>
      </c>
      <c r="M168" s="29">
        <f>J168*100/C168</f>
        <v>72.208191126279857</v>
      </c>
    </row>
    <row r="169" spans="1:13" ht="36" x14ac:dyDescent="0.25">
      <c r="A169" s="24" t="s">
        <v>21</v>
      </c>
      <c r="B169" s="30" t="s">
        <v>22</v>
      </c>
      <c r="C169" s="31">
        <v>2826.6</v>
      </c>
      <c r="D169" s="45">
        <f>F169+G169+H169+I169</f>
        <v>2826.6</v>
      </c>
      <c r="E169" s="26">
        <f t="shared" si="46"/>
        <v>2120</v>
      </c>
      <c r="F169" s="31">
        <v>706.7</v>
      </c>
      <c r="G169" s="31">
        <v>706.7</v>
      </c>
      <c r="H169" s="32">
        <v>706.6</v>
      </c>
      <c r="I169" s="29">
        <v>706.6</v>
      </c>
      <c r="J169" s="29">
        <v>2053</v>
      </c>
      <c r="K169" s="27">
        <f>J169*100/E169</f>
        <v>96.839622641509436</v>
      </c>
      <c r="L169" s="29">
        <f>J169*100/D169</f>
        <v>72.631429986556284</v>
      </c>
      <c r="M169" s="29">
        <f>J169*100/C169</f>
        <v>72.631429986556284</v>
      </c>
    </row>
    <row r="170" spans="1:13" x14ac:dyDescent="0.25">
      <c r="A170" s="24" t="s">
        <v>23</v>
      </c>
      <c r="B170" s="30" t="s">
        <v>24</v>
      </c>
      <c r="C170" s="31">
        <v>0</v>
      </c>
      <c r="D170" s="45">
        <f>F170+G170+H170+I170</f>
        <v>2.6</v>
      </c>
      <c r="E170" s="26">
        <f t="shared" si="46"/>
        <v>2.6</v>
      </c>
      <c r="F170" s="31"/>
      <c r="G170" s="31">
        <v>2.6</v>
      </c>
      <c r="H170" s="32"/>
      <c r="I170" s="29"/>
      <c r="J170" s="29">
        <v>2.6</v>
      </c>
      <c r="K170" s="27">
        <f>J170*100/E170</f>
        <v>100</v>
      </c>
      <c r="L170" s="29">
        <f>J170*100/D170</f>
        <v>100</v>
      </c>
      <c r="M170" s="29"/>
    </row>
    <row r="171" spans="1:13" x14ac:dyDescent="0.25">
      <c r="A171" s="24" t="s">
        <v>25</v>
      </c>
      <c r="B171" s="30" t="s">
        <v>26</v>
      </c>
      <c r="C171" s="31">
        <v>875.5</v>
      </c>
      <c r="D171" s="45">
        <f>F171+G171+H171+I171</f>
        <v>875.5</v>
      </c>
      <c r="E171" s="26">
        <f t="shared" si="46"/>
        <v>212</v>
      </c>
      <c r="F171" s="31"/>
      <c r="G171" s="31">
        <v>106</v>
      </c>
      <c r="H171" s="32">
        <v>106</v>
      </c>
      <c r="I171" s="29">
        <v>663.5</v>
      </c>
      <c r="J171" s="29">
        <v>363.2</v>
      </c>
      <c r="K171" s="27">
        <f>J171*100/E171</f>
        <v>171.32075471698113</v>
      </c>
      <c r="L171" s="29">
        <f>J171*100/D171</f>
        <v>41.484865790976585</v>
      </c>
      <c r="M171" s="29">
        <f>J171*100/C171</f>
        <v>41.484865790976585</v>
      </c>
    </row>
    <row r="172" spans="1:13" x14ac:dyDescent="0.25">
      <c r="A172" s="24" t="s">
        <v>27</v>
      </c>
      <c r="B172" s="30" t="s">
        <v>28</v>
      </c>
      <c r="C172" s="31">
        <v>35</v>
      </c>
      <c r="D172" s="45">
        <f t="shared" ref="D172:D179" si="47">F172+G172+H172+I172</f>
        <v>10</v>
      </c>
      <c r="E172" s="26">
        <f t="shared" si="46"/>
        <v>6.8</v>
      </c>
      <c r="F172" s="31">
        <v>1.8</v>
      </c>
      <c r="G172" s="31">
        <v>2</v>
      </c>
      <c r="H172" s="32">
        <v>3</v>
      </c>
      <c r="I172" s="29">
        <v>3.2</v>
      </c>
      <c r="J172" s="29">
        <v>6</v>
      </c>
      <c r="K172" s="27">
        <f>J172*100/E172</f>
        <v>88.235294117647058</v>
      </c>
      <c r="L172" s="29">
        <f>J172*100/D172</f>
        <v>60</v>
      </c>
      <c r="M172" s="29">
        <f>J172*100/C172</f>
        <v>17.142857142857142</v>
      </c>
    </row>
    <row r="173" spans="1:13" ht="36" x14ac:dyDescent="0.25">
      <c r="A173" s="33" t="s">
        <v>31</v>
      </c>
      <c r="B173" s="30" t="s">
        <v>32</v>
      </c>
      <c r="C173" s="31">
        <v>414</v>
      </c>
      <c r="D173" s="45">
        <f t="shared" si="47"/>
        <v>737</v>
      </c>
      <c r="E173" s="26">
        <f t="shared" si="46"/>
        <v>530</v>
      </c>
      <c r="F173" s="31">
        <v>97.5</v>
      </c>
      <c r="G173" s="31">
        <v>229</v>
      </c>
      <c r="H173" s="32">
        <v>203.5</v>
      </c>
      <c r="I173" s="29">
        <v>207</v>
      </c>
      <c r="J173" s="29">
        <v>648.4</v>
      </c>
      <c r="K173" s="27">
        <f>J173*100/E173</f>
        <v>122.33962264150944</v>
      </c>
      <c r="L173" s="29">
        <f>J173*100/D173</f>
        <v>87.978290366350066</v>
      </c>
      <c r="M173" s="29">
        <f>J173*100/C173</f>
        <v>156.61835748792271</v>
      </c>
    </row>
    <row r="174" spans="1:13" ht="24" x14ac:dyDescent="0.25">
      <c r="A174" s="35" t="s">
        <v>35</v>
      </c>
      <c r="B174" s="30" t="s">
        <v>36</v>
      </c>
      <c r="C174" s="31">
        <v>0</v>
      </c>
      <c r="D174" s="45">
        <f t="shared" si="47"/>
        <v>35.299999999999997</v>
      </c>
      <c r="E174" s="26">
        <f t="shared" si="46"/>
        <v>35.299999999999997</v>
      </c>
      <c r="F174" s="31"/>
      <c r="G174" s="31">
        <v>7.3</v>
      </c>
      <c r="H174" s="32">
        <v>28</v>
      </c>
      <c r="I174" s="29"/>
      <c r="J174" s="29">
        <v>35.299999999999997</v>
      </c>
      <c r="K174" s="27">
        <f>J174*100/E174</f>
        <v>100</v>
      </c>
      <c r="L174" s="29">
        <f>J174*100/D174</f>
        <v>100</v>
      </c>
      <c r="M174" s="29"/>
    </row>
    <row r="175" spans="1:13" ht="24" x14ac:dyDescent="0.25">
      <c r="A175" s="34" t="s">
        <v>37</v>
      </c>
      <c r="B175" s="30" t="s">
        <v>38</v>
      </c>
      <c r="C175" s="31"/>
      <c r="D175" s="45">
        <f t="shared" si="47"/>
        <v>0</v>
      </c>
      <c r="E175" s="26">
        <f t="shared" si="46"/>
        <v>0</v>
      </c>
      <c r="F175" s="31"/>
      <c r="G175" s="31"/>
      <c r="H175" s="32"/>
      <c r="I175" s="29"/>
      <c r="J175" s="29"/>
      <c r="K175" s="27" t="e">
        <f>J175*100/E175</f>
        <v>#DIV/0!</v>
      </c>
      <c r="L175" s="29" t="e">
        <f>J175*100/D175</f>
        <v>#DIV/0!</v>
      </c>
      <c r="M175" s="29"/>
    </row>
    <row r="176" spans="1:13" x14ac:dyDescent="0.25">
      <c r="A176" s="36" t="s">
        <v>41</v>
      </c>
      <c r="B176" s="30" t="s">
        <v>42</v>
      </c>
      <c r="C176" s="31"/>
      <c r="D176" s="45">
        <f t="shared" si="47"/>
        <v>10</v>
      </c>
      <c r="E176" s="26">
        <f t="shared" si="46"/>
        <v>10</v>
      </c>
      <c r="F176" s="31"/>
      <c r="G176" s="31">
        <v>10</v>
      </c>
      <c r="H176" s="32"/>
      <c r="I176" s="29"/>
      <c r="J176" s="29">
        <v>10</v>
      </c>
      <c r="K176" s="27">
        <f>J176*100/E176</f>
        <v>100</v>
      </c>
      <c r="L176" s="29">
        <f>J176*100/D176</f>
        <v>100</v>
      </c>
      <c r="M176" s="29"/>
    </row>
    <row r="177" spans="1:13" x14ac:dyDescent="0.25">
      <c r="A177" s="58" t="s">
        <v>43</v>
      </c>
      <c r="B177" s="38" t="s">
        <v>44</v>
      </c>
      <c r="C177" s="31"/>
      <c r="D177" s="45">
        <f t="shared" si="47"/>
        <v>0</v>
      </c>
      <c r="E177" s="26">
        <f t="shared" si="46"/>
        <v>0</v>
      </c>
      <c r="F177" s="31"/>
      <c r="G177" s="31"/>
      <c r="H177" s="32"/>
      <c r="I177" s="29"/>
      <c r="J177" s="29"/>
      <c r="K177" s="42"/>
      <c r="L177" s="23"/>
      <c r="M177" s="29"/>
    </row>
    <row r="178" spans="1:13" x14ac:dyDescent="0.25">
      <c r="A178" s="39" t="s">
        <v>45</v>
      </c>
      <c r="B178" s="40" t="s">
        <v>46</v>
      </c>
      <c r="C178" s="41">
        <f t="shared" ref="C178:J178" si="48">C179+C180</f>
        <v>28800.9</v>
      </c>
      <c r="D178" s="41">
        <f t="shared" si="48"/>
        <v>40035.699999999997</v>
      </c>
      <c r="E178" s="66">
        <f t="shared" si="48"/>
        <v>33086.6</v>
      </c>
      <c r="F178" s="66">
        <f t="shared" si="48"/>
        <v>11213</v>
      </c>
      <c r="G178" s="66">
        <f t="shared" si="48"/>
        <v>8784.5</v>
      </c>
      <c r="H178" s="41">
        <f t="shared" si="48"/>
        <v>13089.1</v>
      </c>
      <c r="I178" s="41">
        <f t="shared" si="48"/>
        <v>6949.1</v>
      </c>
      <c r="J178" s="41">
        <f t="shared" si="48"/>
        <v>23549.9</v>
      </c>
      <c r="K178" s="42">
        <f>J178*100/E178</f>
        <v>71.176548814323624</v>
      </c>
      <c r="L178" s="23">
        <f>J178*100/D178</f>
        <v>58.822251140856793</v>
      </c>
      <c r="M178" s="23">
        <f>J178*100/C178</f>
        <v>81.76793086327163</v>
      </c>
    </row>
    <row r="179" spans="1:13" ht="36" x14ac:dyDescent="0.25">
      <c r="A179" s="43" t="s">
        <v>47</v>
      </c>
      <c r="B179" s="44" t="s">
        <v>48</v>
      </c>
      <c r="C179" s="45">
        <v>28800.9</v>
      </c>
      <c r="D179" s="45">
        <f t="shared" si="47"/>
        <v>40035.699999999997</v>
      </c>
      <c r="E179" s="26">
        <f t="shared" si="46"/>
        <v>33086.6</v>
      </c>
      <c r="F179" s="31">
        <v>11213</v>
      </c>
      <c r="G179" s="31">
        <v>8784.5</v>
      </c>
      <c r="H179" s="32">
        <v>13089.1</v>
      </c>
      <c r="I179" s="29">
        <v>6949.1</v>
      </c>
      <c r="J179" s="29">
        <v>23549.9</v>
      </c>
      <c r="K179" s="27">
        <f>J179*100/E179</f>
        <v>71.176548814323624</v>
      </c>
      <c r="L179" s="29">
        <f>J179*100/D179</f>
        <v>58.822251140856793</v>
      </c>
      <c r="M179" s="29">
        <f>J179*100/C179</f>
        <v>81.76793086327163</v>
      </c>
    </row>
    <row r="180" spans="1:13" x14ac:dyDescent="0.25">
      <c r="A180" s="43" t="s">
        <v>63</v>
      </c>
      <c r="B180" s="46" t="s">
        <v>50</v>
      </c>
      <c r="C180" s="47"/>
      <c r="D180" s="45">
        <f>F180+G180+H180+I180</f>
        <v>0</v>
      </c>
      <c r="E180" s="26">
        <f>F180+G180</f>
        <v>0</v>
      </c>
      <c r="F180" s="47"/>
      <c r="G180" s="47"/>
      <c r="H180" s="32"/>
      <c r="I180" s="29"/>
      <c r="J180" s="29"/>
      <c r="K180" s="27"/>
      <c r="L180" s="29"/>
      <c r="M180" s="29"/>
    </row>
    <row r="181" spans="1:13" x14ac:dyDescent="0.25">
      <c r="A181" s="36"/>
      <c r="B181" s="50" t="s">
        <v>55</v>
      </c>
      <c r="C181" s="23">
        <f t="shared" ref="C181:J181" si="49">C178+C167</f>
        <v>35882</v>
      </c>
      <c r="D181" s="23">
        <f t="shared" si="49"/>
        <v>47462.7</v>
      </c>
      <c r="E181" s="23">
        <f t="shared" si="49"/>
        <v>38150</v>
      </c>
      <c r="F181" s="23">
        <f t="shared" si="49"/>
        <v>12749</v>
      </c>
      <c r="G181" s="23">
        <f t="shared" si="49"/>
        <v>10639.8</v>
      </c>
      <c r="H181" s="23">
        <f t="shared" si="49"/>
        <v>14761.2</v>
      </c>
      <c r="I181" s="23">
        <f t="shared" si="49"/>
        <v>9312.7000000000007</v>
      </c>
      <c r="J181" s="23">
        <f t="shared" si="49"/>
        <v>28784.100000000002</v>
      </c>
      <c r="K181" s="42">
        <f>J181*100/E181</f>
        <v>75.449803407601578</v>
      </c>
      <c r="L181" s="23">
        <f>J181*100/D181</f>
        <v>60.645728119133558</v>
      </c>
      <c r="M181" s="23">
        <f>J181*100/C181</f>
        <v>80.218772643665346</v>
      </c>
    </row>
    <row r="182" spans="1:13" x14ac:dyDescent="0.25">
      <c r="A182" s="51"/>
      <c r="B182" s="52"/>
      <c r="C182" s="52"/>
      <c r="D182" s="52"/>
      <c r="E182" s="52"/>
      <c r="F182" s="52"/>
      <c r="G182" s="52"/>
      <c r="H182" s="52"/>
      <c r="I182" s="52"/>
      <c r="J182" s="52"/>
      <c r="K182" s="42"/>
      <c r="L182" s="23"/>
      <c r="M182" s="29"/>
    </row>
    <row r="183" spans="1:13" x14ac:dyDescent="0.25">
      <c r="A183" s="18" t="s">
        <v>69</v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1:13" x14ac:dyDescent="0.25">
      <c r="A184" s="39" t="s">
        <v>17</v>
      </c>
      <c r="B184" s="54" t="s">
        <v>18</v>
      </c>
      <c r="C184" s="42">
        <f t="shared" ref="C184:I184" si="50">C185+C187+C188+C189+C190+C192+C194+C193+C191+C186</f>
        <v>25890.9</v>
      </c>
      <c r="D184" s="42">
        <f t="shared" si="50"/>
        <v>25890.9</v>
      </c>
      <c r="E184" s="42">
        <f t="shared" si="50"/>
        <v>17062.5</v>
      </c>
      <c r="F184" s="42">
        <f t="shared" si="50"/>
        <v>5517.5</v>
      </c>
      <c r="G184" s="42">
        <f t="shared" si="50"/>
        <v>5772.5</v>
      </c>
      <c r="H184" s="42">
        <f t="shared" si="50"/>
        <v>5772.5</v>
      </c>
      <c r="I184" s="42">
        <f t="shared" si="50"/>
        <v>8828.4</v>
      </c>
      <c r="J184" s="42">
        <f>J185+J187+J188+J189+J190+J192+J194+J193+J191+J186</f>
        <v>19331.599999999999</v>
      </c>
      <c r="K184" s="42">
        <f>J184*100/E184</f>
        <v>113.29875457875457</v>
      </c>
      <c r="L184" s="23">
        <f>J184*100/D184</f>
        <v>74.665616104500018</v>
      </c>
      <c r="M184" s="23">
        <f>J184*100/C184</f>
        <v>74.665616104500018</v>
      </c>
    </row>
    <row r="185" spans="1:13" x14ac:dyDescent="0.25">
      <c r="A185" s="36" t="s">
        <v>19</v>
      </c>
      <c r="B185" s="30" t="s">
        <v>20</v>
      </c>
      <c r="C185" s="31">
        <v>17800</v>
      </c>
      <c r="D185" s="45">
        <f>F185+G185+H185+I185</f>
        <v>17800</v>
      </c>
      <c r="E185" s="26">
        <f t="shared" ref="E185:E197" si="51">F185+G185+H185</f>
        <v>12600</v>
      </c>
      <c r="F185" s="45">
        <v>4200</v>
      </c>
      <c r="G185" s="45">
        <v>4200</v>
      </c>
      <c r="H185" s="32">
        <v>4200</v>
      </c>
      <c r="I185" s="29">
        <v>5200</v>
      </c>
      <c r="J185" s="29">
        <v>14809</v>
      </c>
      <c r="K185" s="27">
        <f>J185*100/E185</f>
        <v>117.53174603174604</v>
      </c>
      <c r="L185" s="29">
        <f>J185*100/D185</f>
        <v>83.196629213483149</v>
      </c>
      <c r="M185" s="29">
        <f>J185*100/C185</f>
        <v>83.196629213483149</v>
      </c>
    </row>
    <row r="186" spans="1:13" ht="36" x14ac:dyDescent="0.25">
      <c r="A186" s="24" t="s">
        <v>21</v>
      </c>
      <c r="B186" s="30" t="s">
        <v>22</v>
      </c>
      <c r="C186" s="31">
        <v>4590.2</v>
      </c>
      <c r="D186" s="45">
        <f>F186+G186+H186+I186</f>
        <v>4590.2</v>
      </c>
      <c r="E186" s="26">
        <f t="shared" si="51"/>
        <v>3447</v>
      </c>
      <c r="F186" s="45">
        <v>1149</v>
      </c>
      <c r="G186" s="45">
        <v>1149</v>
      </c>
      <c r="H186" s="32">
        <v>1149</v>
      </c>
      <c r="I186" s="29">
        <v>1143.2</v>
      </c>
      <c r="J186" s="29">
        <v>3334</v>
      </c>
      <c r="K186" s="27">
        <f>J186*100/E186</f>
        <v>96.721787061212652</v>
      </c>
      <c r="L186" s="29">
        <f>J186*100/D186</f>
        <v>72.633000740708468</v>
      </c>
      <c r="M186" s="29">
        <f>J186*100/C186</f>
        <v>72.633000740708468</v>
      </c>
    </row>
    <row r="187" spans="1:13" x14ac:dyDescent="0.25">
      <c r="A187" s="24" t="s">
        <v>23</v>
      </c>
      <c r="B187" s="30" t="s">
        <v>24</v>
      </c>
      <c r="C187" s="31">
        <v>1</v>
      </c>
      <c r="D187" s="45">
        <f t="shared" ref="D187:D197" si="52">F187+G187+H187+I187</f>
        <v>1</v>
      </c>
      <c r="E187" s="26">
        <f t="shared" si="51"/>
        <v>0</v>
      </c>
      <c r="F187" s="45"/>
      <c r="G187" s="45"/>
      <c r="H187" s="32"/>
      <c r="I187" s="29">
        <v>1</v>
      </c>
      <c r="J187" s="29">
        <v>2.7</v>
      </c>
      <c r="K187" s="27"/>
      <c r="L187" s="29">
        <f>J187*100/D187</f>
        <v>270</v>
      </c>
      <c r="M187" s="29">
        <f>J187*100/C187</f>
        <v>270</v>
      </c>
    </row>
    <row r="188" spans="1:13" x14ac:dyDescent="0.25">
      <c r="A188" s="24" t="s">
        <v>25</v>
      </c>
      <c r="B188" s="30" t="s">
        <v>26</v>
      </c>
      <c r="C188" s="31">
        <v>3084.7</v>
      </c>
      <c r="D188" s="45">
        <f t="shared" si="52"/>
        <v>3084.7</v>
      </c>
      <c r="E188" s="26">
        <f t="shared" si="51"/>
        <v>692.5</v>
      </c>
      <c r="F188" s="45">
        <v>27.5</v>
      </c>
      <c r="G188" s="45">
        <v>332.5</v>
      </c>
      <c r="H188" s="32">
        <v>332.5</v>
      </c>
      <c r="I188" s="29">
        <v>2392.1999999999998</v>
      </c>
      <c r="J188" s="29">
        <v>846.8</v>
      </c>
      <c r="K188" s="27">
        <f>J188*100/E188</f>
        <v>122.28158844765343</v>
      </c>
      <c r="L188" s="29">
        <f>J188*100/D188</f>
        <v>27.451616040457743</v>
      </c>
      <c r="M188" s="29">
        <f>J188*100/C188</f>
        <v>27.451616040457743</v>
      </c>
    </row>
    <row r="189" spans="1:13" x14ac:dyDescent="0.25">
      <c r="A189" s="24" t="s">
        <v>27</v>
      </c>
      <c r="B189" s="30" t="s">
        <v>28</v>
      </c>
      <c r="C189" s="31">
        <v>165</v>
      </c>
      <c r="D189" s="45">
        <f t="shared" si="52"/>
        <v>165</v>
      </c>
      <c r="E189" s="26">
        <f t="shared" si="51"/>
        <v>123</v>
      </c>
      <c r="F189" s="45">
        <v>41</v>
      </c>
      <c r="G189" s="45">
        <v>41</v>
      </c>
      <c r="H189" s="32">
        <v>41</v>
      </c>
      <c r="I189" s="29">
        <v>42</v>
      </c>
      <c r="J189" s="29">
        <v>77.2</v>
      </c>
      <c r="K189" s="27">
        <f>J189*100/E189</f>
        <v>62.764227642276424</v>
      </c>
      <c r="L189" s="29">
        <f>J189*100/D189</f>
        <v>46.787878787878789</v>
      </c>
      <c r="M189" s="29">
        <f>J189*100/C189</f>
        <v>46.787878787878789</v>
      </c>
    </row>
    <row r="190" spans="1:13" ht="36" x14ac:dyDescent="0.25">
      <c r="A190" s="33" t="s">
        <v>31</v>
      </c>
      <c r="B190" s="30" t="s">
        <v>32</v>
      </c>
      <c r="C190" s="31">
        <v>250</v>
      </c>
      <c r="D190" s="45">
        <f t="shared" si="52"/>
        <v>250</v>
      </c>
      <c r="E190" s="26">
        <f t="shared" si="51"/>
        <v>200</v>
      </c>
      <c r="F190" s="45">
        <v>100</v>
      </c>
      <c r="G190" s="45">
        <v>50</v>
      </c>
      <c r="H190" s="32">
        <v>50</v>
      </c>
      <c r="I190" s="29">
        <v>50</v>
      </c>
      <c r="J190" s="29">
        <v>261.89999999999998</v>
      </c>
      <c r="K190" s="27">
        <f>J190*100/E190</f>
        <v>130.94999999999999</v>
      </c>
      <c r="L190" s="29">
        <f>J190*100/D190</f>
        <v>104.75999999999999</v>
      </c>
      <c r="M190" s="29">
        <f>J190*100/C190</f>
        <v>104.75999999999999</v>
      </c>
    </row>
    <row r="191" spans="1:13" ht="24" x14ac:dyDescent="0.25">
      <c r="A191" s="34" t="s">
        <v>35</v>
      </c>
      <c r="B191" s="30" t="s">
        <v>36</v>
      </c>
      <c r="C191" s="31">
        <v>0</v>
      </c>
      <c r="D191" s="45">
        <f t="shared" si="52"/>
        <v>0</v>
      </c>
      <c r="E191" s="26">
        <f t="shared" si="51"/>
        <v>0</v>
      </c>
      <c r="F191" s="45"/>
      <c r="G191" s="45"/>
      <c r="H191" s="32"/>
      <c r="I191" s="29"/>
      <c r="J191" s="29"/>
      <c r="K191" s="27"/>
      <c r="L191" s="29"/>
      <c r="M191" s="29"/>
    </row>
    <row r="192" spans="1:13" ht="24" x14ac:dyDescent="0.25">
      <c r="A192" s="34" t="s">
        <v>37</v>
      </c>
      <c r="B192" s="30" t="s">
        <v>38</v>
      </c>
      <c r="C192" s="31"/>
      <c r="D192" s="45">
        <f t="shared" si="52"/>
        <v>0</v>
      </c>
      <c r="E192" s="26">
        <f t="shared" si="51"/>
        <v>0</v>
      </c>
      <c r="F192" s="45"/>
      <c r="G192" s="45"/>
      <c r="H192" s="32"/>
      <c r="I192" s="29"/>
      <c r="J192" s="29"/>
      <c r="K192" s="27"/>
      <c r="L192" s="29"/>
      <c r="M192" s="29"/>
    </row>
    <row r="193" spans="1:13" x14ac:dyDescent="0.25">
      <c r="A193" s="36" t="s">
        <v>41</v>
      </c>
      <c r="B193" s="30" t="s">
        <v>42</v>
      </c>
      <c r="C193" s="31"/>
      <c r="D193" s="45">
        <f t="shared" si="52"/>
        <v>0</v>
      </c>
      <c r="E193" s="26">
        <f t="shared" si="51"/>
        <v>0</v>
      </c>
      <c r="F193" s="45"/>
      <c r="G193" s="45"/>
      <c r="H193" s="32"/>
      <c r="I193" s="29"/>
      <c r="J193" s="29"/>
      <c r="K193" s="27"/>
      <c r="L193" s="29"/>
      <c r="M193" s="29"/>
    </row>
    <row r="194" spans="1:13" x14ac:dyDescent="0.25">
      <c r="A194" s="58" t="s">
        <v>43</v>
      </c>
      <c r="B194" s="38" t="s">
        <v>44</v>
      </c>
      <c r="C194" s="31"/>
      <c r="D194" s="45">
        <f t="shared" si="52"/>
        <v>0</v>
      </c>
      <c r="E194" s="26">
        <f t="shared" si="51"/>
        <v>0</v>
      </c>
      <c r="F194" s="45"/>
      <c r="G194" s="45"/>
      <c r="H194" s="32"/>
      <c r="I194" s="29"/>
      <c r="J194" s="29"/>
      <c r="K194" s="42"/>
      <c r="L194" s="23"/>
      <c r="M194" s="29"/>
    </row>
    <row r="195" spans="1:13" x14ac:dyDescent="0.25">
      <c r="A195" s="20" t="s">
        <v>45</v>
      </c>
      <c r="B195" s="40" t="s">
        <v>46</v>
      </c>
      <c r="C195" s="22">
        <f t="shared" ref="C195:I195" si="53">C196</f>
        <v>29655.7</v>
      </c>
      <c r="D195" s="22">
        <f>D196+D197</f>
        <v>51466.5</v>
      </c>
      <c r="E195" s="22">
        <f>E196</f>
        <v>35640.1</v>
      </c>
      <c r="F195" s="22">
        <f t="shared" si="53"/>
        <v>11462.2</v>
      </c>
      <c r="G195" s="22">
        <f t="shared" si="53"/>
        <v>11196.4</v>
      </c>
      <c r="H195" s="22">
        <f t="shared" si="53"/>
        <v>12981.5</v>
      </c>
      <c r="I195" s="22">
        <f t="shared" si="53"/>
        <v>15580.7</v>
      </c>
      <c r="J195" s="22">
        <f>J196+J197</f>
        <v>31131.3</v>
      </c>
      <c r="K195" s="42">
        <f>J195*100/E195</f>
        <v>87.349081512116967</v>
      </c>
      <c r="L195" s="23">
        <f>J195*100/D195</f>
        <v>60.488473084433565</v>
      </c>
      <c r="M195" s="23">
        <f>J195*100/C195</f>
        <v>104.97577194266195</v>
      </c>
    </row>
    <row r="196" spans="1:13" ht="36" x14ac:dyDescent="0.25">
      <c r="A196" s="69" t="s">
        <v>47</v>
      </c>
      <c r="B196" s="44" t="s">
        <v>48</v>
      </c>
      <c r="C196" s="45">
        <v>29655.7</v>
      </c>
      <c r="D196" s="45">
        <f t="shared" si="52"/>
        <v>51220.800000000003</v>
      </c>
      <c r="E196" s="26">
        <f t="shared" si="51"/>
        <v>35640.1</v>
      </c>
      <c r="F196" s="45">
        <v>11462.2</v>
      </c>
      <c r="G196" s="45">
        <v>11196.4</v>
      </c>
      <c r="H196" s="32">
        <v>12981.5</v>
      </c>
      <c r="I196" s="29">
        <v>15580.7</v>
      </c>
      <c r="J196" s="29">
        <v>30885.5</v>
      </c>
      <c r="K196" s="27">
        <f>J196*100/E196</f>
        <v>86.659408924217388</v>
      </c>
      <c r="L196" s="29">
        <f>J196*100/D196</f>
        <v>60.298745822009806</v>
      </c>
      <c r="M196" s="29">
        <f>J196*100/C196</f>
        <v>104.14692622328928</v>
      </c>
    </row>
    <row r="197" spans="1:13" x14ac:dyDescent="0.25">
      <c r="A197" s="43" t="s">
        <v>49</v>
      </c>
      <c r="B197" s="46" t="s">
        <v>50</v>
      </c>
      <c r="C197" s="45"/>
      <c r="D197" s="45">
        <f t="shared" si="52"/>
        <v>245.7</v>
      </c>
      <c r="E197" s="26">
        <f t="shared" si="51"/>
        <v>245.7</v>
      </c>
      <c r="F197" s="45"/>
      <c r="G197" s="45">
        <v>245.7</v>
      </c>
      <c r="H197" s="32"/>
      <c r="I197" s="29"/>
      <c r="J197" s="29">
        <v>245.8</v>
      </c>
      <c r="K197" s="27">
        <f>J197*100/E197</f>
        <v>100.04070004070005</v>
      </c>
      <c r="L197" s="29">
        <f>J197*100/D197</f>
        <v>100.04070004070005</v>
      </c>
      <c r="M197" s="29"/>
    </row>
    <row r="198" spans="1:13" x14ac:dyDescent="0.25">
      <c r="A198" s="36"/>
      <c r="B198" s="50" t="s">
        <v>55</v>
      </c>
      <c r="C198" s="23">
        <f t="shared" ref="C198:J198" si="54">C195+C184</f>
        <v>55546.600000000006</v>
      </c>
      <c r="D198" s="23">
        <f t="shared" si="54"/>
        <v>77357.399999999994</v>
      </c>
      <c r="E198" s="23">
        <f t="shared" si="54"/>
        <v>52702.6</v>
      </c>
      <c r="F198" s="23">
        <f t="shared" si="54"/>
        <v>16979.7</v>
      </c>
      <c r="G198" s="23">
        <f t="shared" si="54"/>
        <v>16968.900000000001</v>
      </c>
      <c r="H198" s="23">
        <f t="shared" si="54"/>
        <v>18754</v>
      </c>
      <c r="I198" s="23">
        <f t="shared" si="54"/>
        <v>24409.1</v>
      </c>
      <c r="J198" s="23">
        <f t="shared" si="54"/>
        <v>50462.899999999994</v>
      </c>
      <c r="K198" s="42">
        <f>J198*100/E198</f>
        <v>95.75030453905498</v>
      </c>
      <c r="L198" s="23">
        <f>J198*100/D198</f>
        <v>65.2334489008162</v>
      </c>
      <c r="M198" s="23">
        <f>J198*100/C198</f>
        <v>90.847864675785715</v>
      </c>
    </row>
    <row r="199" spans="1:13" x14ac:dyDescent="0.25">
      <c r="A199" s="51"/>
      <c r="B199" s="52"/>
      <c r="C199" s="52"/>
      <c r="D199" s="52"/>
      <c r="E199" s="52"/>
      <c r="F199" s="52"/>
      <c r="G199" s="52"/>
      <c r="H199" s="52"/>
      <c r="I199" s="52"/>
      <c r="J199" s="52"/>
      <c r="K199" s="42"/>
      <c r="L199" s="23"/>
      <c r="M199" s="29"/>
    </row>
    <row r="200" spans="1:13" x14ac:dyDescent="0.25">
      <c r="A200" s="18" t="s">
        <v>70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x14ac:dyDescent="0.25">
      <c r="A201" s="39" t="s">
        <v>17</v>
      </c>
      <c r="B201" s="54" t="s">
        <v>18</v>
      </c>
      <c r="C201" s="42">
        <f>C202+C205+C207+C208+C206+C209+C210+C204+C203</f>
        <v>5268.6</v>
      </c>
      <c r="D201" s="42">
        <f>D202+D205+D207+D208+D206+D209+D210+D204+D203</f>
        <v>5268.6</v>
      </c>
      <c r="E201" s="42">
        <f>E202+E205+E207+E208+E206+E209+E210+E204+E203</f>
        <v>3769.7999999999997</v>
      </c>
      <c r="F201" s="42">
        <f t="shared" ref="F201:I201" si="55">F202+F205+F207+F208+F206+F209+F210+F204+F203</f>
        <v>1182.2</v>
      </c>
      <c r="G201" s="42">
        <f t="shared" si="55"/>
        <v>1269.3</v>
      </c>
      <c r="H201" s="42">
        <f t="shared" si="55"/>
        <v>1318.3000000000002</v>
      </c>
      <c r="I201" s="42">
        <f t="shared" si="55"/>
        <v>1498.8</v>
      </c>
      <c r="J201" s="42">
        <f>J202+J205+J207+J208+J206+J209+J210+J204+J203</f>
        <v>3707.5</v>
      </c>
      <c r="K201" s="42">
        <f>J201*100/E201</f>
        <v>98.347392434611919</v>
      </c>
      <c r="L201" s="23">
        <f>J201*100/D201</f>
        <v>70.369737691227272</v>
      </c>
      <c r="M201" s="23">
        <f>J201*100/C201</f>
        <v>70.369737691227272</v>
      </c>
    </row>
    <row r="202" spans="1:13" x14ac:dyDescent="0.25">
      <c r="A202" s="36" t="s">
        <v>19</v>
      </c>
      <c r="B202" s="30" t="s">
        <v>20</v>
      </c>
      <c r="C202" s="31">
        <v>1320</v>
      </c>
      <c r="D202" s="45">
        <f>F202+G202+H202+I202</f>
        <v>1320</v>
      </c>
      <c r="E202" s="26">
        <f t="shared" ref="E202:E213" si="56">F202+G202+H202</f>
        <v>905</v>
      </c>
      <c r="F202" s="45">
        <v>245</v>
      </c>
      <c r="G202" s="45">
        <v>330</v>
      </c>
      <c r="H202" s="32">
        <v>330</v>
      </c>
      <c r="I202" s="32">
        <v>415</v>
      </c>
      <c r="J202" s="29">
        <v>971.4</v>
      </c>
      <c r="K202" s="27">
        <f>J202*100/E202</f>
        <v>107.33701657458563</v>
      </c>
      <c r="L202" s="29">
        <f>J202*100/D202</f>
        <v>73.590909090909093</v>
      </c>
      <c r="M202" s="29">
        <f>J202*100/C202</f>
        <v>73.590909090909093</v>
      </c>
    </row>
    <row r="203" spans="1:13" ht="36" x14ac:dyDescent="0.25">
      <c r="A203" s="24" t="s">
        <v>21</v>
      </c>
      <c r="B203" s="30" t="s">
        <v>22</v>
      </c>
      <c r="C203" s="31">
        <v>3521.6</v>
      </c>
      <c r="D203" s="45">
        <f>F203+G203+H203+I203</f>
        <v>3521.6</v>
      </c>
      <c r="E203" s="26">
        <f t="shared" si="56"/>
        <v>2639.2</v>
      </c>
      <c r="F203" s="45">
        <v>879.7</v>
      </c>
      <c r="G203" s="45">
        <v>879.8</v>
      </c>
      <c r="H203" s="32">
        <v>879.7</v>
      </c>
      <c r="I203" s="32">
        <v>882.4</v>
      </c>
      <c r="J203" s="29">
        <v>2557.8000000000002</v>
      </c>
      <c r="K203" s="27">
        <f>J203*100/E203</f>
        <v>96.915732040012145</v>
      </c>
      <c r="L203" s="29">
        <f>J203*100/D203</f>
        <v>72.631758291685614</v>
      </c>
      <c r="M203" s="29">
        <f>J203*100/C203</f>
        <v>72.631758291685614</v>
      </c>
    </row>
    <row r="204" spans="1:13" x14ac:dyDescent="0.25">
      <c r="A204" s="24" t="s">
        <v>23</v>
      </c>
      <c r="B204" s="30" t="s">
        <v>24</v>
      </c>
      <c r="C204" s="31">
        <v>16</v>
      </c>
      <c r="D204" s="45">
        <f t="shared" ref="D204:D213" si="57">F204+G204+H204+I204</f>
        <v>16</v>
      </c>
      <c r="E204" s="26">
        <f t="shared" si="56"/>
        <v>16</v>
      </c>
      <c r="F204" s="45"/>
      <c r="G204" s="45">
        <v>16</v>
      </c>
      <c r="H204" s="32"/>
      <c r="I204" s="32"/>
      <c r="J204" s="29">
        <v>0</v>
      </c>
      <c r="K204" s="27">
        <f>J204*100/E204</f>
        <v>0</v>
      </c>
      <c r="L204" s="29">
        <f>J204*100/D204</f>
        <v>0</v>
      </c>
      <c r="M204" s="29">
        <f>J204*100/C204</f>
        <v>0</v>
      </c>
    </row>
    <row r="205" spans="1:13" x14ac:dyDescent="0.25">
      <c r="A205" s="24" t="s">
        <v>25</v>
      </c>
      <c r="B205" s="30" t="s">
        <v>26</v>
      </c>
      <c r="C205" s="31">
        <v>256.89999999999998</v>
      </c>
      <c r="D205" s="45">
        <f t="shared" si="57"/>
        <v>256.89999999999998</v>
      </c>
      <c r="E205" s="26">
        <f t="shared" si="56"/>
        <v>108.5</v>
      </c>
      <c r="F205" s="45">
        <v>30</v>
      </c>
      <c r="G205" s="45">
        <v>7.7</v>
      </c>
      <c r="H205" s="32">
        <v>70.8</v>
      </c>
      <c r="I205" s="32">
        <v>148.4</v>
      </c>
      <c r="J205" s="29">
        <v>69.900000000000006</v>
      </c>
      <c r="K205" s="27">
        <f>J205*100/E205</f>
        <v>64.423963133640555</v>
      </c>
      <c r="L205" s="29">
        <f>J205*100/D205</f>
        <v>27.20903075126509</v>
      </c>
      <c r="M205" s="29">
        <f>J205*100/C205</f>
        <v>27.20903075126509</v>
      </c>
    </row>
    <row r="206" spans="1:13" x14ac:dyDescent="0.25">
      <c r="A206" s="24" t="s">
        <v>27</v>
      </c>
      <c r="B206" s="30" t="s">
        <v>28</v>
      </c>
      <c r="C206" s="31">
        <v>19</v>
      </c>
      <c r="D206" s="45">
        <f t="shared" si="57"/>
        <v>19</v>
      </c>
      <c r="E206" s="26">
        <f t="shared" si="56"/>
        <v>8</v>
      </c>
      <c r="F206" s="45">
        <v>2</v>
      </c>
      <c r="G206" s="45">
        <v>2</v>
      </c>
      <c r="H206" s="32">
        <v>4</v>
      </c>
      <c r="I206" s="32">
        <v>11</v>
      </c>
      <c r="J206" s="29">
        <v>10</v>
      </c>
      <c r="K206" s="27">
        <f>J206*100/E206</f>
        <v>125</v>
      </c>
      <c r="L206" s="29">
        <f>J206*100/D206</f>
        <v>52.631578947368418</v>
      </c>
      <c r="M206" s="29">
        <f>J206*100/C206</f>
        <v>52.631578947368418</v>
      </c>
    </row>
    <row r="207" spans="1:13" ht="36" x14ac:dyDescent="0.25">
      <c r="A207" s="33" t="s">
        <v>31</v>
      </c>
      <c r="B207" s="30" t="s">
        <v>32</v>
      </c>
      <c r="C207" s="31">
        <v>135.1</v>
      </c>
      <c r="D207" s="45">
        <f t="shared" si="57"/>
        <v>135.1</v>
      </c>
      <c r="E207" s="26">
        <f t="shared" si="56"/>
        <v>93.1</v>
      </c>
      <c r="F207" s="45">
        <v>25.5</v>
      </c>
      <c r="G207" s="45">
        <v>33.799999999999997</v>
      </c>
      <c r="H207" s="32">
        <v>33.799999999999997</v>
      </c>
      <c r="I207" s="32">
        <v>42</v>
      </c>
      <c r="J207" s="29">
        <v>98.4</v>
      </c>
      <c r="K207" s="27">
        <f>J207*100/E207</f>
        <v>105.69280343716434</v>
      </c>
      <c r="L207" s="29">
        <f>J207*100/D207</f>
        <v>72.834937083641748</v>
      </c>
      <c r="M207" s="29">
        <f>J207*100/C207</f>
        <v>72.834937083641748</v>
      </c>
    </row>
    <row r="208" spans="1:13" ht="24" x14ac:dyDescent="0.25">
      <c r="A208" s="34" t="s">
        <v>37</v>
      </c>
      <c r="B208" s="30" t="s">
        <v>38</v>
      </c>
      <c r="C208" s="31"/>
      <c r="D208" s="45">
        <f t="shared" si="57"/>
        <v>0</v>
      </c>
      <c r="E208" s="26">
        <f t="shared" si="56"/>
        <v>0</v>
      </c>
      <c r="F208" s="45"/>
      <c r="G208" s="45"/>
      <c r="H208" s="32"/>
      <c r="I208" s="32"/>
      <c r="J208" s="29"/>
      <c r="K208" s="27"/>
      <c r="L208" s="29"/>
      <c r="M208" s="29" t="e">
        <f>J208*100/C208</f>
        <v>#DIV/0!</v>
      </c>
    </row>
    <row r="209" spans="1:13" x14ac:dyDescent="0.25">
      <c r="A209" s="34" t="s">
        <v>41</v>
      </c>
      <c r="B209" s="30" t="s">
        <v>42</v>
      </c>
      <c r="C209" s="31"/>
      <c r="D209" s="45">
        <f t="shared" si="57"/>
        <v>0</v>
      </c>
      <c r="E209" s="26">
        <f t="shared" si="56"/>
        <v>0</v>
      </c>
      <c r="F209" s="45"/>
      <c r="G209" s="45"/>
      <c r="H209" s="32"/>
      <c r="I209" s="32"/>
      <c r="J209" s="29"/>
      <c r="K209" s="27"/>
      <c r="L209" s="29"/>
      <c r="M209" s="29" t="e">
        <f>J209*100/C209</f>
        <v>#DIV/0!</v>
      </c>
    </row>
    <row r="210" spans="1:13" x14ac:dyDescent="0.25">
      <c r="A210" s="58" t="s">
        <v>43</v>
      </c>
      <c r="B210" s="38" t="s">
        <v>44</v>
      </c>
      <c r="C210" s="31"/>
      <c r="D210" s="45">
        <f t="shared" si="57"/>
        <v>0</v>
      </c>
      <c r="E210" s="26">
        <f t="shared" si="56"/>
        <v>0</v>
      </c>
      <c r="F210" s="45"/>
      <c r="G210" s="45"/>
      <c r="H210" s="32"/>
      <c r="I210" s="32"/>
      <c r="J210" s="29"/>
      <c r="K210" s="27"/>
      <c r="L210" s="29"/>
      <c r="M210" s="29"/>
    </row>
    <row r="211" spans="1:13" x14ac:dyDescent="0.25">
      <c r="A211" s="39" t="s">
        <v>45</v>
      </c>
      <c r="B211" s="40" t="s">
        <v>46</v>
      </c>
      <c r="C211" s="41">
        <f t="shared" ref="C211:I211" si="58">C212</f>
        <v>25685.5</v>
      </c>
      <c r="D211" s="41">
        <f>D212+D213</f>
        <v>37309.300000000003</v>
      </c>
      <c r="E211" s="41">
        <f t="shared" si="58"/>
        <v>31427</v>
      </c>
      <c r="F211" s="41">
        <f t="shared" si="58"/>
        <v>14870.8</v>
      </c>
      <c r="G211" s="41">
        <f t="shared" si="58"/>
        <v>7727.7</v>
      </c>
      <c r="H211" s="41">
        <f t="shared" si="58"/>
        <v>8828.5</v>
      </c>
      <c r="I211" s="41">
        <f t="shared" si="58"/>
        <v>5882</v>
      </c>
      <c r="J211" s="41">
        <f>J212+J213</f>
        <v>28579.8</v>
      </c>
      <c r="K211" s="42">
        <f>J211*100/E211</f>
        <v>90.940274286441593</v>
      </c>
      <c r="L211" s="23">
        <f>J211*100/D211</f>
        <v>76.602348476117214</v>
      </c>
      <c r="M211" s="23">
        <f>J211*100/C211</f>
        <v>111.26822526328084</v>
      </c>
    </row>
    <row r="212" spans="1:13" ht="36" x14ac:dyDescent="0.25">
      <c r="A212" s="43" t="s">
        <v>47</v>
      </c>
      <c r="B212" s="44" t="s">
        <v>48</v>
      </c>
      <c r="C212" s="45">
        <v>25685.5</v>
      </c>
      <c r="D212" s="45">
        <f t="shared" si="57"/>
        <v>37309</v>
      </c>
      <c r="E212" s="26">
        <f t="shared" si="56"/>
        <v>31427</v>
      </c>
      <c r="F212" s="45">
        <v>14870.8</v>
      </c>
      <c r="G212" s="45">
        <v>7727.7</v>
      </c>
      <c r="H212" s="32">
        <v>8828.5</v>
      </c>
      <c r="I212" s="32">
        <v>5882</v>
      </c>
      <c r="J212" s="29">
        <v>28579.5</v>
      </c>
      <c r="K212" s="27">
        <f>J212*100/E212</f>
        <v>90.939319693257389</v>
      </c>
      <c r="L212" s="29">
        <f>J212*100/D212</f>
        <v>76.602160336647998</v>
      </c>
      <c r="M212" s="29">
        <f>J212*100/C212</f>
        <v>111.267057289132</v>
      </c>
    </row>
    <row r="213" spans="1:13" x14ac:dyDescent="0.25">
      <c r="A213" s="43" t="s">
        <v>49</v>
      </c>
      <c r="B213" s="46" t="s">
        <v>50</v>
      </c>
      <c r="C213" s="45"/>
      <c r="D213" s="45">
        <f t="shared" si="57"/>
        <v>0.3</v>
      </c>
      <c r="E213" s="26">
        <f t="shared" si="56"/>
        <v>0.3</v>
      </c>
      <c r="F213" s="45"/>
      <c r="G213" s="45">
        <v>0.3</v>
      </c>
      <c r="H213" s="32"/>
      <c r="I213" s="32"/>
      <c r="J213" s="29">
        <v>0.3</v>
      </c>
      <c r="K213" s="27"/>
      <c r="L213" s="29"/>
      <c r="M213" s="29"/>
    </row>
    <row r="214" spans="1:13" x14ac:dyDescent="0.25">
      <c r="A214" s="36"/>
      <c r="B214" s="50" t="s">
        <v>55</v>
      </c>
      <c r="C214" s="23">
        <f t="shared" ref="C214:I214" si="59">C211+C201</f>
        <v>30954.1</v>
      </c>
      <c r="D214" s="23">
        <f t="shared" si="59"/>
        <v>42577.9</v>
      </c>
      <c r="E214" s="23">
        <f t="shared" si="59"/>
        <v>35196.800000000003</v>
      </c>
      <c r="F214" s="22">
        <f t="shared" si="59"/>
        <v>16053</v>
      </c>
      <c r="G214" s="22">
        <f t="shared" si="59"/>
        <v>8997</v>
      </c>
      <c r="H214" s="22">
        <f t="shared" si="59"/>
        <v>10146.799999999999</v>
      </c>
      <c r="I214" s="22">
        <f t="shared" si="59"/>
        <v>7380.8</v>
      </c>
      <c r="J214" s="23">
        <f>J211+J201</f>
        <v>32287.3</v>
      </c>
      <c r="K214" s="42">
        <f>J214*100/E214</f>
        <v>91.733623511228288</v>
      </c>
      <c r="L214" s="23">
        <f>J214*100/D214</f>
        <v>75.831123658047957</v>
      </c>
      <c r="M214" s="23">
        <f>J214*100/C214</f>
        <v>104.30702233306735</v>
      </c>
    </row>
    <row r="215" spans="1:13" x14ac:dyDescent="0.25">
      <c r="A215" s="51"/>
      <c r="B215" s="52"/>
      <c r="C215" s="52"/>
      <c r="D215" s="52"/>
      <c r="E215" s="52"/>
      <c r="F215" s="52"/>
      <c r="G215" s="52"/>
      <c r="H215" s="52"/>
      <c r="I215" s="52"/>
      <c r="J215" s="52"/>
      <c r="K215" s="42"/>
      <c r="L215" s="23"/>
      <c r="M215" s="29"/>
    </row>
    <row r="216" spans="1:13" x14ac:dyDescent="0.25">
      <c r="A216" s="18" t="s">
        <v>71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</row>
    <row r="217" spans="1:13" x14ac:dyDescent="0.25">
      <c r="A217" s="39" t="s">
        <v>17</v>
      </c>
      <c r="B217" s="54" t="s">
        <v>18</v>
      </c>
      <c r="C217" s="42">
        <f t="shared" ref="C217:I217" si="60">C218+C220+C221+C222+C224+C225+C227+C229+C226+C223+C230+C228+C219</f>
        <v>1078319.6000000001</v>
      </c>
      <c r="D217" s="42">
        <f t="shared" si="60"/>
        <v>1125360.1000000001</v>
      </c>
      <c r="E217" s="42">
        <f t="shared" si="60"/>
        <v>817266.9</v>
      </c>
      <c r="F217" s="42">
        <f t="shared" si="60"/>
        <v>276134</v>
      </c>
      <c r="G217" s="42">
        <f t="shared" si="60"/>
        <v>279440.2</v>
      </c>
      <c r="H217" s="42">
        <f t="shared" si="60"/>
        <v>261692.69999999998</v>
      </c>
      <c r="I217" s="42">
        <f t="shared" si="60"/>
        <v>308093.2</v>
      </c>
      <c r="J217" s="42">
        <f>J218+J220+J221+J222+J224+J225+J227+J229+J226+J223+J230+J228+J219</f>
        <v>828761.89999999991</v>
      </c>
      <c r="K217" s="42">
        <f>J217*100/E217</f>
        <v>101.40651725892727</v>
      </c>
      <c r="L217" s="23">
        <f>J217*100/D217</f>
        <v>73.64415176973128</v>
      </c>
      <c r="M217" s="23">
        <f>J217*100/C217</f>
        <v>76.856796445135544</v>
      </c>
    </row>
    <row r="218" spans="1:13" x14ac:dyDescent="0.25">
      <c r="A218" s="36" t="s">
        <v>19</v>
      </c>
      <c r="B218" s="30" t="s">
        <v>20</v>
      </c>
      <c r="C218" s="29">
        <f>C9+C31+C47+C65+C82+C100+C116+C133+C151+C168+C185+C202</f>
        <v>788632.3</v>
      </c>
      <c r="D218" s="45">
        <f>F218+G218+H218+I218</f>
        <v>783477.3</v>
      </c>
      <c r="E218" s="26">
        <f t="shared" ref="E218:E234" si="61">F218+G218+H218</f>
        <v>565524.30000000005</v>
      </c>
      <c r="F218" s="29">
        <f>F9+F31+F47+F65+F82+F100+F116+F133+F151+F168+F185+F202</f>
        <v>194197.7</v>
      </c>
      <c r="G218" s="29">
        <f>G9+G31+G47+G65+G82+G100+G116+G133+G151+G168+G185+G202</f>
        <v>191990.60000000003</v>
      </c>
      <c r="H218" s="29">
        <f>H9+H31+H47+H65+H82+H100+H116+H133+H151+H168+H185+H202</f>
        <v>179336</v>
      </c>
      <c r="I218" s="29">
        <f>I9+I31+I47+I65+I82+I100+I116+I133+I151+I168+I185+I202</f>
        <v>217953</v>
      </c>
      <c r="J218" s="29">
        <f>J9+J31+J47+J65+J82+J100+J116+J133+J151+J168+J185+J202</f>
        <v>572530.9</v>
      </c>
      <c r="K218" s="27">
        <f>J218*100/E218</f>
        <v>101.23895648692725</v>
      </c>
      <c r="L218" s="29">
        <f>J218*100/D218</f>
        <v>73.075620697625823</v>
      </c>
      <c r="M218" s="29">
        <f>J218*100/C218</f>
        <v>72.597952176191612</v>
      </c>
    </row>
    <row r="219" spans="1:13" ht="36" x14ac:dyDescent="0.25">
      <c r="A219" s="24" t="s">
        <v>21</v>
      </c>
      <c r="B219" s="30" t="s">
        <v>22</v>
      </c>
      <c r="C219" s="29">
        <f>C10+C32+C48+C66+C83+C101+C118+C134+C152+C169+C186+C203</f>
        <v>48723.299999999996</v>
      </c>
      <c r="D219" s="45">
        <f t="shared" ref="D219:D232" si="62">F219+G219+H219+I219</f>
        <v>48423.30000000001</v>
      </c>
      <c r="E219" s="26">
        <f t="shared" si="61"/>
        <v>35899.400000000009</v>
      </c>
      <c r="F219" s="29">
        <f>F10+F32+F48+F66+F83+F101+F118+F134+F152+F169+F186+F203</f>
        <v>11838.600000000002</v>
      </c>
      <c r="G219" s="29">
        <f>G10+G32+G48+G66+G83+G101+G118+G134+G152+G169+G186+G203</f>
        <v>11797.500000000002</v>
      </c>
      <c r="H219" s="29">
        <f>H10+H32+H48+H66+H83+H101+H118+H134+H152+H169+H186+H203</f>
        <v>12263.300000000001</v>
      </c>
      <c r="I219" s="29">
        <f>I10+I32+I48+I66+I83+I101+I118+I134+I152+I169+I186+I203</f>
        <v>12523.900000000003</v>
      </c>
      <c r="J219" s="29">
        <f>J10+J32+J48+J66+J83+J101+J118+J134+J152+J169+J186+J203</f>
        <v>35388.800000000003</v>
      </c>
      <c r="K219" s="27">
        <f>J219*100/E219</f>
        <v>98.577692106274739</v>
      </c>
      <c r="L219" s="29">
        <f>J219*100/D219</f>
        <v>73.082173251306699</v>
      </c>
      <c r="M219" s="29">
        <f>J219*100/C219</f>
        <v>72.632190348354911</v>
      </c>
    </row>
    <row r="220" spans="1:13" x14ac:dyDescent="0.25">
      <c r="A220" s="24" t="s">
        <v>23</v>
      </c>
      <c r="B220" s="30" t="s">
        <v>24</v>
      </c>
      <c r="C220" s="29">
        <f>C11+C49+C67+C204+C153+C117+C187+C84+C102+C170+C119</f>
        <v>44696</v>
      </c>
      <c r="D220" s="45">
        <f>F220+G220+H220+I220</f>
        <v>45215.9</v>
      </c>
      <c r="E220" s="26">
        <f t="shared" si="61"/>
        <v>35602.300000000003</v>
      </c>
      <c r="F220" s="29">
        <f>F11+F49+F67+F204+F153+F187+F84+F102+F170+F119</f>
        <v>13200</v>
      </c>
      <c r="G220" s="29">
        <f>G11+G49+G67+G204+G153+G187+G84+G102+G170+G119</f>
        <v>13114.800000000001</v>
      </c>
      <c r="H220" s="29">
        <f>H11+H49+H67+H204+H153+H187+H84+H102+H170+H119</f>
        <v>9287.5</v>
      </c>
      <c r="I220" s="29">
        <f>I11+I49+I67+I204+I153+I187+I84+I102+I170+I119</f>
        <v>9613.6</v>
      </c>
      <c r="J220" s="29">
        <f>J11+J49+J67+J204+J153+J117+J187+J84+J102+J170+J119</f>
        <v>38821.599999999991</v>
      </c>
      <c r="K220" s="27">
        <f>J220*100/E220</f>
        <v>109.04239332852087</v>
      </c>
      <c r="L220" s="29">
        <f>J220*100/D220</f>
        <v>85.858293211016459</v>
      </c>
      <c r="M220" s="29">
        <f>J220*100/C220</f>
        <v>86.856989439770871</v>
      </c>
    </row>
    <row r="221" spans="1:13" x14ac:dyDescent="0.25">
      <c r="A221" s="24" t="s">
        <v>25</v>
      </c>
      <c r="B221" s="30" t="s">
        <v>26</v>
      </c>
      <c r="C221" s="29">
        <f>C12+C33+C50+C68+C85+C103+C120+C135+C154+C171+C188+C205</f>
        <v>31354.900000000005</v>
      </c>
      <c r="D221" s="45">
        <f t="shared" si="62"/>
        <v>30704.200000000004</v>
      </c>
      <c r="E221" s="26">
        <f t="shared" si="61"/>
        <v>13828.4</v>
      </c>
      <c r="F221" s="29">
        <f>F12+F33+F50+F68+F85+F103+F120+F135+F154+F171+F188+F205</f>
        <v>4406.2</v>
      </c>
      <c r="G221" s="29">
        <f>G12+G33+G50+G68+G85+G103+G120+G135+G154+G171+G188+G205</f>
        <v>4022.2</v>
      </c>
      <c r="H221" s="29">
        <f>H12+H33+H50+H68+H85+H103+H120+H135+H154+H171+H188+H205</f>
        <v>5400</v>
      </c>
      <c r="I221" s="29">
        <f>I12+I33+I50+I68+I85+I103+I120+I135+I154+I171+I188+I205</f>
        <v>16875.800000000003</v>
      </c>
      <c r="J221" s="29">
        <f>J12+J33+J50+J68+J85+J103+J120+J135+J154+J171+J188+J205</f>
        <v>11572.2</v>
      </c>
      <c r="K221" s="27">
        <f>J221*100/E221</f>
        <v>83.684301871510812</v>
      </c>
      <c r="L221" s="29">
        <f>J221*100/D221</f>
        <v>37.689306348968543</v>
      </c>
      <c r="M221" s="29">
        <f>J221*100/C221</f>
        <v>36.907150078616098</v>
      </c>
    </row>
    <row r="222" spans="1:13" x14ac:dyDescent="0.25">
      <c r="A222" s="24" t="s">
        <v>27</v>
      </c>
      <c r="B222" s="30" t="s">
        <v>28</v>
      </c>
      <c r="C222" s="29">
        <f>C13+C34+C51+C69+C86+C104+C121+C136+C155+C172+C189+C206</f>
        <v>3813.7</v>
      </c>
      <c r="D222" s="45">
        <f t="shared" si="62"/>
        <v>3936</v>
      </c>
      <c r="E222" s="26">
        <f t="shared" si="61"/>
        <v>3068.2999999999997</v>
      </c>
      <c r="F222" s="29">
        <f>F13+F34+F69+F86+F104+F121+F136+F155+F172+F189+F206+F51</f>
        <v>1198</v>
      </c>
      <c r="G222" s="29">
        <f>G13+G34+G69+G86+G104+G121+G136+G155+G172+G189+G206+G51</f>
        <v>941.2</v>
      </c>
      <c r="H222" s="29">
        <f>H13+H34+H69+H86+H104+H121+H136+H155+H172+H189+H206+H51</f>
        <v>929.09999999999991</v>
      </c>
      <c r="I222" s="29">
        <f t="shared" ref="I222:J222" si="63">I13+I34+I69+I86+I104+I121+I136+I155+I172+I189+I206+I51</f>
        <v>867.7</v>
      </c>
      <c r="J222" s="29">
        <f t="shared" si="63"/>
        <v>3027.2999999999993</v>
      </c>
      <c r="K222" s="27">
        <f>J222*100/E222</f>
        <v>98.663755173874776</v>
      </c>
      <c r="L222" s="29">
        <f>J222*100/D222</f>
        <v>76.913109756097541</v>
      </c>
      <c r="M222" s="29">
        <f>J222*100/C222</f>
        <v>79.379605107900446</v>
      </c>
    </row>
    <row r="223" spans="1:13" ht="36" x14ac:dyDescent="0.25">
      <c r="A223" s="24" t="s">
        <v>29</v>
      </c>
      <c r="B223" s="30" t="s">
        <v>30</v>
      </c>
      <c r="C223" s="70">
        <f>C14</f>
        <v>0</v>
      </c>
      <c r="D223" s="45">
        <f t="shared" si="62"/>
        <v>0</v>
      </c>
      <c r="E223" s="26">
        <f t="shared" si="61"/>
        <v>0</v>
      </c>
      <c r="F223" s="70">
        <f>F14</f>
        <v>0</v>
      </c>
      <c r="G223" s="70">
        <f>G14</f>
        <v>0</v>
      </c>
      <c r="H223" s="70">
        <f>H14</f>
        <v>0</v>
      </c>
      <c r="I223" s="70">
        <f>I14</f>
        <v>0</v>
      </c>
      <c r="J223" s="70">
        <f>J14</f>
        <v>0</v>
      </c>
      <c r="K223" s="27"/>
      <c r="L223" s="29"/>
      <c r="M223" s="29" t="e">
        <f>J223*100/C223</f>
        <v>#DIV/0!</v>
      </c>
    </row>
    <row r="224" spans="1:13" ht="36" x14ac:dyDescent="0.25">
      <c r="A224" s="33" t="s">
        <v>31</v>
      </c>
      <c r="B224" s="30" t="s">
        <v>32</v>
      </c>
      <c r="C224" s="29">
        <f>C15+C35+C52+C70+C87+C105+C122+C137+C156+C173+C190+C207</f>
        <v>122481.50000000001</v>
      </c>
      <c r="D224" s="45">
        <f t="shared" si="62"/>
        <v>120779.69999999998</v>
      </c>
      <c r="E224" s="26">
        <f t="shared" si="61"/>
        <v>90123.099999999977</v>
      </c>
      <c r="F224" s="29">
        <f>F15+F35+F52+F70+F87+F105+F122+F137+F156+F173+F190+F207</f>
        <v>27257.299999999996</v>
      </c>
      <c r="G224" s="29">
        <f>G15+G35+G52+G70+G87+G105+G122+G137+G156+G173+G190+G207</f>
        <v>29496.499999999996</v>
      </c>
      <c r="H224" s="29">
        <f>H15+H35+H52+H70+H87+H105+H122+H137+H156+H173+H190+H207</f>
        <v>33369.299999999996</v>
      </c>
      <c r="I224" s="29">
        <f>I15+I35+I52+I70+I87+I105+I122+I137+I156+I173+I190+I207</f>
        <v>30656.600000000002</v>
      </c>
      <c r="J224" s="29">
        <f>J15+J35+J52+J70+J87+J105+J122+J137+J156+J173+J190+J207</f>
        <v>92226.599999999977</v>
      </c>
      <c r="K224" s="27">
        <f>J224*100/E224</f>
        <v>102.33402978814533</v>
      </c>
      <c r="L224" s="29">
        <f>J224*100/D224</f>
        <v>76.359355090300767</v>
      </c>
      <c r="M224" s="29">
        <f>J224*100/C224</f>
        <v>75.298392002057426</v>
      </c>
    </row>
    <row r="225" spans="1:13" ht="24" x14ac:dyDescent="0.25">
      <c r="A225" s="34" t="s">
        <v>33</v>
      </c>
      <c r="B225" s="30" t="s">
        <v>34</v>
      </c>
      <c r="C225" s="29">
        <f>C16</f>
        <v>9593.1</v>
      </c>
      <c r="D225" s="45">
        <f t="shared" si="62"/>
        <v>30180.9</v>
      </c>
      <c r="E225" s="26">
        <f t="shared" si="61"/>
        <v>24052.2</v>
      </c>
      <c r="F225" s="29">
        <f>F16</f>
        <v>10874.1</v>
      </c>
      <c r="G225" s="29">
        <f>G16</f>
        <v>6534.3</v>
      </c>
      <c r="H225" s="29">
        <f>H16</f>
        <v>6643.8</v>
      </c>
      <c r="I225" s="29">
        <f>I16</f>
        <v>6128.7</v>
      </c>
      <c r="J225" s="29">
        <f>J16</f>
        <v>24058.400000000001</v>
      </c>
      <c r="K225" s="27">
        <f>J225*100/E225</f>
        <v>100.02577726777592</v>
      </c>
      <c r="L225" s="29">
        <f>J225*100/D225</f>
        <v>79.713991299132886</v>
      </c>
      <c r="M225" s="29">
        <f>J225*100/C225</f>
        <v>250.78858763069289</v>
      </c>
    </row>
    <row r="226" spans="1:13" ht="24" x14ac:dyDescent="0.25">
      <c r="A226" s="35" t="s">
        <v>35</v>
      </c>
      <c r="B226" s="30" t="s">
        <v>36</v>
      </c>
      <c r="C226" s="71">
        <f>C17+C88+C53+C106+C138+C157+C174+C191+C123+C71+C36</f>
        <v>15967.8</v>
      </c>
      <c r="D226" s="45">
        <f t="shared" si="62"/>
        <v>17256.3</v>
      </c>
      <c r="E226" s="26">
        <f t="shared" si="61"/>
        <v>11017.699999999999</v>
      </c>
      <c r="F226" s="71">
        <f t="shared" ref="F226:I226" si="64">F17+F88+F53+F106+F138+F157+F174+F191+F123+F71+F36</f>
        <v>5313.2</v>
      </c>
      <c r="G226" s="71">
        <f t="shared" si="64"/>
        <v>3397.1000000000004</v>
      </c>
      <c r="H226" s="71">
        <f t="shared" si="64"/>
        <v>2307.4</v>
      </c>
      <c r="I226" s="71">
        <f t="shared" si="64"/>
        <v>6238.6</v>
      </c>
      <c r="J226" s="71">
        <f>J17+J88+J53+J106+J138+J157+J174+J191+J123+J71+J36</f>
        <v>11435</v>
      </c>
      <c r="K226" s="27">
        <f>J226*100/E226</f>
        <v>103.78754186445448</v>
      </c>
      <c r="L226" s="29">
        <f>J226*100/D226</f>
        <v>66.265653703285182</v>
      </c>
      <c r="M226" s="29">
        <f>J226*100/C226</f>
        <v>71.612870902691668</v>
      </c>
    </row>
    <row r="227" spans="1:13" ht="24" x14ac:dyDescent="0.25">
      <c r="A227" s="35" t="s">
        <v>37</v>
      </c>
      <c r="B227" s="30" t="s">
        <v>38</v>
      </c>
      <c r="C227" s="29">
        <f>C18+C37+C54+C72+C89+C124+C158+C175+C192+C208+C139</f>
        <v>13051</v>
      </c>
      <c r="D227" s="45">
        <f>F227+G227+H227+I227</f>
        <v>18483.999999999996</v>
      </c>
      <c r="E227" s="26">
        <f t="shared" si="61"/>
        <v>12006.399999999998</v>
      </c>
      <c r="F227" s="29">
        <f>F18+F37+F54+F72+F89+F107+F124+F158+F175+F192+F208+F139</f>
        <v>4579.0999999999995</v>
      </c>
      <c r="G227" s="29">
        <f>G18+G37+G54+G72+G89+G107+G124+G158+G175+G192+G208+G139</f>
        <v>3025.2</v>
      </c>
      <c r="H227" s="29">
        <f>H18+H37+H54+H72+H89+H107+H124+H158+H175+H192+H208+H139</f>
        <v>4402.0999999999995</v>
      </c>
      <c r="I227" s="29">
        <f>I18+I37+I54+I72+I89+I107+I124+I158+I175+I192+I208+I139</f>
        <v>6477.5999999999995</v>
      </c>
      <c r="J227" s="29">
        <f>J18+J37+J54+J72+J89+J124+J158+J175+J192+J208+J139</f>
        <v>12989.6</v>
      </c>
      <c r="K227" s="27">
        <f>J227*100/E227</f>
        <v>108.18896588486143</v>
      </c>
      <c r="L227" s="29">
        <f>J227*100/D227</f>
        <v>70.274832287383703</v>
      </c>
      <c r="M227" s="29">
        <f>J227*100/C227</f>
        <v>99.529537966439349</v>
      </c>
    </row>
    <row r="228" spans="1:13" x14ac:dyDescent="0.25">
      <c r="A228" s="35" t="s">
        <v>39</v>
      </c>
      <c r="B228" s="30" t="s">
        <v>40</v>
      </c>
      <c r="C228" s="29">
        <f>C19</f>
        <v>6</v>
      </c>
      <c r="D228" s="45">
        <f t="shared" si="62"/>
        <v>11.6</v>
      </c>
      <c r="E228" s="26">
        <f t="shared" si="61"/>
        <v>11.6</v>
      </c>
      <c r="F228" s="29">
        <f>F19</f>
        <v>2.6</v>
      </c>
      <c r="G228" s="29">
        <f>G19</f>
        <v>9</v>
      </c>
      <c r="H228" s="29">
        <f>H19</f>
        <v>0</v>
      </c>
      <c r="I228" s="29">
        <f>I19</f>
        <v>0</v>
      </c>
      <c r="J228" s="29">
        <f>J19</f>
        <v>11.6</v>
      </c>
      <c r="K228" s="27">
        <f>J228*100/E228</f>
        <v>100</v>
      </c>
      <c r="L228" s="29">
        <f>J228*100/D228</f>
        <v>100</v>
      </c>
      <c r="M228" s="29">
        <f>J228*100/C228</f>
        <v>193.33333333333334</v>
      </c>
    </row>
    <row r="229" spans="1:13" x14ac:dyDescent="0.25">
      <c r="A229" s="36" t="s">
        <v>41</v>
      </c>
      <c r="B229" s="30" t="s">
        <v>42</v>
      </c>
      <c r="C229" s="29">
        <f>C20+C193+C209+C73+C140+C55+C159+C90+C176+C107</f>
        <v>0</v>
      </c>
      <c r="D229" s="45">
        <f t="shared" si="62"/>
        <v>26890.9</v>
      </c>
      <c r="E229" s="26">
        <f t="shared" si="61"/>
        <v>26133.200000000001</v>
      </c>
      <c r="F229" s="29">
        <f>F20+F193+F209+F73+F140+F55+F159+F90+F176</f>
        <v>3267.2</v>
      </c>
      <c r="G229" s="29">
        <f>G20+G193+G209+G73+G140+G55+G159+G90+G176</f>
        <v>15111.8</v>
      </c>
      <c r="H229" s="29">
        <f>H20+H193+H209+H73+H140+H55+H159+H90+H176</f>
        <v>7754.2000000000007</v>
      </c>
      <c r="I229" s="29">
        <f>I20+I193+I209+I73+I140+I55+I159+I90+I176</f>
        <v>757.7</v>
      </c>
      <c r="J229" s="29">
        <f>J20+J193+J209+J73+J140+J55+J159+J90+J176+J107+J38</f>
        <v>26523.7</v>
      </c>
      <c r="K229" s="27">
        <f>J229*100/E229</f>
        <v>101.49426782789708</v>
      </c>
      <c r="L229" s="29">
        <f>J229*100/D229</f>
        <v>98.634482296985226</v>
      </c>
      <c r="M229" s="29"/>
    </row>
    <row r="230" spans="1:13" x14ac:dyDescent="0.25">
      <c r="A230" s="37" t="s">
        <v>43</v>
      </c>
      <c r="B230" s="38" t="s">
        <v>44</v>
      </c>
      <c r="C230" s="29">
        <f>C21+C39+C56+C74+C91+C108+C126+C141+C160+C177+C194+C210</f>
        <v>0</v>
      </c>
      <c r="D230" s="45">
        <f t="shared" si="62"/>
        <v>0</v>
      </c>
      <c r="E230" s="26">
        <f t="shared" si="61"/>
        <v>0</v>
      </c>
      <c r="F230" s="29">
        <v>0</v>
      </c>
      <c r="G230" s="29">
        <f>G21+G39+G56+G74+G91+G108+G126+G141+G160+G177+G194+G210</f>
        <v>0</v>
      </c>
      <c r="H230" s="29">
        <f>H21+H39+H56+H74+H91+H108+H126+H141+H160+H177+H194+H210</f>
        <v>0</v>
      </c>
      <c r="I230" s="29">
        <f>I21+I39+I56+I74+I91+I108+I126+I141+I160+I177+I194+I210</f>
        <v>0</v>
      </c>
      <c r="J230" s="29">
        <f>J21+J39+J56+J74+J91+J108+J126+J141+J160+J177+J194+J210</f>
        <v>176.2</v>
      </c>
      <c r="K230" s="27"/>
      <c r="L230" s="29"/>
      <c r="M230" s="29"/>
    </row>
    <row r="231" spans="1:13" x14ac:dyDescent="0.25">
      <c r="A231" s="39" t="s">
        <v>45</v>
      </c>
      <c r="B231" s="40" t="s">
        <v>46</v>
      </c>
      <c r="C231" s="41">
        <f t="shared" ref="C231:I231" si="65">C232+C233+C234</f>
        <v>3294234.4</v>
      </c>
      <c r="D231" s="41">
        <f>D232+D233+D234+0.1</f>
        <v>3540969.8000000003</v>
      </c>
      <c r="E231" s="41">
        <f t="shared" si="65"/>
        <v>2763133.1</v>
      </c>
      <c r="F231" s="41">
        <f t="shared" si="65"/>
        <v>1064823.0999999999</v>
      </c>
      <c r="G231" s="41">
        <f>G232+G233+G234</f>
        <v>894119.6</v>
      </c>
      <c r="H231" s="41">
        <f t="shared" si="65"/>
        <v>804190.4</v>
      </c>
      <c r="I231" s="41">
        <f t="shared" si="65"/>
        <v>777836.6</v>
      </c>
      <c r="J231" s="41">
        <f>J232+J233+J234</f>
        <v>2568781.2000000002</v>
      </c>
      <c r="K231" s="42">
        <f>J231*100/E231</f>
        <v>92.966249074284562</v>
      </c>
      <c r="L231" s="23">
        <f>J231*100/D231</f>
        <v>72.5445667455283</v>
      </c>
      <c r="M231" s="23">
        <f>J231*100/C231</f>
        <v>77.978094090693745</v>
      </c>
    </row>
    <row r="232" spans="1:13" ht="36" x14ac:dyDescent="0.25">
      <c r="A232" s="43" t="s">
        <v>47</v>
      </c>
      <c r="B232" s="44" t="s">
        <v>48</v>
      </c>
      <c r="C232" s="32">
        <f>C23-26864.5</f>
        <v>3294234.4</v>
      </c>
      <c r="D232" s="45">
        <f t="shared" si="62"/>
        <v>3516016.3</v>
      </c>
      <c r="E232" s="26">
        <f t="shared" si="61"/>
        <v>2740679.6999999997</v>
      </c>
      <c r="F232" s="32">
        <f>F23-73</f>
        <v>1065719.3999999999</v>
      </c>
      <c r="G232" s="32">
        <f>G23-5372.9</f>
        <v>892060.79999999993</v>
      </c>
      <c r="H232" s="32">
        <f>H23-10745.8</f>
        <v>782899.5</v>
      </c>
      <c r="I232" s="32">
        <f>I23-11092.5</f>
        <v>775336.6</v>
      </c>
      <c r="J232" s="32">
        <f>J23-18110.8</f>
        <v>2543474.6</v>
      </c>
      <c r="K232" s="27">
        <f>J232*100/E232</f>
        <v>92.804518528743074</v>
      </c>
      <c r="L232" s="29">
        <f>J232*100/D232</f>
        <v>72.339670325191619</v>
      </c>
      <c r="M232" s="29">
        <f>J232*100/C232</f>
        <v>77.209885246781468</v>
      </c>
    </row>
    <row r="233" spans="1:13" x14ac:dyDescent="0.25">
      <c r="A233" s="43" t="s">
        <v>49</v>
      </c>
      <c r="B233" s="46" t="s">
        <v>50</v>
      </c>
      <c r="C233" s="29">
        <f>C24+C95+C180+C77</f>
        <v>0</v>
      </c>
      <c r="D233" s="45">
        <f>F233+G233+H233+I233</f>
        <v>28818.2</v>
      </c>
      <c r="E233" s="26">
        <f t="shared" si="61"/>
        <v>26318.2</v>
      </c>
      <c r="F233" s="29">
        <f>F24+F95+F163+F197+F213+F146+F77</f>
        <v>2949.4</v>
      </c>
      <c r="G233" s="29">
        <f>G24+G95+G163+G197+G213+G146+G77</f>
        <v>2058.8000000000002</v>
      </c>
      <c r="H233" s="29">
        <f>H24+H95+H163+H197+H213+H146+H77</f>
        <v>21310</v>
      </c>
      <c r="I233" s="29">
        <f>I24+I95+I163+I197+I213+I146+I77</f>
        <v>2500</v>
      </c>
      <c r="J233" s="29">
        <f>J24+J95+J163+J197+J213+J146+J77</f>
        <v>29171.399999999998</v>
      </c>
      <c r="K233" s="27">
        <f>J233*100/E233</f>
        <v>110.84116694910746</v>
      </c>
      <c r="L233" s="29">
        <f>J233*100/D233</f>
        <v>101.22561436869756</v>
      </c>
      <c r="M233" s="29"/>
    </row>
    <row r="234" spans="1:13" ht="48" x14ac:dyDescent="0.25">
      <c r="A234" s="43" t="s">
        <v>53</v>
      </c>
      <c r="B234" s="48" t="s">
        <v>54</v>
      </c>
      <c r="C234" s="29">
        <f>C26</f>
        <v>0</v>
      </c>
      <c r="D234" s="45">
        <f>F234+G234+H234+I234</f>
        <v>-3864.7999999999997</v>
      </c>
      <c r="E234" s="26">
        <f t="shared" si="61"/>
        <v>-3864.7999999999997</v>
      </c>
      <c r="F234" s="29">
        <f>F26+28</f>
        <v>-3845.7</v>
      </c>
      <c r="G234" s="29">
        <f>G26</f>
        <v>0</v>
      </c>
      <c r="H234" s="29">
        <f>H26</f>
        <v>-19.100000000000001</v>
      </c>
      <c r="I234" s="29">
        <f>I26</f>
        <v>0</v>
      </c>
      <c r="J234" s="29">
        <f>J26+28</f>
        <v>-3864.8</v>
      </c>
      <c r="K234" s="27">
        <f>J234*100/E234</f>
        <v>100</v>
      </c>
      <c r="L234" s="29">
        <f>J234*100/D234</f>
        <v>100</v>
      </c>
      <c r="M234" s="29"/>
    </row>
    <row r="235" spans="1:13" x14ac:dyDescent="0.25">
      <c r="A235" s="36"/>
      <c r="B235" s="50" t="s">
        <v>55</v>
      </c>
      <c r="C235" s="23">
        <f t="shared" ref="C235:J235" si="66">C231+C217</f>
        <v>4372554</v>
      </c>
      <c r="D235" s="23">
        <f t="shared" si="66"/>
        <v>4666329.9000000004</v>
      </c>
      <c r="E235" s="23">
        <f t="shared" si="66"/>
        <v>3580400</v>
      </c>
      <c r="F235" s="23">
        <f t="shared" si="66"/>
        <v>1340957.0999999999</v>
      </c>
      <c r="G235" s="23">
        <f t="shared" si="66"/>
        <v>1173559.8</v>
      </c>
      <c r="H235" s="23">
        <f t="shared" si="66"/>
        <v>1065883.1000000001</v>
      </c>
      <c r="I235" s="23">
        <f t="shared" si="66"/>
        <v>1085929.8</v>
      </c>
      <c r="J235" s="23">
        <f t="shared" si="66"/>
        <v>3397543.1</v>
      </c>
      <c r="K235" s="42">
        <f>J235*100/E235</f>
        <v>94.892835995978103</v>
      </c>
      <c r="L235" s="23">
        <f>J235*100/D235</f>
        <v>72.809749263548639</v>
      </c>
      <c r="M235" s="23">
        <f>J235*100/C235</f>
        <v>77.701569837673816</v>
      </c>
    </row>
  </sheetData>
  <mergeCells count="38">
    <mergeCell ref="A200:M200"/>
    <mergeCell ref="A215:J215"/>
    <mergeCell ref="A216:M216"/>
    <mergeCell ref="A149:M149"/>
    <mergeCell ref="A165:J165"/>
    <mergeCell ref="A166:M166"/>
    <mergeCell ref="A182:J182"/>
    <mergeCell ref="A183:M183"/>
    <mergeCell ref="A199:J199"/>
    <mergeCell ref="A98:M98"/>
    <mergeCell ref="A113:J113"/>
    <mergeCell ref="A114:M114"/>
    <mergeCell ref="A130:J130"/>
    <mergeCell ref="A131:M131"/>
    <mergeCell ref="A148:J148"/>
    <mergeCell ref="A45:M45"/>
    <mergeCell ref="A62:J62"/>
    <mergeCell ref="A63:M63"/>
    <mergeCell ref="A79:J79"/>
    <mergeCell ref="A80:M80"/>
    <mergeCell ref="A97:J97"/>
    <mergeCell ref="L4:L6"/>
    <mergeCell ref="M4:M6"/>
    <mergeCell ref="A7:M7"/>
    <mergeCell ref="A28:J28"/>
    <mergeCell ref="A29:M29"/>
    <mergeCell ref="B44:J44"/>
    <mergeCell ref="K4:K6"/>
    <mergeCell ref="A1:M1"/>
    <mergeCell ref="A2:J2"/>
    <mergeCell ref="C4:C6"/>
    <mergeCell ref="D4:D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abSelected="1" workbookViewId="0">
      <selection activeCell="R141" sqref="R141"/>
    </sheetView>
  </sheetViews>
  <sheetFormatPr defaultRowHeight="15" x14ac:dyDescent="0.25"/>
  <cols>
    <col min="2" max="2" width="36.85546875" customWidth="1"/>
    <col min="3" max="3" width="15.140625" customWidth="1"/>
    <col min="4" max="4" width="16.85546875" customWidth="1"/>
    <col min="5" max="5" width="18.85546875" customWidth="1"/>
    <col min="6" max="6" width="16.28515625" customWidth="1"/>
    <col min="7" max="7" width="18.42578125" customWidth="1"/>
    <col min="8" max="8" width="16.85546875" customWidth="1"/>
    <col min="9" max="10" width="0" hidden="1" customWidth="1"/>
    <col min="11" max="11" width="19.5703125" customWidth="1"/>
    <col min="12" max="13" width="0" hidden="1" customWidth="1"/>
    <col min="14" max="14" width="18.28515625" customWidth="1"/>
    <col min="15" max="15" width="20.42578125" customWidth="1"/>
  </cols>
  <sheetData>
    <row r="1" spans="1:15" ht="15.75" x14ac:dyDescent="0.25">
      <c r="A1" s="72" t="s">
        <v>72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5.75" thickBot="1" x14ac:dyDescent="0.3">
      <c r="A2" s="73"/>
      <c r="B2" s="74"/>
      <c r="C2" s="75"/>
      <c r="D2" s="76"/>
      <c r="E2" s="77"/>
      <c r="F2" s="78"/>
      <c r="G2" s="78"/>
      <c r="H2" s="79"/>
      <c r="I2" s="79"/>
      <c r="J2" s="79"/>
      <c r="K2" s="80"/>
      <c r="L2" s="81"/>
      <c r="M2" s="80"/>
      <c r="N2" s="82"/>
      <c r="O2" s="83"/>
    </row>
    <row r="3" spans="1:15" x14ac:dyDescent="0.25">
      <c r="A3" s="84" t="s">
        <v>73</v>
      </c>
      <c r="B3" s="85" t="s">
        <v>74</v>
      </c>
      <c r="C3" s="86" t="s">
        <v>75</v>
      </c>
      <c r="D3" s="86"/>
      <c r="E3" s="86"/>
      <c r="F3" s="87" t="s">
        <v>76</v>
      </c>
      <c r="G3" s="87"/>
      <c r="H3" s="87"/>
      <c r="I3" s="88" t="s">
        <v>77</v>
      </c>
      <c r="J3" s="89"/>
      <c r="K3" s="89"/>
      <c r="L3" s="89"/>
      <c r="M3" s="89"/>
      <c r="N3" s="89"/>
      <c r="O3" s="90"/>
    </row>
    <row r="4" spans="1:15" x14ac:dyDescent="0.25">
      <c r="A4" s="91"/>
      <c r="B4" s="92"/>
      <c r="C4" s="93" t="s">
        <v>78</v>
      </c>
      <c r="D4" s="93" t="s">
        <v>79</v>
      </c>
      <c r="E4" s="94" t="s">
        <v>80</v>
      </c>
      <c r="F4" s="93" t="s">
        <v>78</v>
      </c>
      <c r="G4" s="93" t="s">
        <v>79</v>
      </c>
      <c r="H4" s="95" t="s">
        <v>80</v>
      </c>
      <c r="I4" s="96" t="s">
        <v>81</v>
      </c>
      <c r="J4" s="96" t="s">
        <v>82</v>
      </c>
      <c r="K4" s="97" t="s">
        <v>78</v>
      </c>
      <c r="L4" s="96" t="s">
        <v>83</v>
      </c>
      <c r="M4" s="96" t="s">
        <v>82</v>
      </c>
      <c r="N4" s="98" t="s">
        <v>84</v>
      </c>
      <c r="O4" s="99" t="s">
        <v>80</v>
      </c>
    </row>
    <row r="5" spans="1:15" ht="25.5" customHeight="1" x14ac:dyDescent="0.25">
      <c r="A5" s="91"/>
      <c r="B5" s="92"/>
      <c r="C5" s="100"/>
      <c r="D5" s="93"/>
      <c r="E5" s="101"/>
      <c r="F5" s="100"/>
      <c r="G5" s="93"/>
      <c r="H5" s="102"/>
      <c r="I5" s="96"/>
      <c r="J5" s="96"/>
      <c r="K5" s="103"/>
      <c r="L5" s="96"/>
      <c r="M5" s="96"/>
      <c r="N5" s="98"/>
      <c r="O5" s="104"/>
    </row>
    <row r="6" spans="1:15" x14ac:dyDescent="0.25">
      <c r="A6" s="91"/>
      <c r="B6" s="105" t="s">
        <v>85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ht="7.5" customHeight="1" x14ac:dyDescent="0.25">
      <c r="A7" s="91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15" hidden="1" x14ac:dyDescent="0.25">
      <c r="A8" s="91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5" x14ac:dyDescent="0.25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8"/>
      <c r="M9" s="107"/>
      <c r="N9" s="107"/>
      <c r="O9" s="109"/>
    </row>
    <row r="10" spans="1:15" ht="19.5" customHeight="1" x14ac:dyDescent="0.25">
      <c r="A10" s="110" t="s">
        <v>86</v>
      </c>
      <c r="B10" s="111" t="s">
        <v>87</v>
      </c>
      <c r="C10" s="112">
        <f>SUM(C11:C18)</f>
        <v>486028.9</v>
      </c>
      <c r="D10" s="112">
        <f>SUM(D11:D18)</f>
        <v>284592.09999999998</v>
      </c>
      <c r="E10" s="112">
        <f>D10/C10*100</f>
        <v>58.554563319177099</v>
      </c>
      <c r="F10" s="112">
        <f>F11+F12+F13+F14+F15+F17+F18+F16</f>
        <v>224694.09999999998</v>
      </c>
      <c r="G10" s="112">
        <f>SUM(G11:G18)</f>
        <v>161145.69999999998</v>
      </c>
      <c r="H10" s="113">
        <f>G10/F10*100</f>
        <v>71.717815465559624</v>
      </c>
      <c r="I10" s="112">
        <f t="shared" ref="I10:N10" si="0">SUM(I11:I18)</f>
        <v>710723</v>
      </c>
      <c r="J10" s="112">
        <f t="shared" si="0"/>
        <v>20379.8</v>
      </c>
      <c r="K10" s="112">
        <f t="shared" si="0"/>
        <v>690343.2</v>
      </c>
      <c r="L10" s="112">
        <f t="shared" si="0"/>
        <v>445737.8</v>
      </c>
      <c r="M10" s="112">
        <f t="shared" si="0"/>
        <v>10011.299999999999</v>
      </c>
      <c r="N10" s="112">
        <f t="shared" si="0"/>
        <v>435726.5</v>
      </c>
      <c r="O10" s="114">
        <f>N10/K10*100</f>
        <v>63.117374082919916</v>
      </c>
    </row>
    <row r="11" spans="1:15" ht="30.75" customHeight="1" x14ac:dyDescent="0.25">
      <c r="A11" s="115" t="s">
        <v>88</v>
      </c>
      <c r="B11" s="116" t="s">
        <v>89</v>
      </c>
      <c r="C11" s="117">
        <v>4678.7</v>
      </c>
      <c r="D11" s="117">
        <v>3353</v>
      </c>
      <c r="E11" s="118">
        <f>D11/C11*100</f>
        <v>71.665206147006657</v>
      </c>
      <c r="F11" s="119">
        <v>45575</v>
      </c>
      <c r="G11" s="119">
        <v>36000.6</v>
      </c>
      <c r="H11" s="120">
        <f>G11/F11*100</f>
        <v>78.991991223258367</v>
      </c>
      <c r="I11" s="121">
        <f>C11+F11</f>
        <v>50253.7</v>
      </c>
      <c r="J11" s="122"/>
      <c r="K11" s="123">
        <f>I11-J11</f>
        <v>50253.7</v>
      </c>
      <c r="L11" s="121">
        <f>D11+G11</f>
        <v>39353.599999999999</v>
      </c>
      <c r="M11" s="122"/>
      <c r="N11" s="123">
        <f>L11-M11</f>
        <v>39353.599999999999</v>
      </c>
      <c r="O11" s="124">
        <f t="shared" ref="O11:O109" si="1">N11/K11*100</f>
        <v>78.309855791712849</v>
      </c>
    </row>
    <row r="12" spans="1:15" ht="33.75" customHeight="1" x14ac:dyDescent="0.25">
      <c r="A12" s="115" t="s">
        <v>90</v>
      </c>
      <c r="B12" s="116" t="s">
        <v>91</v>
      </c>
      <c r="C12" s="117">
        <v>8540</v>
      </c>
      <c r="D12" s="117">
        <v>6689.5</v>
      </c>
      <c r="E12" s="118">
        <f t="shared" ref="E12:E20" si="2">D12/C12*100</f>
        <v>78.331381733021075</v>
      </c>
      <c r="F12" s="119">
        <v>0</v>
      </c>
      <c r="G12" s="119"/>
      <c r="H12" s="120">
        <v>0</v>
      </c>
      <c r="I12" s="121">
        <f t="shared" ref="I12:I80" si="3">C12+F12</f>
        <v>8540</v>
      </c>
      <c r="J12" s="122"/>
      <c r="K12" s="123">
        <f t="shared" ref="K12" si="4">I12-J12</f>
        <v>8540</v>
      </c>
      <c r="L12" s="121">
        <f t="shared" ref="L12:L80" si="5">D12+G12</f>
        <v>6689.5</v>
      </c>
      <c r="M12" s="122"/>
      <c r="N12" s="123">
        <f t="shared" ref="N12:N80" si="6">L12-M12</f>
        <v>6689.5</v>
      </c>
      <c r="O12" s="124">
        <f t="shared" si="1"/>
        <v>78.331381733021075</v>
      </c>
    </row>
    <row r="13" spans="1:15" ht="35.25" customHeight="1" x14ac:dyDescent="0.25">
      <c r="A13" s="115" t="s">
        <v>92</v>
      </c>
      <c r="B13" s="116" t="s">
        <v>93</v>
      </c>
      <c r="C13" s="117">
        <v>175570.4</v>
      </c>
      <c r="D13" s="117">
        <v>118709.1</v>
      </c>
      <c r="E13" s="118">
        <f t="shared" si="2"/>
        <v>67.613390412051245</v>
      </c>
      <c r="F13" s="119">
        <v>126892.3</v>
      </c>
      <c r="G13" s="119">
        <v>98671</v>
      </c>
      <c r="H13" s="120">
        <f>G13/F13*100</f>
        <v>77.75964341413939</v>
      </c>
      <c r="I13" s="121">
        <f t="shared" si="3"/>
        <v>302462.7</v>
      </c>
      <c r="J13" s="122">
        <v>6300</v>
      </c>
      <c r="K13" s="123">
        <f>I13-J13</f>
        <v>296162.7</v>
      </c>
      <c r="L13" s="121">
        <f>D13+G13</f>
        <v>217380.1</v>
      </c>
      <c r="M13" s="122">
        <v>4725</v>
      </c>
      <c r="N13" s="123">
        <f>L13-M13</f>
        <v>212655.1</v>
      </c>
      <c r="O13" s="124">
        <f t="shared" si="1"/>
        <v>71.803471537772992</v>
      </c>
    </row>
    <row r="14" spans="1:15" ht="21" customHeight="1" x14ac:dyDescent="0.25">
      <c r="A14" s="115" t="s">
        <v>94</v>
      </c>
      <c r="B14" s="116" t="s">
        <v>95</v>
      </c>
      <c r="C14" s="117">
        <v>13.1</v>
      </c>
      <c r="D14" s="117"/>
      <c r="E14" s="118">
        <f t="shared" si="2"/>
        <v>0</v>
      </c>
      <c r="F14" s="119">
        <v>0</v>
      </c>
      <c r="G14" s="119"/>
      <c r="H14" s="120">
        <v>0</v>
      </c>
      <c r="I14" s="121">
        <f t="shared" si="3"/>
        <v>13.1</v>
      </c>
      <c r="J14" s="122"/>
      <c r="K14" s="123">
        <f t="shared" ref="K14:K82" si="7">I14-J14</f>
        <v>13.1</v>
      </c>
      <c r="L14" s="121">
        <f t="shared" si="5"/>
        <v>0</v>
      </c>
      <c r="M14" s="122"/>
      <c r="N14" s="123">
        <f t="shared" si="6"/>
        <v>0</v>
      </c>
      <c r="O14" s="124">
        <f t="shared" si="1"/>
        <v>0</v>
      </c>
    </row>
    <row r="15" spans="1:15" ht="33" customHeight="1" x14ac:dyDescent="0.25">
      <c r="A15" s="115" t="s">
        <v>96</v>
      </c>
      <c r="B15" s="116" t="s">
        <v>97</v>
      </c>
      <c r="C15" s="117">
        <v>34572</v>
      </c>
      <c r="D15" s="117">
        <v>26377.5</v>
      </c>
      <c r="E15" s="118">
        <f t="shared" si="2"/>
        <v>76.297292606733762</v>
      </c>
      <c r="F15" s="119">
        <v>0</v>
      </c>
      <c r="G15" s="119"/>
      <c r="H15" s="120">
        <v>0</v>
      </c>
      <c r="I15" s="121">
        <f t="shared" si="3"/>
        <v>34572</v>
      </c>
      <c r="J15" s="122"/>
      <c r="K15" s="123">
        <f t="shared" si="7"/>
        <v>34572</v>
      </c>
      <c r="L15" s="121">
        <f t="shared" si="5"/>
        <v>26377.5</v>
      </c>
      <c r="M15" s="122"/>
      <c r="N15" s="123">
        <f t="shared" si="6"/>
        <v>26377.5</v>
      </c>
      <c r="O15" s="124">
        <f t="shared" si="1"/>
        <v>76.297292606733762</v>
      </c>
    </row>
    <row r="16" spans="1:15" ht="39.75" customHeight="1" x14ac:dyDescent="0.25">
      <c r="A16" s="115" t="s">
        <v>98</v>
      </c>
      <c r="B16" s="116" t="s">
        <v>99</v>
      </c>
      <c r="C16" s="117"/>
      <c r="D16" s="117"/>
      <c r="E16" s="118"/>
      <c r="F16" s="119">
        <v>1362.3</v>
      </c>
      <c r="G16" s="119">
        <v>1362.3</v>
      </c>
      <c r="H16" s="120">
        <f>G16/F16*100</f>
        <v>100</v>
      </c>
      <c r="I16" s="121">
        <f t="shared" si="3"/>
        <v>1362.3</v>
      </c>
      <c r="J16" s="122"/>
      <c r="K16" s="123">
        <f t="shared" si="7"/>
        <v>1362.3</v>
      </c>
      <c r="L16" s="121">
        <f t="shared" si="5"/>
        <v>1362.3</v>
      </c>
      <c r="M16" s="122"/>
      <c r="N16" s="123">
        <f t="shared" si="6"/>
        <v>1362.3</v>
      </c>
      <c r="O16" s="124">
        <f t="shared" si="1"/>
        <v>100</v>
      </c>
    </row>
    <row r="17" spans="1:15" ht="19.5" customHeight="1" x14ac:dyDescent="0.25">
      <c r="A17" s="125" t="s">
        <v>100</v>
      </c>
      <c r="B17" s="116" t="s">
        <v>101</v>
      </c>
      <c r="C17" s="117">
        <v>11266</v>
      </c>
      <c r="D17" s="117">
        <v>0</v>
      </c>
      <c r="E17" s="118">
        <f t="shared" si="2"/>
        <v>0</v>
      </c>
      <c r="F17" s="119">
        <v>486.1</v>
      </c>
      <c r="G17" s="119"/>
      <c r="H17" s="120">
        <f>G17/F17*100</f>
        <v>0</v>
      </c>
      <c r="I17" s="121">
        <f t="shared" si="3"/>
        <v>11752.1</v>
      </c>
      <c r="J17" s="122"/>
      <c r="K17" s="123">
        <f t="shared" si="7"/>
        <v>11752.1</v>
      </c>
      <c r="L17" s="121">
        <f t="shared" si="5"/>
        <v>0</v>
      </c>
      <c r="M17" s="122"/>
      <c r="N17" s="123">
        <f t="shared" si="6"/>
        <v>0</v>
      </c>
      <c r="O17" s="124">
        <f t="shared" si="1"/>
        <v>0</v>
      </c>
    </row>
    <row r="18" spans="1:15" ht="29.25" customHeight="1" x14ac:dyDescent="0.25">
      <c r="A18" s="115" t="s">
        <v>102</v>
      </c>
      <c r="B18" s="116" t="s">
        <v>103</v>
      </c>
      <c r="C18" s="117">
        <v>251388.7</v>
      </c>
      <c r="D18" s="117">
        <v>129463</v>
      </c>
      <c r="E18" s="118">
        <f t="shared" si="2"/>
        <v>51.499132618132791</v>
      </c>
      <c r="F18" s="119">
        <v>50378.400000000001</v>
      </c>
      <c r="G18" s="119">
        <v>25111.8</v>
      </c>
      <c r="H18" s="120">
        <f>G18/F18*100</f>
        <v>49.846362726882951</v>
      </c>
      <c r="I18" s="121">
        <f t="shared" si="3"/>
        <v>301767.10000000003</v>
      </c>
      <c r="J18" s="122">
        <v>14079.8</v>
      </c>
      <c r="K18" s="123">
        <f t="shared" si="7"/>
        <v>287687.30000000005</v>
      </c>
      <c r="L18" s="121">
        <f t="shared" si="5"/>
        <v>154574.79999999999</v>
      </c>
      <c r="M18" s="126">
        <v>5286.3</v>
      </c>
      <c r="N18" s="123">
        <f t="shared" si="6"/>
        <v>149288.5</v>
      </c>
      <c r="O18" s="124">
        <f t="shared" si="1"/>
        <v>51.892627863656116</v>
      </c>
    </row>
    <row r="19" spans="1:15" ht="21.75" customHeight="1" x14ac:dyDescent="0.25">
      <c r="A19" s="110" t="s">
        <v>104</v>
      </c>
      <c r="B19" s="111" t="s">
        <v>105</v>
      </c>
      <c r="C19" s="112">
        <f t="shared" ref="C19:N19" si="8">C20</f>
        <v>3955.3</v>
      </c>
      <c r="D19" s="112">
        <f t="shared" si="8"/>
        <v>2727.5</v>
      </c>
      <c r="E19" s="112">
        <f t="shared" si="8"/>
        <v>68.958106843981497</v>
      </c>
      <c r="F19" s="112">
        <f t="shared" si="8"/>
        <v>3955.3</v>
      </c>
      <c r="G19" s="112">
        <f t="shared" si="8"/>
        <v>2693.1</v>
      </c>
      <c r="H19" s="127">
        <f t="shared" si="8"/>
        <v>68.088387732915322</v>
      </c>
      <c r="I19" s="112">
        <f>I20</f>
        <v>7910.6</v>
      </c>
      <c r="J19" s="112">
        <f>J20</f>
        <v>3955.3</v>
      </c>
      <c r="K19" s="112">
        <f>K20</f>
        <v>3955.3</v>
      </c>
      <c r="L19" s="112">
        <f t="shared" si="8"/>
        <v>5420.6</v>
      </c>
      <c r="M19" s="112">
        <f>M20</f>
        <v>2727.5</v>
      </c>
      <c r="N19" s="112">
        <f t="shared" si="8"/>
        <v>2693.1000000000004</v>
      </c>
      <c r="O19" s="128">
        <f t="shared" si="1"/>
        <v>68.088387732915336</v>
      </c>
    </row>
    <row r="20" spans="1:15" ht="26.25" customHeight="1" x14ac:dyDescent="0.25">
      <c r="A20" s="115" t="s">
        <v>106</v>
      </c>
      <c r="B20" s="116" t="s">
        <v>107</v>
      </c>
      <c r="C20" s="117">
        <v>3955.3</v>
      </c>
      <c r="D20" s="117">
        <v>2727.5</v>
      </c>
      <c r="E20" s="118">
        <f t="shared" si="2"/>
        <v>68.958106843981497</v>
      </c>
      <c r="F20" s="119">
        <v>3955.3</v>
      </c>
      <c r="G20" s="119">
        <v>2693.1</v>
      </c>
      <c r="H20" s="120">
        <f t="shared" ref="H20:H26" si="9">G20/F20*100</f>
        <v>68.088387732915322</v>
      </c>
      <c r="I20" s="121">
        <f t="shared" si="3"/>
        <v>7910.6</v>
      </c>
      <c r="J20" s="122">
        <v>3955.3</v>
      </c>
      <c r="K20" s="123">
        <f t="shared" si="7"/>
        <v>3955.3</v>
      </c>
      <c r="L20" s="121">
        <f t="shared" si="5"/>
        <v>5420.6</v>
      </c>
      <c r="M20" s="122">
        <v>2727.5</v>
      </c>
      <c r="N20" s="123">
        <f t="shared" si="6"/>
        <v>2693.1000000000004</v>
      </c>
      <c r="O20" s="124">
        <f t="shared" si="1"/>
        <v>68.088387732915336</v>
      </c>
    </row>
    <row r="21" spans="1:15" ht="39" customHeight="1" x14ac:dyDescent="0.25">
      <c r="A21" s="110" t="s">
        <v>108</v>
      </c>
      <c r="B21" s="129" t="s">
        <v>109</v>
      </c>
      <c r="C21" s="112">
        <f>C23+C24+C22</f>
        <v>33633.899999999994</v>
      </c>
      <c r="D21" s="112">
        <f>D23+D24+D22</f>
        <v>22306.1</v>
      </c>
      <c r="E21" s="130">
        <f>D21/C21*100</f>
        <v>66.320289945560887</v>
      </c>
      <c r="F21" s="130">
        <f>F23+F24+F22</f>
        <v>22181.8</v>
      </c>
      <c r="G21" s="130">
        <f>G23+G24+G22</f>
        <v>14735.9</v>
      </c>
      <c r="H21" s="130">
        <f t="shared" si="9"/>
        <v>66.432390518352875</v>
      </c>
      <c r="I21" s="130">
        <f t="shared" ref="I21:N21" si="10">SUM(I22:I24)</f>
        <v>55815.69999999999</v>
      </c>
      <c r="J21" s="130">
        <f t="shared" si="10"/>
        <v>16060.2</v>
      </c>
      <c r="K21" s="130">
        <f t="shared" si="10"/>
        <v>39755.499999999993</v>
      </c>
      <c r="L21" s="130">
        <f t="shared" si="10"/>
        <v>37042</v>
      </c>
      <c r="M21" s="130">
        <f t="shared" si="10"/>
        <v>11064.199999999999</v>
      </c>
      <c r="N21" s="130">
        <f t="shared" si="10"/>
        <v>25977.800000000003</v>
      </c>
      <c r="O21" s="131">
        <f>N21/K21*100</f>
        <v>65.343914678472174</v>
      </c>
    </row>
    <row r="22" spans="1:15" x14ac:dyDescent="0.25">
      <c r="A22" s="125" t="s">
        <v>110</v>
      </c>
      <c r="B22" s="116" t="s">
        <v>111</v>
      </c>
      <c r="C22" s="117">
        <v>5702.7</v>
      </c>
      <c r="D22" s="117">
        <v>3748.1</v>
      </c>
      <c r="E22" s="118">
        <f t="shared" ref="E22:E121" si="11">D22/C22*100</f>
        <v>65.725007452610157</v>
      </c>
      <c r="F22" s="119">
        <v>915.9</v>
      </c>
      <c r="G22" s="119">
        <v>487</v>
      </c>
      <c r="H22" s="120">
        <f t="shared" si="9"/>
        <v>53.171743640135382</v>
      </c>
      <c r="I22" s="121">
        <f t="shared" si="3"/>
        <v>6618.5999999999995</v>
      </c>
      <c r="J22" s="122">
        <v>915.9</v>
      </c>
      <c r="K22" s="123">
        <f t="shared" si="7"/>
        <v>5702.7</v>
      </c>
      <c r="L22" s="121">
        <f t="shared" si="5"/>
        <v>4235.1000000000004</v>
      </c>
      <c r="M22" s="122">
        <v>518.4</v>
      </c>
      <c r="N22" s="123">
        <f t="shared" si="6"/>
        <v>3716.7000000000003</v>
      </c>
      <c r="O22" s="124">
        <f>N22/K22*100</f>
        <v>65.174391077910471</v>
      </c>
    </row>
    <row r="23" spans="1:15" ht="36" customHeight="1" x14ac:dyDescent="0.25">
      <c r="A23" s="132" t="s">
        <v>112</v>
      </c>
      <c r="B23" s="116" t="s">
        <v>113</v>
      </c>
      <c r="C23" s="117">
        <v>26297.1</v>
      </c>
      <c r="D23" s="117">
        <v>18480.7</v>
      </c>
      <c r="E23" s="118">
        <f t="shared" si="11"/>
        <v>70.27657042031251</v>
      </c>
      <c r="F23" s="119">
        <v>20927.8</v>
      </c>
      <c r="G23" s="119">
        <v>14131</v>
      </c>
      <c r="H23" s="120">
        <f t="shared" si="9"/>
        <v>67.522625407352905</v>
      </c>
      <c r="I23" s="121">
        <f t="shared" si="3"/>
        <v>47224.899999999994</v>
      </c>
      <c r="J23" s="122">
        <v>14907.7</v>
      </c>
      <c r="K23" s="123">
        <f t="shared" si="7"/>
        <v>32317.199999999993</v>
      </c>
      <c r="L23" s="121">
        <f t="shared" si="5"/>
        <v>32611.7</v>
      </c>
      <c r="M23" s="122">
        <v>10468.5</v>
      </c>
      <c r="N23" s="123">
        <f t="shared" si="6"/>
        <v>22143.200000000001</v>
      </c>
      <c r="O23" s="124">
        <f t="shared" ref="O23:O24" si="12">N23/K23*100</f>
        <v>68.518312230019944</v>
      </c>
    </row>
    <row r="24" spans="1:15" ht="51.75" customHeight="1" x14ac:dyDescent="0.25">
      <c r="A24" s="125" t="s">
        <v>114</v>
      </c>
      <c r="B24" s="116" t="s">
        <v>115</v>
      </c>
      <c r="C24" s="117">
        <v>1634.1</v>
      </c>
      <c r="D24" s="117">
        <v>77.3</v>
      </c>
      <c r="E24" s="118">
        <f t="shared" si="11"/>
        <v>4.7304326540603387</v>
      </c>
      <c r="F24" s="119">
        <v>338.1</v>
      </c>
      <c r="G24" s="119">
        <v>117.9</v>
      </c>
      <c r="H24" s="120">
        <f t="shared" si="9"/>
        <v>34.871339840283937</v>
      </c>
      <c r="I24" s="121">
        <f t="shared" si="3"/>
        <v>1972.1999999999998</v>
      </c>
      <c r="J24" s="122">
        <v>236.6</v>
      </c>
      <c r="K24" s="123">
        <f t="shared" si="7"/>
        <v>1735.6</v>
      </c>
      <c r="L24" s="121">
        <f t="shared" si="5"/>
        <v>195.2</v>
      </c>
      <c r="M24" s="122">
        <v>77.3</v>
      </c>
      <c r="N24" s="123">
        <f t="shared" si="6"/>
        <v>117.89999999999999</v>
      </c>
      <c r="O24" s="124">
        <f t="shared" si="12"/>
        <v>6.7930398709380047</v>
      </c>
    </row>
    <row r="25" spans="1:15" ht="21.75" customHeight="1" x14ac:dyDescent="0.25">
      <c r="A25" s="110" t="s">
        <v>116</v>
      </c>
      <c r="B25" s="111" t="s">
        <v>117</v>
      </c>
      <c r="C25" s="112">
        <f>SUM(C26:C53)</f>
        <v>179123.20000000001</v>
      </c>
      <c r="D25" s="112">
        <f>SUM(D26:D53)</f>
        <v>128153.09999999996</v>
      </c>
      <c r="E25" s="112">
        <f>D25/C25*100</f>
        <v>71.544668697298818</v>
      </c>
      <c r="F25" s="112">
        <f>SUM(F26:F53)</f>
        <v>118176.2</v>
      </c>
      <c r="G25" s="112">
        <f>SUM(G26:G53)</f>
        <v>81670.999999999985</v>
      </c>
      <c r="H25" s="113">
        <f t="shared" si="9"/>
        <v>69.10951612930522</v>
      </c>
      <c r="I25" s="112">
        <f t="shared" ref="I25:N25" si="13">SUM(I26:I53)</f>
        <v>297299.40000000002</v>
      </c>
      <c r="J25" s="112">
        <f t="shared" si="13"/>
        <v>43830.100000000006</v>
      </c>
      <c r="K25" s="112">
        <f t="shared" si="13"/>
        <v>253469.30000000005</v>
      </c>
      <c r="L25" s="112">
        <f t="shared" si="13"/>
        <v>209824.1</v>
      </c>
      <c r="M25" s="112">
        <f t="shared" si="13"/>
        <v>35007.9</v>
      </c>
      <c r="N25" s="112">
        <f t="shared" si="13"/>
        <v>174816.2</v>
      </c>
      <c r="O25" s="114">
        <f t="shared" si="1"/>
        <v>68.969378145597901</v>
      </c>
    </row>
    <row r="26" spans="1:15" ht="61.5" customHeight="1" x14ac:dyDescent="0.25">
      <c r="A26" s="125" t="s">
        <v>118</v>
      </c>
      <c r="B26" s="133" t="s">
        <v>119</v>
      </c>
      <c r="C26" s="117">
        <v>24771.599999999999</v>
      </c>
      <c r="D26" s="117">
        <v>13274.2</v>
      </c>
      <c r="E26" s="118">
        <f t="shared" si="11"/>
        <v>53.586365030922508</v>
      </c>
      <c r="F26" s="117">
        <v>15414.6</v>
      </c>
      <c r="G26" s="119">
        <v>10108.6</v>
      </c>
      <c r="H26" s="120">
        <f t="shared" si="9"/>
        <v>65.578088305891811</v>
      </c>
      <c r="I26" s="121">
        <f t="shared" si="3"/>
        <v>40186.199999999997</v>
      </c>
      <c r="J26" s="122">
        <v>15014.6</v>
      </c>
      <c r="K26" s="123">
        <f t="shared" si="7"/>
        <v>25171.599999999999</v>
      </c>
      <c r="L26" s="121">
        <f t="shared" si="5"/>
        <v>23382.800000000003</v>
      </c>
      <c r="M26" s="122">
        <v>10775.8</v>
      </c>
      <c r="N26" s="123">
        <f t="shared" si="6"/>
        <v>12607.000000000004</v>
      </c>
      <c r="O26" s="124">
        <f t="shared" si="1"/>
        <v>50.084221900872429</v>
      </c>
    </row>
    <row r="27" spans="1:15" ht="28.5" customHeight="1" x14ac:dyDescent="0.25">
      <c r="A27" s="115" t="s">
        <v>120</v>
      </c>
      <c r="B27" s="116" t="s">
        <v>121</v>
      </c>
      <c r="C27" s="117">
        <v>42873.4</v>
      </c>
      <c r="D27" s="117">
        <v>38067.4</v>
      </c>
      <c r="E27" s="118">
        <f t="shared" si="11"/>
        <v>88.790252230987051</v>
      </c>
      <c r="F27" s="119">
        <v>111</v>
      </c>
      <c r="G27" s="119"/>
      <c r="H27" s="120">
        <v>0</v>
      </c>
      <c r="I27" s="121">
        <f t="shared" si="3"/>
        <v>42984.4</v>
      </c>
      <c r="J27" s="122">
        <v>111</v>
      </c>
      <c r="K27" s="123">
        <f t="shared" si="7"/>
        <v>42873.4</v>
      </c>
      <c r="L27" s="121">
        <f t="shared" si="5"/>
        <v>38067.4</v>
      </c>
      <c r="M27" s="122"/>
      <c r="N27" s="123">
        <f t="shared" si="6"/>
        <v>38067.4</v>
      </c>
      <c r="O27" s="124">
        <f t="shared" si="1"/>
        <v>88.790252230987051</v>
      </c>
    </row>
    <row r="28" spans="1:15" ht="24" customHeight="1" x14ac:dyDescent="0.25">
      <c r="A28" s="115" t="s">
        <v>122</v>
      </c>
      <c r="B28" s="116" t="s">
        <v>123</v>
      </c>
      <c r="C28" s="117">
        <v>7000</v>
      </c>
      <c r="D28" s="117">
        <v>1288.9000000000001</v>
      </c>
      <c r="E28" s="118">
        <f t="shared" si="11"/>
        <v>18.412857142857145</v>
      </c>
      <c r="F28" s="119">
        <v>0</v>
      </c>
      <c r="G28" s="119"/>
      <c r="H28" s="120">
        <v>0</v>
      </c>
      <c r="I28" s="121">
        <f t="shared" si="3"/>
        <v>7000</v>
      </c>
      <c r="J28" s="122"/>
      <c r="K28" s="123">
        <f t="shared" si="7"/>
        <v>7000</v>
      </c>
      <c r="L28" s="121">
        <f t="shared" si="5"/>
        <v>1288.9000000000001</v>
      </c>
      <c r="M28" s="122"/>
      <c r="N28" s="123">
        <f t="shared" si="6"/>
        <v>1288.9000000000001</v>
      </c>
      <c r="O28" s="124">
        <f t="shared" si="1"/>
        <v>18.412857142857145</v>
      </c>
    </row>
    <row r="29" spans="1:15" ht="36" customHeight="1" x14ac:dyDescent="0.25">
      <c r="A29" s="115" t="s">
        <v>122</v>
      </c>
      <c r="B29" s="116" t="s">
        <v>124</v>
      </c>
      <c r="C29" s="117">
        <v>19607</v>
      </c>
      <c r="D29" s="117">
        <v>16319.2</v>
      </c>
      <c r="E29" s="118">
        <f t="shared" si="11"/>
        <v>83.231498954455034</v>
      </c>
      <c r="F29" s="119">
        <v>16364</v>
      </c>
      <c r="G29" s="119">
        <v>10822.3</v>
      </c>
      <c r="H29" s="120">
        <f>G29/F29*100</f>
        <v>66.134808115375208</v>
      </c>
      <c r="I29" s="121">
        <f t="shared" si="3"/>
        <v>35971</v>
      </c>
      <c r="J29" s="122">
        <v>2107</v>
      </c>
      <c r="K29" s="123">
        <f t="shared" si="7"/>
        <v>33864</v>
      </c>
      <c r="L29" s="121">
        <f t="shared" si="5"/>
        <v>27141.5</v>
      </c>
      <c r="M29" s="122">
        <v>1580.3</v>
      </c>
      <c r="N29" s="123">
        <f t="shared" si="6"/>
        <v>25561.200000000001</v>
      </c>
      <c r="O29" s="124">
        <f t="shared" si="1"/>
        <v>75.481927710843379</v>
      </c>
    </row>
    <row r="30" spans="1:15" ht="18" customHeight="1" x14ac:dyDescent="0.25">
      <c r="A30" s="115" t="s">
        <v>122</v>
      </c>
      <c r="B30" s="116" t="s">
        <v>125</v>
      </c>
      <c r="C30" s="117">
        <v>23500</v>
      </c>
      <c r="D30" s="117">
        <v>19990.2</v>
      </c>
      <c r="E30" s="118">
        <f t="shared" si="11"/>
        <v>85.064680851063841</v>
      </c>
      <c r="F30" s="119">
        <v>0</v>
      </c>
      <c r="G30" s="119"/>
      <c r="H30" s="120">
        <v>0</v>
      </c>
      <c r="I30" s="121">
        <f t="shared" si="3"/>
        <v>23500</v>
      </c>
      <c r="J30" s="122"/>
      <c r="K30" s="123">
        <f t="shared" si="7"/>
        <v>23500</v>
      </c>
      <c r="L30" s="121">
        <f t="shared" si="5"/>
        <v>19990.2</v>
      </c>
      <c r="M30" s="122"/>
      <c r="N30" s="123">
        <f t="shared" si="6"/>
        <v>19990.2</v>
      </c>
      <c r="O30" s="124">
        <f t="shared" si="1"/>
        <v>85.064680851063841</v>
      </c>
    </row>
    <row r="31" spans="1:15" ht="65.25" hidden="1" customHeight="1" x14ac:dyDescent="0.25">
      <c r="A31" s="115" t="s">
        <v>126</v>
      </c>
      <c r="B31" s="134" t="s">
        <v>127</v>
      </c>
      <c r="C31" s="117"/>
      <c r="D31" s="117"/>
      <c r="E31" s="118"/>
      <c r="F31" s="119"/>
      <c r="G31" s="119"/>
      <c r="H31" s="120"/>
      <c r="I31" s="121">
        <f t="shared" si="3"/>
        <v>0</v>
      </c>
      <c r="J31" s="122"/>
      <c r="K31" s="123">
        <f t="shared" si="7"/>
        <v>0</v>
      </c>
      <c r="L31" s="121">
        <f t="shared" si="5"/>
        <v>0</v>
      </c>
      <c r="M31" s="122"/>
      <c r="N31" s="123">
        <f t="shared" si="6"/>
        <v>0</v>
      </c>
      <c r="O31" s="124"/>
    </row>
    <row r="32" spans="1:15" ht="65.25" hidden="1" customHeight="1" x14ac:dyDescent="0.25">
      <c r="A32" s="125" t="s">
        <v>126</v>
      </c>
      <c r="B32" s="134" t="s">
        <v>128</v>
      </c>
      <c r="C32" s="117"/>
      <c r="D32" s="117"/>
      <c r="E32" s="118"/>
      <c r="F32" s="119"/>
      <c r="G32" s="119"/>
      <c r="H32" s="120"/>
      <c r="I32" s="121">
        <f t="shared" si="3"/>
        <v>0</v>
      </c>
      <c r="J32" s="122"/>
      <c r="K32" s="123">
        <f t="shared" si="7"/>
        <v>0</v>
      </c>
      <c r="L32" s="121">
        <f t="shared" si="5"/>
        <v>0</v>
      </c>
      <c r="M32" s="122"/>
      <c r="N32" s="123">
        <f t="shared" si="6"/>
        <v>0</v>
      </c>
      <c r="O32" s="124"/>
    </row>
    <row r="33" spans="1:15" ht="65.25" customHeight="1" x14ac:dyDescent="0.25">
      <c r="A33" s="125" t="s">
        <v>126</v>
      </c>
      <c r="B33" s="116" t="s">
        <v>129</v>
      </c>
      <c r="C33" s="117">
        <v>20086.5</v>
      </c>
      <c r="D33" s="117">
        <v>18227.099999999999</v>
      </c>
      <c r="E33" s="118">
        <f t="shared" si="11"/>
        <v>90.743036367709649</v>
      </c>
      <c r="F33" s="119">
        <v>14754</v>
      </c>
      <c r="G33" s="119">
        <v>13071.9</v>
      </c>
      <c r="H33" s="120">
        <f>G33/F33*100</f>
        <v>88.59902399349329</v>
      </c>
      <c r="I33" s="121">
        <f t="shared" si="3"/>
        <v>34840.5</v>
      </c>
      <c r="J33" s="122">
        <v>19613.2</v>
      </c>
      <c r="K33" s="123">
        <f t="shared" si="7"/>
        <v>15227.3</v>
      </c>
      <c r="L33" s="121">
        <f t="shared" si="5"/>
        <v>31299</v>
      </c>
      <c r="M33" s="122">
        <v>17931</v>
      </c>
      <c r="N33" s="123">
        <f t="shared" si="6"/>
        <v>13368</v>
      </c>
      <c r="O33" s="124">
        <f t="shared" si="1"/>
        <v>87.789693510996699</v>
      </c>
    </row>
    <row r="34" spans="1:15" ht="102.75" customHeight="1" x14ac:dyDescent="0.25">
      <c r="A34" s="125" t="s">
        <v>126</v>
      </c>
      <c r="B34" s="116" t="s">
        <v>130</v>
      </c>
      <c r="C34" s="117">
        <v>210</v>
      </c>
      <c r="D34" s="117">
        <v>40</v>
      </c>
      <c r="E34" s="118">
        <f t="shared" si="11"/>
        <v>19.047619047619047</v>
      </c>
      <c r="F34" s="119"/>
      <c r="G34" s="119"/>
      <c r="H34" s="120" t="e">
        <f t="shared" ref="H34:H45" si="14">G34/F34*100</f>
        <v>#DIV/0!</v>
      </c>
      <c r="I34" s="121">
        <f t="shared" si="3"/>
        <v>210</v>
      </c>
      <c r="J34" s="122"/>
      <c r="K34" s="123">
        <f t="shared" si="7"/>
        <v>210</v>
      </c>
      <c r="L34" s="121">
        <f t="shared" si="5"/>
        <v>40</v>
      </c>
      <c r="M34" s="122"/>
      <c r="N34" s="123">
        <f t="shared" si="6"/>
        <v>40</v>
      </c>
      <c r="O34" s="124">
        <f t="shared" si="1"/>
        <v>19.047619047619047</v>
      </c>
    </row>
    <row r="35" spans="1:15" ht="40.5" customHeight="1" x14ac:dyDescent="0.25">
      <c r="A35" s="125" t="s">
        <v>126</v>
      </c>
      <c r="B35" s="116" t="s">
        <v>131</v>
      </c>
      <c r="C35" s="117"/>
      <c r="D35" s="117"/>
      <c r="E35" s="118"/>
      <c r="F35" s="119">
        <v>4118</v>
      </c>
      <c r="G35" s="119">
        <v>2188.1</v>
      </c>
      <c r="H35" s="120">
        <f t="shared" si="14"/>
        <v>53.13501699854298</v>
      </c>
      <c r="I35" s="121">
        <f t="shared" si="3"/>
        <v>4118</v>
      </c>
      <c r="J35" s="122"/>
      <c r="K35" s="123">
        <f t="shared" si="7"/>
        <v>4118</v>
      </c>
      <c r="L35" s="121">
        <f t="shared" si="5"/>
        <v>2188.1</v>
      </c>
      <c r="M35" s="122"/>
      <c r="N35" s="123">
        <f t="shared" si="6"/>
        <v>2188.1</v>
      </c>
      <c r="O35" s="124">
        <f t="shared" si="1"/>
        <v>53.13501699854298</v>
      </c>
    </row>
    <row r="36" spans="1:15" ht="63.75" customHeight="1" x14ac:dyDescent="0.25">
      <c r="A36" s="125" t="s">
        <v>126</v>
      </c>
      <c r="B36" s="116" t="s">
        <v>132</v>
      </c>
      <c r="C36" s="117"/>
      <c r="D36" s="117"/>
      <c r="E36" s="118"/>
      <c r="F36" s="119">
        <v>2144.6999999999998</v>
      </c>
      <c r="G36" s="119">
        <v>2144.6999999999998</v>
      </c>
      <c r="H36" s="120">
        <f t="shared" si="14"/>
        <v>100</v>
      </c>
      <c r="I36" s="121">
        <f t="shared" si="3"/>
        <v>2144.6999999999998</v>
      </c>
      <c r="J36" s="122"/>
      <c r="K36" s="123">
        <f t="shared" si="7"/>
        <v>2144.6999999999998</v>
      </c>
      <c r="L36" s="121">
        <f t="shared" si="5"/>
        <v>2144.6999999999998</v>
      </c>
      <c r="M36" s="122"/>
      <c r="N36" s="123">
        <f t="shared" si="6"/>
        <v>2144.6999999999998</v>
      </c>
      <c r="O36" s="124">
        <f t="shared" si="1"/>
        <v>100</v>
      </c>
    </row>
    <row r="37" spans="1:15" ht="48.75" customHeight="1" x14ac:dyDescent="0.25">
      <c r="A37" s="125" t="s">
        <v>126</v>
      </c>
      <c r="B37" s="116" t="s">
        <v>133</v>
      </c>
      <c r="C37" s="117"/>
      <c r="D37" s="117"/>
      <c r="E37" s="118"/>
      <c r="F37" s="119">
        <v>4754.8999999999996</v>
      </c>
      <c r="G37" s="119">
        <v>2170.1</v>
      </c>
      <c r="H37" s="120">
        <f t="shared" si="14"/>
        <v>45.639235315148582</v>
      </c>
      <c r="I37" s="121">
        <f t="shared" si="3"/>
        <v>4754.8999999999996</v>
      </c>
      <c r="J37" s="122"/>
      <c r="K37" s="123">
        <f t="shared" si="7"/>
        <v>4754.8999999999996</v>
      </c>
      <c r="L37" s="121">
        <f t="shared" si="5"/>
        <v>2170.1</v>
      </c>
      <c r="M37" s="122"/>
      <c r="N37" s="123">
        <f t="shared" si="6"/>
        <v>2170.1</v>
      </c>
      <c r="O37" s="124">
        <f t="shared" si="1"/>
        <v>45.639235315148582</v>
      </c>
    </row>
    <row r="38" spans="1:15" ht="107.25" customHeight="1" x14ac:dyDescent="0.25">
      <c r="A38" s="125" t="s">
        <v>126</v>
      </c>
      <c r="B38" s="116" t="s">
        <v>134</v>
      </c>
      <c r="C38" s="117">
        <v>5749.3</v>
      </c>
      <c r="D38" s="117">
        <v>4237.3999999999996</v>
      </c>
      <c r="E38" s="118">
        <f t="shared" si="11"/>
        <v>73.702885568677928</v>
      </c>
      <c r="F38" s="119"/>
      <c r="G38" s="119"/>
      <c r="H38" s="120" t="e">
        <f t="shared" si="14"/>
        <v>#DIV/0!</v>
      </c>
      <c r="I38" s="121">
        <f t="shared" si="3"/>
        <v>5749.3</v>
      </c>
      <c r="J38" s="122">
        <v>5749.3</v>
      </c>
      <c r="K38" s="123">
        <f t="shared" si="7"/>
        <v>0</v>
      </c>
      <c r="L38" s="121">
        <f t="shared" si="5"/>
        <v>4237.3999999999996</v>
      </c>
      <c r="M38" s="122">
        <v>4237.3999999999996</v>
      </c>
      <c r="N38" s="123">
        <f t="shared" si="6"/>
        <v>0</v>
      </c>
      <c r="O38" s="124" t="e">
        <f t="shared" si="1"/>
        <v>#DIV/0!</v>
      </c>
    </row>
    <row r="39" spans="1:15" ht="54.75" customHeight="1" x14ac:dyDescent="0.25">
      <c r="A39" s="125" t="s">
        <v>126</v>
      </c>
      <c r="B39" s="116" t="s">
        <v>135</v>
      </c>
      <c r="C39" s="117"/>
      <c r="D39" s="117"/>
      <c r="E39" s="118"/>
      <c r="F39" s="119">
        <v>4003.6</v>
      </c>
      <c r="G39" s="119">
        <v>2916.9</v>
      </c>
      <c r="H39" s="120">
        <f t="shared" si="14"/>
        <v>72.856928764112311</v>
      </c>
      <c r="I39" s="121">
        <f t="shared" si="3"/>
        <v>4003.6</v>
      </c>
      <c r="J39" s="122"/>
      <c r="K39" s="123">
        <f t="shared" si="7"/>
        <v>4003.6</v>
      </c>
      <c r="L39" s="121">
        <f t="shared" si="5"/>
        <v>2916.9</v>
      </c>
      <c r="M39" s="122"/>
      <c r="N39" s="123">
        <f t="shared" si="6"/>
        <v>2916.9</v>
      </c>
      <c r="O39" s="124">
        <f t="shared" si="1"/>
        <v>72.856928764112311</v>
      </c>
    </row>
    <row r="40" spans="1:15" ht="56.25" customHeight="1" x14ac:dyDescent="0.25">
      <c r="A40" s="125" t="s">
        <v>126</v>
      </c>
      <c r="B40" s="116" t="s">
        <v>136</v>
      </c>
      <c r="C40" s="117"/>
      <c r="D40" s="117"/>
      <c r="E40" s="118"/>
      <c r="F40" s="119">
        <v>400</v>
      </c>
      <c r="G40" s="119">
        <v>305.5</v>
      </c>
      <c r="H40" s="120">
        <f t="shared" si="14"/>
        <v>76.375</v>
      </c>
      <c r="I40" s="121">
        <f t="shared" si="3"/>
        <v>400</v>
      </c>
      <c r="J40" s="122"/>
      <c r="K40" s="123">
        <f t="shared" si="7"/>
        <v>400</v>
      </c>
      <c r="L40" s="121">
        <f t="shared" si="5"/>
        <v>305.5</v>
      </c>
      <c r="M40" s="122"/>
      <c r="N40" s="123">
        <f t="shared" si="6"/>
        <v>305.5</v>
      </c>
      <c r="O40" s="124">
        <f t="shared" si="1"/>
        <v>76.375</v>
      </c>
    </row>
    <row r="41" spans="1:15" ht="66" customHeight="1" x14ac:dyDescent="0.25">
      <c r="A41" s="125" t="s">
        <v>126</v>
      </c>
      <c r="B41" s="116" t="s">
        <v>137</v>
      </c>
      <c r="C41" s="117">
        <v>0</v>
      </c>
      <c r="D41" s="117"/>
      <c r="E41" s="118"/>
      <c r="F41" s="119">
        <v>21926.7</v>
      </c>
      <c r="G41" s="119">
        <v>14763.5</v>
      </c>
      <c r="H41" s="120">
        <f t="shared" si="14"/>
        <v>67.331153342728271</v>
      </c>
      <c r="I41" s="121">
        <f t="shared" si="3"/>
        <v>21926.7</v>
      </c>
      <c r="J41" s="122"/>
      <c r="K41" s="123">
        <f t="shared" si="7"/>
        <v>21926.7</v>
      </c>
      <c r="L41" s="121">
        <f t="shared" si="5"/>
        <v>14763.5</v>
      </c>
      <c r="M41" s="122"/>
      <c r="N41" s="123">
        <f t="shared" si="6"/>
        <v>14763.5</v>
      </c>
      <c r="O41" s="124">
        <f t="shared" si="1"/>
        <v>67.331153342728271</v>
      </c>
    </row>
    <row r="42" spans="1:15" ht="38.25" customHeight="1" x14ac:dyDescent="0.25">
      <c r="A42" s="125" t="s">
        <v>126</v>
      </c>
      <c r="B42" s="116" t="s">
        <v>138</v>
      </c>
      <c r="C42" s="117"/>
      <c r="D42" s="117"/>
      <c r="E42" s="117"/>
      <c r="F42" s="119">
        <v>8858.6</v>
      </c>
      <c r="G42" s="119">
        <v>4818.2</v>
      </c>
      <c r="H42" s="120">
        <f t="shared" si="14"/>
        <v>54.390084211952228</v>
      </c>
      <c r="I42" s="121">
        <f t="shared" si="3"/>
        <v>8858.6</v>
      </c>
      <c r="J42" s="122"/>
      <c r="K42" s="123">
        <f t="shared" si="7"/>
        <v>8858.6</v>
      </c>
      <c r="L42" s="121">
        <f t="shared" si="5"/>
        <v>4818.2</v>
      </c>
      <c r="M42" s="122"/>
      <c r="N42" s="123">
        <f t="shared" si="6"/>
        <v>4818.2</v>
      </c>
      <c r="O42" s="124">
        <f t="shared" si="1"/>
        <v>54.390084211952228</v>
      </c>
    </row>
    <row r="43" spans="1:15" ht="51.75" customHeight="1" x14ac:dyDescent="0.25">
      <c r="A43" s="125" t="s">
        <v>126</v>
      </c>
      <c r="B43" s="116" t="s">
        <v>139</v>
      </c>
      <c r="C43" s="117"/>
      <c r="D43" s="117"/>
      <c r="E43" s="118"/>
      <c r="F43" s="119">
        <v>18132.900000000001</v>
      </c>
      <c r="G43" s="119">
        <v>13785.6</v>
      </c>
      <c r="H43" s="120">
        <f t="shared" si="14"/>
        <v>76.02534619393478</v>
      </c>
      <c r="I43" s="121">
        <f t="shared" si="3"/>
        <v>18132.900000000001</v>
      </c>
      <c r="J43" s="122"/>
      <c r="K43" s="123">
        <f t="shared" si="7"/>
        <v>18132.900000000001</v>
      </c>
      <c r="L43" s="121">
        <f t="shared" si="5"/>
        <v>13785.6</v>
      </c>
      <c r="M43" s="122"/>
      <c r="N43" s="123">
        <f t="shared" si="6"/>
        <v>13785.6</v>
      </c>
      <c r="O43" s="124">
        <f t="shared" si="1"/>
        <v>76.02534619393478</v>
      </c>
    </row>
    <row r="44" spans="1:15" ht="18" customHeight="1" x14ac:dyDescent="0.25">
      <c r="A44" s="115" t="s">
        <v>140</v>
      </c>
      <c r="B44" s="116" t="s">
        <v>141</v>
      </c>
      <c r="C44" s="117">
        <v>5580.5</v>
      </c>
      <c r="D44" s="117">
        <v>3372.4</v>
      </c>
      <c r="E44" s="118">
        <f t="shared" si="11"/>
        <v>60.431860944359826</v>
      </c>
      <c r="F44" s="119">
        <v>5478.2</v>
      </c>
      <c r="G44" s="119">
        <v>3952.2</v>
      </c>
      <c r="H44" s="119">
        <f t="shared" si="14"/>
        <v>72.144134934832607</v>
      </c>
      <c r="I44" s="121">
        <f t="shared" si="3"/>
        <v>11058.7</v>
      </c>
      <c r="J44" s="122"/>
      <c r="K44" s="123">
        <f t="shared" si="7"/>
        <v>11058.7</v>
      </c>
      <c r="L44" s="121">
        <f t="shared" si="5"/>
        <v>7324.6</v>
      </c>
      <c r="M44" s="122"/>
      <c r="N44" s="123">
        <f t="shared" si="6"/>
        <v>7324.6</v>
      </c>
      <c r="O44" s="124">
        <f t="shared" si="1"/>
        <v>66.233824952299997</v>
      </c>
    </row>
    <row r="45" spans="1:15" ht="78" customHeight="1" x14ac:dyDescent="0.25">
      <c r="A45" s="115" t="s">
        <v>142</v>
      </c>
      <c r="B45" s="134" t="s">
        <v>143</v>
      </c>
      <c r="C45" s="117">
        <v>3412.7</v>
      </c>
      <c r="D45" s="117">
        <v>1629.4</v>
      </c>
      <c r="E45" s="117">
        <f t="shared" si="11"/>
        <v>47.745187095261819</v>
      </c>
      <c r="F45" s="119">
        <v>1235</v>
      </c>
      <c r="G45" s="119">
        <v>483.4</v>
      </c>
      <c r="H45" s="119">
        <f t="shared" si="14"/>
        <v>39.141700404858298</v>
      </c>
      <c r="I45" s="121">
        <f t="shared" si="3"/>
        <v>4647.7</v>
      </c>
      <c r="J45" s="122">
        <v>1235</v>
      </c>
      <c r="K45" s="123">
        <f t="shared" si="7"/>
        <v>3412.7</v>
      </c>
      <c r="L45" s="121">
        <f t="shared" si="5"/>
        <v>2112.8000000000002</v>
      </c>
      <c r="M45" s="122">
        <v>483.4</v>
      </c>
      <c r="N45" s="123">
        <f t="shared" si="6"/>
        <v>1629.4</v>
      </c>
      <c r="O45" s="124">
        <f t="shared" si="1"/>
        <v>47.745187095261819</v>
      </c>
    </row>
    <row r="46" spans="1:15" ht="48.75" customHeight="1" x14ac:dyDescent="0.25">
      <c r="A46" s="115" t="s">
        <v>142</v>
      </c>
      <c r="B46" s="134" t="s">
        <v>144</v>
      </c>
      <c r="C46" s="117">
        <v>13294.2</v>
      </c>
      <c r="D46" s="117">
        <v>900</v>
      </c>
      <c r="E46" s="117">
        <f t="shared" si="11"/>
        <v>6.769869567179672</v>
      </c>
      <c r="F46" s="119"/>
      <c r="G46" s="119"/>
      <c r="H46" s="119"/>
      <c r="I46" s="121">
        <f t="shared" si="3"/>
        <v>13294.2</v>
      </c>
      <c r="J46" s="122"/>
      <c r="K46" s="123">
        <f t="shared" si="7"/>
        <v>13294.2</v>
      </c>
      <c r="L46" s="121">
        <f t="shared" si="5"/>
        <v>900</v>
      </c>
      <c r="M46" s="122"/>
      <c r="N46" s="123">
        <f t="shared" si="6"/>
        <v>900</v>
      </c>
      <c r="O46" s="124">
        <f t="shared" si="1"/>
        <v>6.769869567179672</v>
      </c>
    </row>
    <row r="47" spans="1:15" ht="93.75" customHeight="1" x14ac:dyDescent="0.25">
      <c r="A47" s="115" t="s">
        <v>142</v>
      </c>
      <c r="B47" s="134" t="s">
        <v>145</v>
      </c>
      <c r="C47" s="117">
        <v>1123.4000000000001</v>
      </c>
      <c r="D47" s="119">
        <v>759.4</v>
      </c>
      <c r="E47" s="118">
        <f t="shared" si="11"/>
        <v>67.598362115008001</v>
      </c>
      <c r="F47" s="119">
        <v>0</v>
      </c>
      <c r="G47" s="119"/>
      <c r="H47" s="119">
        <v>0</v>
      </c>
      <c r="I47" s="121">
        <f t="shared" si="3"/>
        <v>1123.4000000000001</v>
      </c>
      <c r="J47" s="122"/>
      <c r="K47" s="123">
        <f t="shared" si="7"/>
        <v>1123.4000000000001</v>
      </c>
      <c r="L47" s="121">
        <f t="shared" si="5"/>
        <v>759.4</v>
      </c>
      <c r="M47" s="122"/>
      <c r="N47" s="123">
        <f t="shared" si="6"/>
        <v>759.4</v>
      </c>
      <c r="O47" s="124">
        <f t="shared" si="1"/>
        <v>67.598362115008001</v>
      </c>
    </row>
    <row r="48" spans="1:15" ht="126.75" customHeight="1" x14ac:dyDescent="0.25">
      <c r="A48" s="125" t="s">
        <v>142</v>
      </c>
      <c r="B48" s="134" t="s">
        <v>146</v>
      </c>
      <c r="C48" s="117">
        <f>4382.7+601.8+381.1</f>
        <v>5365.6</v>
      </c>
      <c r="D48" s="119">
        <v>4993.8999999999996</v>
      </c>
      <c r="E48" s="117">
        <f t="shared" si="11"/>
        <v>93.072536156254642</v>
      </c>
      <c r="F48" s="119"/>
      <c r="G48" s="119"/>
      <c r="H48" s="119"/>
      <c r="I48" s="121">
        <f t="shared" si="3"/>
        <v>5365.6</v>
      </c>
      <c r="J48" s="122"/>
      <c r="K48" s="123">
        <f t="shared" si="7"/>
        <v>5365.6</v>
      </c>
      <c r="L48" s="121">
        <f t="shared" si="5"/>
        <v>4993.8999999999996</v>
      </c>
      <c r="M48" s="122"/>
      <c r="N48" s="123">
        <f t="shared" si="6"/>
        <v>4993.8999999999996</v>
      </c>
      <c r="O48" s="124">
        <f t="shared" si="1"/>
        <v>93.072536156254642</v>
      </c>
    </row>
    <row r="49" spans="1:15" ht="55.5" customHeight="1" x14ac:dyDescent="0.25">
      <c r="A49" s="125" t="s">
        <v>142</v>
      </c>
      <c r="B49" s="134" t="s">
        <v>147</v>
      </c>
      <c r="C49" s="117">
        <v>1546.5</v>
      </c>
      <c r="D49" s="119">
        <v>1118.4000000000001</v>
      </c>
      <c r="E49" s="117">
        <f t="shared" si="11"/>
        <v>72.318137730358885</v>
      </c>
      <c r="F49" s="119">
        <v>0</v>
      </c>
      <c r="G49" s="119"/>
      <c r="H49" s="119">
        <v>0</v>
      </c>
      <c r="I49" s="121">
        <f t="shared" si="3"/>
        <v>1546.5</v>
      </c>
      <c r="J49" s="122"/>
      <c r="K49" s="123">
        <f t="shared" si="7"/>
        <v>1546.5</v>
      </c>
      <c r="L49" s="121">
        <f t="shared" si="5"/>
        <v>1118.4000000000001</v>
      </c>
      <c r="M49" s="122"/>
      <c r="N49" s="123">
        <f t="shared" si="6"/>
        <v>1118.4000000000001</v>
      </c>
      <c r="O49" s="124">
        <f t="shared" si="1"/>
        <v>72.318137730358885</v>
      </c>
    </row>
    <row r="50" spans="1:15" ht="91.5" customHeight="1" x14ac:dyDescent="0.25">
      <c r="A50" s="125" t="s">
        <v>142</v>
      </c>
      <c r="B50" s="134" t="s">
        <v>148</v>
      </c>
      <c r="C50" s="117">
        <v>3319.5</v>
      </c>
      <c r="D50" s="119">
        <v>3319.5</v>
      </c>
      <c r="E50" s="117">
        <f t="shared" si="11"/>
        <v>100</v>
      </c>
      <c r="F50" s="119"/>
      <c r="G50" s="119"/>
      <c r="H50" s="119"/>
      <c r="I50" s="121">
        <f t="shared" si="3"/>
        <v>3319.5</v>
      </c>
      <c r="J50" s="122"/>
      <c r="K50" s="123">
        <f t="shared" si="7"/>
        <v>3319.5</v>
      </c>
      <c r="L50" s="121">
        <f t="shared" si="5"/>
        <v>3319.5</v>
      </c>
      <c r="M50" s="122"/>
      <c r="N50" s="123">
        <f t="shared" si="6"/>
        <v>3319.5</v>
      </c>
      <c r="O50" s="124">
        <f t="shared" si="1"/>
        <v>100</v>
      </c>
    </row>
    <row r="51" spans="1:15" ht="93" customHeight="1" x14ac:dyDescent="0.25">
      <c r="A51" s="125" t="s">
        <v>142</v>
      </c>
      <c r="B51" s="134" t="s">
        <v>149</v>
      </c>
      <c r="C51" s="117">
        <v>1598</v>
      </c>
      <c r="D51" s="119">
        <v>578</v>
      </c>
      <c r="E51" s="117">
        <f t="shared" si="11"/>
        <v>36.170212765957451</v>
      </c>
      <c r="F51" s="119"/>
      <c r="G51" s="119"/>
      <c r="H51" s="119"/>
      <c r="I51" s="121">
        <f t="shared" si="3"/>
        <v>1598</v>
      </c>
      <c r="J51" s="122"/>
      <c r="K51" s="123">
        <f t="shared" si="7"/>
        <v>1598</v>
      </c>
      <c r="L51" s="121">
        <f t="shared" si="5"/>
        <v>578</v>
      </c>
      <c r="M51" s="122"/>
      <c r="N51" s="123">
        <f t="shared" si="6"/>
        <v>578</v>
      </c>
      <c r="O51" s="124">
        <f t="shared" si="1"/>
        <v>36.170212765957451</v>
      </c>
    </row>
    <row r="52" spans="1:15" ht="59.25" customHeight="1" x14ac:dyDescent="0.25">
      <c r="A52" s="125" t="s">
        <v>142</v>
      </c>
      <c r="B52" s="134" t="s">
        <v>150</v>
      </c>
      <c r="C52" s="117">
        <v>85</v>
      </c>
      <c r="D52" s="119">
        <v>37.700000000000003</v>
      </c>
      <c r="E52" s="117">
        <f>D52/C52*100</f>
        <v>44.352941176470587</v>
      </c>
      <c r="F52" s="119"/>
      <c r="G52" s="119"/>
      <c r="H52" s="119">
        <v>0</v>
      </c>
      <c r="I52" s="121">
        <f t="shared" si="3"/>
        <v>85</v>
      </c>
      <c r="J52" s="122"/>
      <c r="K52" s="123">
        <f t="shared" si="7"/>
        <v>85</v>
      </c>
      <c r="L52" s="121">
        <f t="shared" si="5"/>
        <v>37.700000000000003</v>
      </c>
      <c r="M52" s="122"/>
      <c r="N52" s="123">
        <f t="shared" si="6"/>
        <v>37.700000000000003</v>
      </c>
      <c r="O52" s="124">
        <f t="shared" si="1"/>
        <v>44.352941176470587</v>
      </c>
    </row>
    <row r="53" spans="1:15" ht="48.75" customHeight="1" x14ac:dyDescent="0.25">
      <c r="A53" s="125" t="s">
        <v>142</v>
      </c>
      <c r="B53" s="134" t="s">
        <v>151</v>
      </c>
      <c r="C53" s="117">
        <v>0</v>
      </c>
      <c r="D53" s="119">
        <v>0</v>
      </c>
      <c r="E53" s="117"/>
      <c r="F53" s="119">
        <v>480</v>
      </c>
      <c r="G53" s="119">
        <v>140</v>
      </c>
      <c r="H53" s="119">
        <v>0</v>
      </c>
      <c r="I53" s="121">
        <f t="shared" si="3"/>
        <v>480</v>
      </c>
      <c r="J53" s="122"/>
      <c r="K53" s="123">
        <f t="shared" si="7"/>
        <v>480</v>
      </c>
      <c r="L53" s="121">
        <f t="shared" si="5"/>
        <v>140</v>
      </c>
      <c r="M53" s="122"/>
      <c r="N53" s="123">
        <f t="shared" si="6"/>
        <v>140</v>
      </c>
      <c r="O53" s="124">
        <f t="shared" si="1"/>
        <v>29.166666666666668</v>
      </c>
    </row>
    <row r="54" spans="1:15" ht="24.75" customHeight="1" x14ac:dyDescent="0.25">
      <c r="A54" s="110" t="s">
        <v>152</v>
      </c>
      <c r="B54" s="111" t="s">
        <v>153</v>
      </c>
      <c r="C54" s="112">
        <f>SUM(C55:C94)</f>
        <v>903363.8</v>
      </c>
      <c r="D54" s="112">
        <f>SUM(D55:D94)</f>
        <v>264033.59999999998</v>
      </c>
      <c r="E54" s="112">
        <f t="shared" si="11"/>
        <v>29.227826043062606</v>
      </c>
      <c r="F54" s="135">
        <f>SUM(F55:F94)</f>
        <v>300709.09999999998</v>
      </c>
      <c r="G54" s="135">
        <f>SUM(G55:G94)</f>
        <v>131610.20000000001</v>
      </c>
      <c r="H54" s="135">
        <f>G54/F54*100</f>
        <v>43.766616973014791</v>
      </c>
      <c r="I54" s="112">
        <f t="shared" ref="I54:N54" si="15">SUM(I55:I94)</f>
        <v>1204072.9000000004</v>
      </c>
      <c r="J54" s="112">
        <f t="shared" si="15"/>
        <v>200932.2</v>
      </c>
      <c r="K54" s="112">
        <f t="shared" si="15"/>
        <v>1003140.7000000001</v>
      </c>
      <c r="L54" s="112">
        <f t="shared" si="15"/>
        <v>395643.80000000005</v>
      </c>
      <c r="M54" s="112">
        <f t="shared" si="15"/>
        <v>69483.900000000009</v>
      </c>
      <c r="N54" s="112">
        <f t="shared" si="15"/>
        <v>326159.90000000002</v>
      </c>
      <c r="O54" s="114">
        <f t="shared" si="1"/>
        <v>32.513873676942829</v>
      </c>
    </row>
    <row r="55" spans="1:15" ht="93" customHeight="1" x14ac:dyDescent="0.25">
      <c r="A55" s="115" t="s">
        <v>154</v>
      </c>
      <c r="B55" s="116" t="s">
        <v>155</v>
      </c>
      <c r="C55" s="117">
        <f>420673.7+31663.7</f>
        <v>452337.4</v>
      </c>
      <c r="D55" s="117">
        <v>65357.2</v>
      </c>
      <c r="E55" s="118">
        <f t="shared" si="11"/>
        <v>14.44877208915292</v>
      </c>
      <c r="F55" s="119">
        <v>0</v>
      </c>
      <c r="G55" s="119">
        <v>0</v>
      </c>
      <c r="H55" s="120">
        <v>0</v>
      </c>
      <c r="I55" s="121">
        <f t="shared" si="3"/>
        <v>452337.4</v>
      </c>
      <c r="J55" s="122"/>
      <c r="K55" s="123">
        <f t="shared" si="7"/>
        <v>452337.4</v>
      </c>
      <c r="L55" s="121">
        <f t="shared" si="5"/>
        <v>65357.2</v>
      </c>
      <c r="M55" s="122"/>
      <c r="N55" s="123">
        <f t="shared" si="6"/>
        <v>65357.2</v>
      </c>
      <c r="O55" s="124">
        <f t="shared" si="1"/>
        <v>14.44877208915292</v>
      </c>
    </row>
    <row r="56" spans="1:15" ht="63" customHeight="1" x14ac:dyDescent="0.25">
      <c r="A56" s="115" t="s">
        <v>154</v>
      </c>
      <c r="B56" s="116" t="s">
        <v>156</v>
      </c>
      <c r="C56" s="117">
        <v>1836</v>
      </c>
      <c r="D56" s="117">
        <v>1107.7</v>
      </c>
      <c r="E56" s="118">
        <f t="shared" si="11"/>
        <v>60.332244008714596</v>
      </c>
      <c r="F56" s="119"/>
      <c r="G56" s="119"/>
      <c r="H56" s="120">
        <v>0</v>
      </c>
      <c r="I56" s="121">
        <f t="shared" si="3"/>
        <v>1836</v>
      </c>
      <c r="J56" s="122"/>
      <c r="K56" s="123">
        <f t="shared" si="7"/>
        <v>1836</v>
      </c>
      <c r="L56" s="121">
        <f t="shared" si="5"/>
        <v>1107.7</v>
      </c>
      <c r="M56" s="122"/>
      <c r="N56" s="123">
        <f t="shared" si="6"/>
        <v>1107.7</v>
      </c>
      <c r="O56" s="124">
        <f t="shared" si="1"/>
        <v>60.332244008714596</v>
      </c>
    </row>
    <row r="57" spans="1:15" ht="48.75" hidden="1" customHeight="1" x14ac:dyDescent="0.25">
      <c r="A57" s="115" t="s">
        <v>154</v>
      </c>
      <c r="B57" s="116" t="s">
        <v>157</v>
      </c>
      <c r="C57" s="117">
        <v>0</v>
      </c>
      <c r="D57" s="117">
        <v>0</v>
      </c>
      <c r="E57" s="118"/>
      <c r="F57" s="119"/>
      <c r="G57" s="119"/>
      <c r="H57" s="120">
        <v>0</v>
      </c>
      <c r="I57" s="121">
        <f t="shared" si="3"/>
        <v>0</v>
      </c>
      <c r="J57" s="122"/>
      <c r="K57" s="123">
        <f t="shared" si="7"/>
        <v>0</v>
      </c>
      <c r="L57" s="121">
        <f t="shared" si="5"/>
        <v>0</v>
      </c>
      <c r="M57" s="122"/>
      <c r="N57" s="123">
        <f t="shared" si="6"/>
        <v>0</v>
      </c>
      <c r="O57" s="124"/>
    </row>
    <row r="58" spans="1:15" ht="47.25" hidden="1" customHeight="1" x14ac:dyDescent="0.25">
      <c r="A58" s="115" t="s">
        <v>154</v>
      </c>
      <c r="B58" s="116" t="s">
        <v>158</v>
      </c>
      <c r="C58" s="117"/>
      <c r="D58" s="117"/>
      <c r="E58" s="118"/>
      <c r="F58" s="119"/>
      <c r="G58" s="119"/>
      <c r="H58" s="120">
        <v>0</v>
      </c>
      <c r="I58" s="121">
        <f t="shared" si="3"/>
        <v>0</v>
      </c>
      <c r="J58" s="122"/>
      <c r="K58" s="123">
        <f t="shared" si="7"/>
        <v>0</v>
      </c>
      <c r="L58" s="121">
        <f t="shared" si="5"/>
        <v>0</v>
      </c>
      <c r="M58" s="122"/>
      <c r="N58" s="123">
        <f t="shared" si="6"/>
        <v>0</v>
      </c>
      <c r="O58" s="124"/>
    </row>
    <row r="59" spans="1:15" ht="65.25" hidden="1" customHeight="1" x14ac:dyDescent="0.25">
      <c r="A59" s="115" t="s">
        <v>154</v>
      </c>
      <c r="B59" s="116" t="s">
        <v>159</v>
      </c>
      <c r="C59" s="117"/>
      <c r="D59" s="117"/>
      <c r="E59" s="118"/>
      <c r="F59" s="119"/>
      <c r="G59" s="119"/>
      <c r="H59" s="120">
        <v>0</v>
      </c>
      <c r="I59" s="121">
        <f t="shared" si="3"/>
        <v>0</v>
      </c>
      <c r="J59" s="122"/>
      <c r="K59" s="123">
        <f t="shared" si="7"/>
        <v>0</v>
      </c>
      <c r="L59" s="121">
        <f t="shared" si="5"/>
        <v>0</v>
      </c>
      <c r="M59" s="122"/>
      <c r="N59" s="123">
        <f t="shared" si="6"/>
        <v>0</v>
      </c>
      <c r="O59" s="124"/>
    </row>
    <row r="60" spans="1:15" ht="120.75" customHeight="1" x14ac:dyDescent="0.25">
      <c r="A60" s="115" t="s">
        <v>154</v>
      </c>
      <c r="B60" s="116" t="s">
        <v>160</v>
      </c>
      <c r="C60" s="117">
        <v>51343.6</v>
      </c>
      <c r="D60" s="117">
        <v>31670.400000000001</v>
      </c>
      <c r="E60" s="118">
        <f t="shared" si="11"/>
        <v>61.683247766031215</v>
      </c>
      <c r="F60" s="119"/>
      <c r="G60" s="119"/>
      <c r="H60" s="120">
        <v>0</v>
      </c>
      <c r="I60" s="121">
        <f t="shared" si="3"/>
        <v>51343.6</v>
      </c>
      <c r="J60" s="122"/>
      <c r="K60" s="123">
        <f t="shared" si="7"/>
        <v>51343.6</v>
      </c>
      <c r="L60" s="121">
        <f t="shared" si="5"/>
        <v>31670.400000000001</v>
      </c>
      <c r="M60" s="122"/>
      <c r="N60" s="123">
        <f t="shared" si="6"/>
        <v>31670.400000000001</v>
      </c>
      <c r="O60" s="124">
        <f t="shared" si="1"/>
        <v>61.683247766031215</v>
      </c>
    </row>
    <row r="61" spans="1:15" ht="109.5" customHeight="1" x14ac:dyDescent="0.25">
      <c r="A61" s="115" t="s">
        <v>154</v>
      </c>
      <c r="B61" s="116" t="s">
        <v>161</v>
      </c>
      <c r="C61" s="117">
        <v>6355.3</v>
      </c>
      <c r="D61" s="117">
        <v>4132.8</v>
      </c>
      <c r="E61" s="118">
        <f t="shared" si="11"/>
        <v>65.029188236589931</v>
      </c>
      <c r="F61" s="119"/>
      <c r="G61" s="119"/>
      <c r="H61" s="120">
        <v>0</v>
      </c>
      <c r="I61" s="121">
        <f t="shared" si="3"/>
        <v>6355.3</v>
      </c>
      <c r="J61" s="122"/>
      <c r="K61" s="123">
        <f t="shared" si="7"/>
        <v>6355.3</v>
      </c>
      <c r="L61" s="121">
        <f t="shared" si="5"/>
        <v>4132.8</v>
      </c>
      <c r="M61" s="122"/>
      <c r="N61" s="123">
        <f t="shared" si="6"/>
        <v>4132.8</v>
      </c>
      <c r="O61" s="124">
        <f t="shared" si="1"/>
        <v>65.029188236589931</v>
      </c>
    </row>
    <row r="62" spans="1:15" ht="147.75" customHeight="1" x14ac:dyDescent="0.25">
      <c r="A62" s="115" t="s">
        <v>154</v>
      </c>
      <c r="B62" s="116" t="s">
        <v>162</v>
      </c>
      <c r="C62" s="117">
        <v>33091</v>
      </c>
      <c r="D62" s="117">
        <v>20248.2</v>
      </c>
      <c r="E62" s="118">
        <f t="shared" si="11"/>
        <v>61.189447281738239</v>
      </c>
      <c r="F62" s="119"/>
      <c r="G62" s="119"/>
      <c r="H62" s="120">
        <v>0</v>
      </c>
      <c r="I62" s="121">
        <f t="shared" si="3"/>
        <v>33091</v>
      </c>
      <c r="J62" s="122"/>
      <c r="K62" s="123">
        <f t="shared" si="7"/>
        <v>33091</v>
      </c>
      <c r="L62" s="121">
        <f t="shared" si="5"/>
        <v>20248.2</v>
      </c>
      <c r="M62" s="122"/>
      <c r="N62" s="123">
        <f t="shared" si="6"/>
        <v>20248.2</v>
      </c>
      <c r="O62" s="124">
        <f t="shared" si="1"/>
        <v>61.189447281738239</v>
      </c>
    </row>
    <row r="63" spans="1:15" ht="61.5" customHeight="1" x14ac:dyDescent="0.25">
      <c r="A63" s="115" t="s">
        <v>154</v>
      </c>
      <c r="B63" s="116" t="s">
        <v>163</v>
      </c>
      <c r="C63" s="117"/>
      <c r="D63" s="117"/>
      <c r="E63" s="118"/>
      <c r="F63" s="119">
        <v>100</v>
      </c>
      <c r="G63" s="119">
        <v>100</v>
      </c>
      <c r="H63" s="120">
        <f>G63/F63*100</f>
        <v>100</v>
      </c>
      <c r="I63" s="121">
        <f t="shared" si="3"/>
        <v>100</v>
      </c>
      <c r="J63" s="122"/>
      <c r="K63" s="123">
        <f t="shared" si="7"/>
        <v>100</v>
      </c>
      <c r="L63" s="121">
        <f t="shared" si="5"/>
        <v>100</v>
      </c>
      <c r="M63" s="122"/>
      <c r="N63" s="123">
        <f t="shared" si="6"/>
        <v>100</v>
      </c>
      <c r="O63" s="124">
        <f t="shared" si="1"/>
        <v>100</v>
      </c>
    </row>
    <row r="64" spans="1:15" ht="58.5" customHeight="1" x14ac:dyDescent="0.25">
      <c r="A64" s="125" t="s">
        <v>154</v>
      </c>
      <c r="B64" s="116" t="s">
        <v>164</v>
      </c>
      <c r="C64" s="117">
        <f>31821.8+1200.4</f>
        <v>33022.199999999997</v>
      </c>
      <c r="D64" s="117">
        <v>12352.3</v>
      </c>
      <c r="E64" s="118">
        <f t="shared" si="11"/>
        <v>37.406048052522245</v>
      </c>
      <c r="F64" s="119">
        <v>31605.200000000001</v>
      </c>
      <c r="G64" s="119">
        <v>9794.2999999999993</v>
      </c>
      <c r="H64" s="120">
        <f>G64/F64*100</f>
        <v>30.989520711781605</v>
      </c>
      <c r="I64" s="121">
        <f t="shared" si="3"/>
        <v>64627.399999999994</v>
      </c>
      <c r="J64" s="122">
        <v>24754.3</v>
      </c>
      <c r="K64" s="123">
        <f t="shared" si="7"/>
        <v>39873.099999999991</v>
      </c>
      <c r="L64" s="121">
        <f t="shared" si="5"/>
        <v>22146.6</v>
      </c>
      <c r="M64" s="122">
        <v>6345.7</v>
      </c>
      <c r="N64" s="123">
        <f t="shared" si="6"/>
        <v>15800.899999999998</v>
      </c>
      <c r="O64" s="124">
        <f t="shared" si="1"/>
        <v>39.627969733981054</v>
      </c>
    </row>
    <row r="65" spans="1:15" ht="205.5" customHeight="1" x14ac:dyDescent="0.25">
      <c r="A65" s="132" t="s">
        <v>165</v>
      </c>
      <c r="B65" s="116" t="s">
        <v>166</v>
      </c>
      <c r="C65" s="117">
        <v>44817</v>
      </c>
      <c r="D65" s="117">
        <v>30290.7</v>
      </c>
      <c r="E65" s="118">
        <f t="shared" si="11"/>
        <v>67.587522591873622</v>
      </c>
      <c r="F65" s="119"/>
      <c r="G65" s="119"/>
      <c r="H65" s="120" t="e">
        <f>G65/F65*100</f>
        <v>#DIV/0!</v>
      </c>
      <c r="I65" s="121">
        <f t="shared" si="3"/>
        <v>44817</v>
      </c>
      <c r="J65" s="122"/>
      <c r="K65" s="123">
        <f t="shared" si="7"/>
        <v>44817</v>
      </c>
      <c r="L65" s="121">
        <f t="shared" si="5"/>
        <v>30290.7</v>
      </c>
      <c r="M65" s="122"/>
      <c r="N65" s="123">
        <f t="shared" si="6"/>
        <v>30290.7</v>
      </c>
      <c r="O65" s="124">
        <f t="shared" si="1"/>
        <v>67.587522591873622</v>
      </c>
    </row>
    <row r="66" spans="1:15" ht="223.5" customHeight="1" x14ac:dyDescent="0.25">
      <c r="A66" s="132" t="s">
        <v>165</v>
      </c>
      <c r="B66" s="116" t="s">
        <v>167</v>
      </c>
      <c r="C66" s="117">
        <v>7755.9</v>
      </c>
      <c r="D66" s="117"/>
      <c r="E66" s="118">
        <f t="shared" si="11"/>
        <v>0</v>
      </c>
      <c r="F66" s="119">
        <v>5977.6</v>
      </c>
      <c r="G66" s="119"/>
      <c r="H66" s="120">
        <f>G66/F66*100</f>
        <v>0</v>
      </c>
      <c r="I66" s="121">
        <f t="shared" si="3"/>
        <v>13733.5</v>
      </c>
      <c r="J66" s="122">
        <v>5977.6</v>
      </c>
      <c r="K66" s="123">
        <f t="shared" si="7"/>
        <v>7755.9</v>
      </c>
      <c r="L66" s="121">
        <f t="shared" si="5"/>
        <v>0</v>
      </c>
      <c r="M66" s="122"/>
      <c r="N66" s="123">
        <f t="shared" si="6"/>
        <v>0</v>
      </c>
      <c r="O66" s="124">
        <f t="shared" si="1"/>
        <v>0</v>
      </c>
    </row>
    <row r="67" spans="1:15" ht="206.25" customHeight="1" x14ac:dyDescent="0.25">
      <c r="A67" s="115" t="s">
        <v>165</v>
      </c>
      <c r="B67" s="116" t="s">
        <v>168</v>
      </c>
      <c r="C67" s="117">
        <v>14898</v>
      </c>
      <c r="D67" s="117">
        <v>14898</v>
      </c>
      <c r="E67" s="118">
        <f t="shared" si="11"/>
        <v>100</v>
      </c>
      <c r="F67" s="119">
        <v>13600</v>
      </c>
      <c r="G67" s="119">
        <v>13600</v>
      </c>
      <c r="H67" s="120">
        <f t="shared" ref="H67" si="16">G67/F67*100</f>
        <v>100</v>
      </c>
      <c r="I67" s="121">
        <f t="shared" si="3"/>
        <v>28498</v>
      </c>
      <c r="J67" s="122">
        <v>13600</v>
      </c>
      <c r="K67" s="123">
        <f t="shared" si="7"/>
        <v>14898</v>
      </c>
      <c r="L67" s="121">
        <f t="shared" si="5"/>
        <v>28498</v>
      </c>
      <c r="M67" s="122">
        <v>13600</v>
      </c>
      <c r="N67" s="123">
        <f t="shared" si="6"/>
        <v>14898</v>
      </c>
      <c r="O67" s="124">
        <f t="shared" si="1"/>
        <v>100</v>
      </c>
    </row>
    <row r="68" spans="1:15" ht="165" customHeight="1" x14ac:dyDescent="0.25">
      <c r="A68" s="125" t="s">
        <v>165</v>
      </c>
      <c r="B68" s="116" t="s">
        <v>169</v>
      </c>
      <c r="C68" s="117">
        <v>2186.3000000000002</v>
      </c>
      <c r="D68" s="117">
        <v>1630.2</v>
      </c>
      <c r="E68" s="118">
        <f t="shared" si="11"/>
        <v>74.564332433792245</v>
      </c>
      <c r="F68" s="119"/>
      <c r="G68" s="119"/>
      <c r="H68" s="120"/>
      <c r="I68" s="121">
        <f t="shared" si="3"/>
        <v>2186.3000000000002</v>
      </c>
      <c r="J68" s="122"/>
      <c r="K68" s="123">
        <f t="shared" si="7"/>
        <v>2186.3000000000002</v>
      </c>
      <c r="L68" s="121">
        <f t="shared" si="5"/>
        <v>1630.2</v>
      </c>
      <c r="M68" s="122"/>
      <c r="N68" s="123">
        <f t="shared" si="6"/>
        <v>1630.2</v>
      </c>
      <c r="O68" s="124">
        <f t="shared" si="1"/>
        <v>74.564332433792245</v>
      </c>
    </row>
    <row r="69" spans="1:15" ht="162.75" customHeight="1" x14ac:dyDescent="0.25">
      <c r="A69" s="125" t="s">
        <v>165</v>
      </c>
      <c r="B69" s="116" t="s">
        <v>170</v>
      </c>
      <c r="C69" s="117">
        <v>6728.9</v>
      </c>
      <c r="D69" s="117">
        <v>2445.3000000000002</v>
      </c>
      <c r="E69" s="118">
        <f t="shared" si="11"/>
        <v>36.340263638930587</v>
      </c>
      <c r="F69" s="119"/>
      <c r="G69" s="119"/>
      <c r="H69" s="120"/>
      <c r="I69" s="121">
        <f t="shared" si="3"/>
        <v>6728.9</v>
      </c>
      <c r="J69" s="122"/>
      <c r="K69" s="123">
        <f t="shared" si="7"/>
        <v>6728.9</v>
      </c>
      <c r="L69" s="121">
        <f t="shared" si="5"/>
        <v>2445.3000000000002</v>
      </c>
      <c r="M69" s="122"/>
      <c r="N69" s="123">
        <f t="shared" si="6"/>
        <v>2445.3000000000002</v>
      </c>
      <c r="O69" s="124">
        <f t="shared" si="1"/>
        <v>36.340263638930587</v>
      </c>
    </row>
    <row r="70" spans="1:15" ht="207" customHeight="1" x14ac:dyDescent="0.25">
      <c r="A70" s="115" t="s">
        <v>165</v>
      </c>
      <c r="B70" s="136" t="s">
        <v>171</v>
      </c>
      <c r="C70" s="117">
        <v>28857</v>
      </c>
      <c r="D70" s="117">
        <v>16907.2</v>
      </c>
      <c r="E70" s="118">
        <f>D70/C70*100</f>
        <v>58.589596978202863</v>
      </c>
      <c r="F70" s="119"/>
      <c r="G70" s="119"/>
      <c r="H70" s="120"/>
      <c r="I70" s="121">
        <f t="shared" si="3"/>
        <v>28857</v>
      </c>
      <c r="J70" s="122"/>
      <c r="K70" s="123">
        <f t="shared" si="7"/>
        <v>28857</v>
      </c>
      <c r="L70" s="121">
        <f t="shared" si="5"/>
        <v>16907.2</v>
      </c>
      <c r="M70" s="122"/>
      <c r="N70" s="123">
        <f t="shared" si="6"/>
        <v>16907.2</v>
      </c>
      <c r="O70" s="124">
        <f>N70/K70*100</f>
        <v>58.589596978202863</v>
      </c>
    </row>
    <row r="71" spans="1:15" ht="213" customHeight="1" x14ac:dyDescent="0.25">
      <c r="A71" s="125" t="s">
        <v>165</v>
      </c>
      <c r="B71" s="134" t="s">
        <v>172</v>
      </c>
      <c r="C71" s="117">
        <v>114789.8</v>
      </c>
      <c r="D71" s="117">
        <v>30514.3</v>
      </c>
      <c r="E71" s="118">
        <f t="shared" ref="E71:E78" si="17">D71/C71*100</f>
        <v>26.582762579950479</v>
      </c>
      <c r="F71" s="119">
        <v>45183.4</v>
      </c>
      <c r="G71" s="119">
        <v>6779.1</v>
      </c>
      <c r="H71" s="120">
        <f>G71/F71*100</f>
        <v>15.003518991488024</v>
      </c>
      <c r="I71" s="121">
        <f t="shared" si="3"/>
        <v>159973.20000000001</v>
      </c>
      <c r="J71" s="122">
        <f>54483.4-9300</f>
        <v>45183.4</v>
      </c>
      <c r="K71" s="123">
        <f t="shared" si="7"/>
        <v>114789.80000000002</v>
      </c>
      <c r="L71" s="121">
        <f>D71+G71</f>
        <v>37293.4</v>
      </c>
      <c r="M71" s="122">
        <v>6779.1</v>
      </c>
      <c r="N71" s="123">
        <f>L71-M71</f>
        <v>30514.300000000003</v>
      </c>
      <c r="O71" s="124">
        <f t="shared" si="1"/>
        <v>26.582762579950479</v>
      </c>
    </row>
    <row r="72" spans="1:15" ht="105.75" hidden="1" customHeight="1" x14ac:dyDescent="0.25">
      <c r="A72" s="125" t="s">
        <v>165</v>
      </c>
      <c r="B72" s="134" t="s">
        <v>173</v>
      </c>
      <c r="C72" s="117"/>
      <c r="D72" s="117"/>
      <c r="E72" s="118"/>
      <c r="F72" s="119"/>
      <c r="G72" s="119"/>
      <c r="H72" s="120"/>
      <c r="I72" s="121">
        <f t="shared" si="3"/>
        <v>0</v>
      </c>
      <c r="J72" s="122"/>
      <c r="K72" s="123">
        <f t="shared" si="7"/>
        <v>0</v>
      </c>
      <c r="L72" s="121">
        <f t="shared" si="5"/>
        <v>0</v>
      </c>
      <c r="M72" s="122"/>
      <c r="N72" s="123">
        <f t="shared" si="6"/>
        <v>0</v>
      </c>
      <c r="O72" s="124"/>
    </row>
    <row r="73" spans="1:15" ht="47.25" hidden="1" customHeight="1" x14ac:dyDescent="0.25">
      <c r="A73" s="125" t="s">
        <v>165</v>
      </c>
      <c r="B73" s="134" t="s">
        <v>174</v>
      </c>
      <c r="C73" s="117"/>
      <c r="D73" s="117"/>
      <c r="E73" s="118"/>
      <c r="F73" s="119"/>
      <c r="G73" s="119"/>
      <c r="H73" s="120"/>
      <c r="I73" s="121">
        <f t="shared" si="3"/>
        <v>0</v>
      </c>
      <c r="J73" s="122"/>
      <c r="K73" s="123">
        <f t="shared" si="7"/>
        <v>0</v>
      </c>
      <c r="L73" s="121">
        <f t="shared" si="5"/>
        <v>0</v>
      </c>
      <c r="M73" s="122"/>
      <c r="N73" s="123">
        <f t="shared" si="6"/>
        <v>0</v>
      </c>
      <c r="O73" s="124"/>
    </row>
    <row r="74" spans="1:15" ht="77.25" customHeight="1" x14ac:dyDescent="0.25">
      <c r="A74" s="125" t="s">
        <v>165</v>
      </c>
      <c r="B74" s="134" t="s">
        <v>175</v>
      </c>
      <c r="C74" s="117"/>
      <c r="D74" s="117"/>
      <c r="E74" s="118"/>
      <c r="F74" s="119">
        <v>50</v>
      </c>
      <c r="G74" s="119">
        <v>50</v>
      </c>
      <c r="H74" s="120">
        <f>G74/F74*100</f>
        <v>100</v>
      </c>
      <c r="I74" s="121">
        <f t="shared" si="3"/>
        <v>50</v>
      </c>
      <c r="J74" s="122"/>
      <c r="K74" s="123">
        <f t="shared" si="7"/>
        <v>50</v>
      </c>
      <c r="L74" s="121">
        <f t="shared" si="5"/>
        <v>50</v>
      </c>
      <c r="M74" s="122"/>
      <c r="N74" s="123">
        <f t="shared" si="6"/>
        <v>50</v>
      </c>
      <c r="O74" s="124">
        <f>N74/K74*100</f>
        <v>100</v>
      </c>
    </row>
    <row r="75" spans="1:15" ht="97.5" hidden="1" customHeight="1" x14ac:dyDescent="0.25">
      <c r="A75" s="125" t="s">
        <v>165</v>
      </c>
      <c r="B75" s="134" t="s">
        <v>176</v>
      </c>
      <c r="C75" s="117"/>
      <c r="D75" s="117"/>
      <c r="E75" s="118"/>
      <c r="F75" s="119"/>
      <c r="G75" s="119"/>
      <c r="H75" s="120"/>
      <c r="I75" s="121">
        <f t="shared" si="3"/>
        <v>0</v>
      </c>
      <c r="J75" s="122"/>
      <c r="K75" s="123">
        <f t="shared" si="7"/>
        <v>0</v>
      </c>
      <c r="L75" s="121">
        <f t="shared" si="5"/>
        <v>0</v>
      </c>
      <c r="M75" s="122"/>
      <c r="N75" s="123">
        <f t="shared" si="6"/>
        <v>0</v>
      </c>
      <c r="O75" s="124"/>
    </row>
    <row r="76" spans="1:15" ht="102" customHeight="1" x14ac:dyDescent="0.25">
      <c r="A76" s="125" t="s">
        <v>165</v>
      </c>
      <c r="B76" s="134" t="s">
        <v>177</v>
      </c>
      <c r="C76" s="117"/>
      <c r="D76" s="117"/>
      <c r="E76" s="118"/>
      <c r="F76" s="119">
        <v>7692.5</v>
      </c>
      <c r="G76" s="119">
        <v>7500.9</v>
      </c>
      <c r="H76" s="120">
        <f>G76/F76*100</f>
        <v>97.50926226844328</v>
      </c>
      <c r="I76" s="121">
        <f t="shared" si="3"/>
        <v>7692.5</v>
      </c>
      <c r="J76" s="122"/>
      <c r="K76" s="123">
        <f t="shared" si="7"/>
        <v>7692.5</v>
      </c>
      <c r="L76" s="121">
        <f t="shared" si="5"/>
        <v>7500.9</v>
      </c>
      <c r="M76" s="122"/>
      <c r="N76" s="123">
        <f t="shared" si="6"/>
        <v>7500.9</v>
      </c>
      <c r="O76" s="137">
        <f t="shared" si="1"/>
        <v>97.50926226844328</v>
      </c>
    </row>
    <row r="77" spans="1:15" ht="27" customHeight="1" x14ac:dyDescent="0.25">
      <c r="A77" s="125" t="s">
        <v>165</v>
      </c>
      <c r="B77" s="134" t="s">
        <v>178</v>
      </c>
      <c r="C77" s="117"/>
      <c r="D77" s="117"/>
      <c r="E77" s="118"/>
      <c r="F77" s="119">
        <v>29143.1</v>
      </c>
      <c r="G77" s="119">
        <v>15033</v>
      </c>
      <c r="H77" s="120">
        <f>G77/F77*100</f>
        <v>51.583393667797871</v>
      </c>
      <c r="I77" s="121">
        <f t="shared" si="3"/>
        <v>29143.1</v>
      </c>
      <c r="J77" s="122"/>
      <c r="K77" s="123">
        <f t="shared" si="7"/>
        <v>29143.1</v>
      </c>
      <c r="L77" s="121">
        <f t="shared" si="5"/>
        <v>15033</v>
      </c>
      <c r="M77" s="122"/>
      <c r="N77" s="123">
        <f t="shared" si="6"/>
        <v>15033</v>
      </c>
      <c r="O77" s="124">
        <f t="shared" si="1"/>
        <v>51.583393667797871</v>
      </c>
    </row>
    <row r="78" spans="1:15" ht="51.75" customHeight="1" x14ac:dyDescent="0.25">
      <c r="A78" s="125" t="s">
        <v>165</v>
      </c>
      <c r="B78" s="134" t="s">
        <v>179</v>
      </c>
      <c r="C78" s="117">
        <v>10480</v>
      </c>
      <c r="D78" s="117"/>
      <c r="E78" s="118">
        <f t="shared" si="17"/>
        <v>0</v>
      </c>
      <c r="F78" s="119"/>
      <c r="G78" s="119"/>
      <c r="H78" s="120"/>
      <c r="I78" s="121">
        <f t="shared" si="3"/>
        <v>10480</v>
      </c>
      <c r="J78" s="122"/>
      <c r="K78" s="123">
        <f t="shared" si="7"/>
        <v>10480</v>
      </c>
      <c r="L78" s="121">
        <f t="shared" si="5"/>
        <v>0</v>
      </c>
      <c r="M78" s="122"/>
      <c r="N78" s="123">
        <f t="shared" si="6"/>
        <v>0</v>
      </c>
      <c r="O78" s="124">
        <f t="shared" si="1"/>
        <v>0</v>
      </c>
    </row>
    <row r="79" spans="1:15" ht="116.25" customHeight="1" x14ac:dyDescent="0.25">
      <c r="A79" s="125" t="s">
        <v>165</v>
      </c>
      <c r="B79" s="134" t="s">
        <v>180</v>
      </c>
      <c r="C79" s="117"/>
      <c r="D79" s="117"/>
      <c r="E79" s="118"/>
      <c r="F79" s="119">
        <v>16598</v>
      </c>
      <c r="G79" s="119">
        <v>10301.799999999999</v>
      </c>
      <c r="H79" s="120">
        <f>G79/F79*100</f>
        <v>62.066514037835887</v>
      </c>
      <c r="I79" s="121">
        <f t="shared" si="3"/>
        <v>16598</v>
      </c>
      <c r="J79" s="122">
        <v>16598</v>
      </c>
      <c r="K79" s="123">
        <f>I79-J79</f>
        <v>0</v>
      </c>
      <c r="L79" s="121">
        <f t="shared" si="5"/>
        <v>10301.799999999999</v>
      </c>
      <c r="M79" s="122">
        <v>10301.799999999999</v>
      </c>
      <c r="N79" s="123">
        <f t="shared" si="6"/>
        <v>0</v>
      </c>
      <c r="O79" s="124"/>
    </row>
    <row r="80" spans="1:15" ht="93.75" hidden="1" customHeight="1" x14ac:dyDescent="0.25">
      <c r="A80" s="125" t="s">
        <v>181</v>
      </c>
      <c r="B80" s="116" t="s">
        <v>182</v>
      </c>
      <c r="C80" s="117"/>
      <c r="D80" s="117"/>
      <c r="E80" s="118"/>
      <c r="F80" s="117"/>
      <c r="G80" s="119"/>
      <c r="H80" s="120"/>
      <c r="I80" s="121">
        <f t="shared" si="3"/>
        <v>0</v>
      </c>
      <c r="J80" s="122"/>
      <c r="K80" s="123">
        <f t="shared" si="7"/>
        <v>0</v>
      </c>
      <c r="L80" s="121">
        <f t="shared" si="5"/>
        <v>0</v>
      </c>
      <c r="M80" s="122"/>
      <c r="N80" s="123">
        <f t="shared" si="6"/>
        <v>0</v>
      </c>
      <c r="O80" s="124"/>
    </row>
    <row r="81" spans="1:15" ht="111" customHeight="1" x14ac:dyDescent="0.25">
      <c r="A81" s="138" t="s">
        <v>181</v>
      </c>
      <c r="B81" s="116" t="s">
        <v>183</v>
      </c>
      <c r="C81" s="117">
        <v>3104.7</v>
      </c>
      <c r="D81" s="117">
        <v>25</v>
      </c>
      <c r="E81" s="118">
        <f t="shared" si="11"/>
        <v>0.80523077914130203</v>
      </c>
      <c r="F81" s="117">
        <v>3104.7</v>
      </c>
      <c r="G81" s="119">
        <v>25</v>
      </c>
      <c r="H81" s="120">
        <f>G81/F81*100</f>
        <v>0.80523077914130203</v>
      </c>
      <c r="I81" s="121">
        <f t="shared" ref="I81:I137" si="18">C81+F81</f>
        <v>6209.4</v>
      </c>
      <c r="J81" s="122">
        <v>3104.7</v>
      </c>
      <c r="K81" s="123">
        <f t="shared" si="7"/>
        <v>3104.7</v>
      </c>
      <c r="L81" s="121">
        <f t="shared" ref="L81:L137" si="19">D81+G81</f>
        <v>50</v>
      </c>
      <c r="M81" s="122">
        <v>25</v>
      </c>
      <c r="N81" s="123">
        <f t="shared" ref="N81:N137" si="20">L81-M81</f>
        <v>25</v>
      </c>
      <c r="O81" s="124">
        <f t="shared" si="1"/>
        <v>0.80523077914130203</v>
      </c>
    </row>
    <row r="82" spans="1:15" ht="62.25" hidden="1" customHeight="1" x14ac:dyDescent="0.25">
      <c r="A82" s="125" t="s">
        <v>181</v>
      </c>
      <c r="B82" s="116" t="s">
        <v>184</v>
      </c>
      <c r="C82" s="117"/>
      <c r="D82" s="117"/>
      <c r="E82" s="118"/>
      <c r="F82" s="117"/>
      <c r="G82" s="119"/>
      <c r="H82" s="120"/>
      <c r="I82" s="121">
        <f t="shared" si="18"/>
        <v>0</v>
      </c>
      <c r="J82" s="122"/>
      <c r="K82" s="123">
        <f t="shared" si="7"/>
        <v>0</v>
      </c>
      <c r="L82" s="121">
        <f t="shared" si="19"/>
        <v>0</v>
      </c>
      <c r="M82" s="122"/>
      <c r="N82" s="123">
        <f t="shared" si="20"/>
        <v>0</v>
      </c>
      <c r="O82" s="124"/>
    </row>
    <row r="83" spans="1:15" ht="90" hidden="1" customHeight="1" x14ac:dyDescent="0.25">
      <c r="A83" s="125" t="s">
        <v>181</v>
      </c>
      <c r="B83" s="116" t="s">
        <v>185</v>
      </c>
      <c r="C83" s="117"/>
      <c r="D83" s="117"/>
      <c r="E83" s="118"/>
      <c r="F83" s="117"/>
      <c r="G83" s="119"/>
      <c r="H83" s="120"/>
      <c r="I83" s="121">
        <f t="shared" si="18"/>
        <v>0</v>
      </c>
      <c r="J83" s="122"/>
      <c r="K83" s="123">
        <f t="shared" ref="K83:K137" si="21">I83-J83</f>
        <v>0</v>
      </c>
      <c r="L83" s="121">
        <f t="shared" si="19"/>
        <v>0</v>
      </c>
      <c r="M83" s="122"/>
      <c r="N83" s="123">
        <f t="shared" si="20"/>
        <v>0</v>
      </c>
      <c r="O83" s="124"/>
    </row>
    <row r="84" spans="1:15" ht="77.25" customHeight="1" x14ac:dyDescent="0.25">
      <c r="A84" s="125" t="s">
        <v>181</v>
      </c>
      <c r="B84" s="116" t="s">
        <v>186</v>
      </c>
      <c r="C84" s="117">
        <v>77861.100000000006</v>
      </c>
      <c r="D84" s="117">
        <v>31939.599999999999</v>
      </c>
      <c r="E84" s="118">
        <f t="shared" si="11"/>
        <v>41.021254516054867</v>
      </c>
      <c r="F84" s="117">
        <v>77861.2</v>
      </c>
      <c r="G84" s="119">
        <v>31939.599999999999</v>
      </c>
      <c r="H84" s="120">
        <f>G84/F84*100</f>
        <v>41.02120183095046</v>
      </c>
      <c r="I84" s="121">
        <f t="shared" si="18"/>
        <v>155722.29999999999</v>
      </c>
      <c r="J84" s="122">
        <v>77861.2</v>
      </c>
      <c r="K84" s="123">
        <f t="shared" si="21"/>
        <v>77861.099999999991</v>
      </c>
      <c r="L84" s="121">
        <f t="shared" si="19"/>
        <v>63879.199999999997</v>
      </c>
      <c r="M84" s="122">
        <v>31939.599999999999</v>
      </c>
      <c r="N84" s="123">
        <f>L84-M84</f>
        <v>31939.599999999999</v>
      </c>
      <c r="O84" s="124">
        <f t="shared" si="1"/>
        <v>41.021254516054874</v>
      </c>
    </row>
    <row r="85" spans="1:15" ht="47.25" customHeight="1" x14ac:dyDescent="0.25">
      <c r="A85" s="139" t="s">
        <v>181</v>
      </c>
      <c r="B85" s="140" t="s">
        <v>187</v>
      </c>
      <c r="C85" s="117"/>
      <c r="D85" s="117"/>
      <c r="E85" s="118"/>
      <c r="F85" s="117">
        <v>2000</v>
      </c>
      <c r="G85" s="119">
        <v>901</v>
      </c>
      <c r="H85" s="120">
        <f>G85/F85*100</f>
        <v>45.050000000000004</v>
      </c>
      <c r="I85" s="121">
        <f t="shared" si="18"/>
        <v>2000</v>
      </c>
      <c r="J85" s="122"/>
      <c r="K85" s="123">
        <f t="shared" si="21"/>
        <v>2000</v>
      </c>
      <c r="L85" s="121">
        <f t="shared" si="19"/>
        <v>901</v>
      </c>
      <c r="M85" s="122"/>
      <c r="N85" s="123">
        <f t="shared" si="20"/>
        <v>901</v>
      </c>
      <c r="O85" s="124">
        <f t="shared" si="1"/>
        <v>45.050000000000004</v>
      </c>
    </row>
    <row r="86" spans="1:15" ht="108.75" hidden="1" customHeight="1" x14ac:dyDescent="0.25">
      <c r="A86" s="125" t="s">
        <v>181</v>
      </c>
      <c r="B86" s="116" t="s">
        <v>188</v>
      </c>
      <c r="C86" s="117"/>
      <c r="D86" s="117"/>
      <c r="E86" s="118"/>
      <c r="F86" s="117"/>
      <c r="G86" s="119"/>
      <c r="H86" s="120" t="e">
        <f t="shared" ref="H86:H87" si="22">G86/F86*100</f>
        <v>#DIV/0!</v>
      </c>
      <c r="I86" s="121">
        <f t="shared" si="18"/>
        <v>0</v>
      </c>
      <c r="J86" s="122"/>
      <c r="K86" s="123">
        <f t="shared" si="21"/>
        <v>0</v>
      </c>
      <c r="L86" s="121">
        <f t="shared" si="19"/>
        <v>0</v>
      </c>
      <c r="M86" s="122"/>
      <c r="N86" s="123">
        <f t="shared" si="20"/>
        <v>0</v>
      </c>
      <c r="O86" s="124"/>
    </row>
    <row r="87" spans="1:15" ht="60" x14ac:dyDescent="0.25">
      <c r="A87" s="125" t="s">
        <v>181</v>
      </c>
      <c r="B87" s="116" t="s">
        <v>189</v>
      </c>
      <c r="C87" s="117">
        <v>500</v>
      </c>
      <c r="D87" s="117">
        <v>492.7</v>
      </c>
      <c r="E87" s="118">
        <f t="shared" si="11"/>
        <v>98.539999999999992</v>
      </c>
      <c r="F87" s="117">
        <v>500</v>
      </c>
      <c r="G87" s="119">
        <v>492.7</v>
      </c>
      <c r="H87" s="120">
        <f t="shared" si="22"/>
        <v>98.539999999999992</v>
      </c>
      <c r="I87" s="121">
        <f t="shared" si="18"/>
        <v>1000</v>
      </c>
      <c r="J87" s="122">
        <v>500</v>
      </c>
      <c r="K87" s="123">
        <f t="shared" si="21"/>
        <v>500</v>
      </c>
      <c r="L87" s="121">
        <f t="shared" si="19"/>
        <v>985.4</v>
      </c>
      <c r="M87" s="122">
        <v>492.7</v>
      </c>
      <c r="N87" s="123">
        <f t="shared" si="20"/>
        <v>492.7</v>
      </c>
      <c r="O87" s="124">
        <f t="shared" si="1"/>
        <v>98.539999999999992</v>
      </c>
    </row>
    <row r="88" spans="1:15" ht="95.25" customHeight="1" x14ac:dyDescent="0.25">
      <c r="A88" s="125" t="s">
        <v>181</v>
      </c>
      <c r="B88" s="141" t="s">
        <v>190</v>
      </c>
      <c r="C88" s="117"/>
      <c r="D88" s="117"/>
      <c r="E88" s="118"/>
      <c r="F88" s="117">
        <v>912.3</v>
      </c>
      <c r="G88" s="119">
        <v>603</v>
      </c>
      <c r="H88" s="120">
        <f>G88/F88*100</f>
        <v>66.096678724103924</v>
      </c>
      <c r="I88" s="121">
        <f t="shared" si="18"/>
        <v>912.3</v>
      </c>
      <c r="J88" s="122"/>
      <c r="K88" s="123">
        <f t="shared" si="21"/>
        <v>912.3</v>
      </c>
      <c r="L88" s="121">
        <f t="shared" si="19"/>
        <v>603</v>
      </c>
      <c r="M88" s="122"/>
      <c r="N88" s="123">
        <f t="shared" si="20"/>
        <v>603</v>
      </c>
      <c r="O88" s="124">
        <f t="shared" si="1"/>
        <v>66.096678724103924</v>
      </c>
    </row>
    <row r="89" spans="1:15" ht="46.5" customHeight="1" x14ac:dyDescent="0.25">
      <c r="A89" s="125" t="s">
        <v>181</v>
      </c>
      <c r="B89" s="116" t="s">
        <v>191</v>
      </c>
      <c r="C89" s="117">
        <v>13353</v>
      </c>
      <c r="D89" s="117"/>
      <c r="E89" s="118">
        <f t="shared" si="11"/>
        <v>0</v>
      </c>
      <c r="F89" s="117">
        <v>13353</v>
      </c>
      <c r="G89" s="119"/>
      <c r="H89" s="120">
        <f>G89/F89*100</f>
        <v>0</v>
      </c>
      <c r="I89" s="121">
        <f t="shared" si="18"/>
        <v>26706</v>
      </c>
      <c r="J89" s="122">
        <v>13353</v>
      </c>
      <c r="K89" s="123">
        <f t="shared" si="21"/>
        <v>13353</v>
      </c>
      <c r="L89" s="121">
        <f t="shared" si="19"/>
        <v>0</v>
      </c>
      <c r="M89" s="122"/>
      <c r="N89" s="123">
        <f t="shared" si="20"/>
        <v>0</v>
      </c>
      <c r="O89" s="124">
        <f t="shared" si="1"/>
        <v>0</v>
      </c>
    </row>
    <row r="90" spans="1:15" ht="195" hidden="1" x14ac:dyDescent="0.25">
      <c r="A90" s="125" t="s">
        <v>181</v>
      </c>
      <c r="B90" s="116" t="s">
        <v>192</v>
      </c>
      <c r="C90" s="117"/>
      <c r="D90" s="117"/>
      <c r="E90" s="118"/>
      <c r="F90" s="117"/>
      <c r="G90" s="119"/>
      <c r="H90" s="120"/>
      <c r="I90" s="121">
        <f t="shared" si="18"/>
        <v>0</v>
      </c>
      <c r="J90" s="122"/>
      <c r="K90" s="123">
        <f t="shared" si="21"/>
        <v>0</v>
      </c>
      <c r="L90" s="121">
        <f t="shared" si="19"/>
        <v>0</v>
      </c>
      <c r="M90" s="122"/>
      <c r="N90" s="123">
        <f t="shared" si="20"/>
        <v>0</v>
      </c>
      <c r="O90" s="124"/>
    </row>
    <row r="91" spans="1:15" ht="180" hidden="1" x14ac:dyDescent="0.25">
      <c r="A91" s="125" t="s">
        <v>181</v>
      </c>
      <c r="B91" s="116" t="s">
        <v>193</v>
      </c>
      <c r="C91" s="117"/>
      <c r="D91" s="117"/>
      <c r="E91" s="118"/>
      <c r="F91" s="117"/>
      <c r="G91" s="119"/>
      <c r="H91" s="120"/>
      <c r="I91" s="121">
        <f t="shared" si="18"/>
        <v>0</v>
      </c>
      <c r="J91" s="122"/>
      <c r="K91" s="123">
        <f t="shared" si="21"/>
        <v>0</v>
      </c>
      <c r="L91" s="121">
        <f t="shared" si="19"/>
        <v>0</v>
      </c>
      <c r="M91" s="122"/>
      <c r="N91" s="123">
        <f t="shared" si="20"/>
        <v>0</v>
      </c>
      <c r="O91" s="124"/>
    </row>
    <row r="92" spans="1:15" ht="60" hidden="1" x14ac:dyDescent="0.25">
      <c r="A92" s="125" t="s">
        <v>181</v>
      </c>
      <c r="B92" s="142" t="s">
        <v>194</v>
      </c>
      <c r="C92" s="117"/>
      <c r="D92" s="117"/>
      <c r="E92" s="118"/>
      <c r="F92" s="117"/>
      <c r="G92" s="119"/>
      <c r="H92" s="120"/>
      <c r="I92" s="121">
        <f t="shared" si="18"/>
        <v>0</v>
      </c>
      <c r="J92" s="122"/>
      <c r="K92" s="123">
        <f t="shared" si="21"/>
        <v>0</v>
      </c>
      <c r="L92" s="121">
        <f t="shared" si="19"/>
        <v>0</v>
      </c>
      <c r="M92" s="122"/>
      <c r="N92" s="123">
        <f t="shared" si="20"/>
        <v>0</v>
      </c>
      <c r="O92" s="124"/>
    </row>
    <row r="93" spans="1:15" ht="35.25" customHeight="1" x14ac:dyDescent="0.25">
      <c r="A93" s="115" t="s">
        <v>181</v>
      </c>
      <c r="B93" s="116" t="s">
        <v>195</v>
      </c>
      <c r="C93" s="117"/>
      <c r="D93" s="117"/>
      <c r="E93" s="118"/>
      <c r="F93" s="117">
        <v>53028.1</v>
      </c>
      <c r="G93" s="119">
        <v>34489.800000000003</v>
      </c>
      <c r="H93" s="120">
        <f>G93/F93*100</f>
        <v>65.040610544220897</v>
      </c>
      <c r="I93" s="121">
        <f t="shared" si="18"/>
        <v>53028.1</v>
      </c>
      <c r="J93" s="122"/>
      <c r="K93" s="123">
        <f t="shared" si="21"/>
        <v>53028.1</v>
      </c>
      <c r="L93" s="121">
        <f t="shared" si="19"/>
        <v>34489.800000000003</v>
      </c>
      <c r="M93" s="122"/>
      <c r="N93" s="123">
        <f t="shared" si="20"/>
        <v>34489.800000000003</v>
      </c>
      <c r="O93" s="124">
        <f t="shared" si="1"/>
        <v>65.040610544220897</v>
      </c>
    </row>
    <row r="94" spans="1:15" ht="30.75" customHeight="1" x14ac:dyDescent="0.25">
      <c r="A94" s="125" t="s">
        <v>196</v>
      </c>
      <c r="B94" s="116" t="s">
        <v>197</v>
      </c>
      <c r="C94" s="117">
        <v>46.6</v>
      </c>
      <c r="D94" s="117">
        <v>22</v>
      </c>
      <c r="E94" s="118">
        <f>D94/C94*100</f>
        <v>47.210300429184549</v>
      </c>
      <c r="F94" s="117">
        <v>0</v>
      </c>
      <c r="G94" s="119"/>
      <c r="H94" s="120">
        <v>0</v>
      </c>
      <c r="I94" s="121">
        <f t="shared" si="18"/>
        <v>46.6</v>
      </c>
      <c r="J94" s="122"/>
      <c r="K94" s="123">
        <f t="shared" si="21"/>
        <v>46.6</v>
      </c>
      <c r="L94" s="121">
        <f t="shared" si="19"/>
        <v>22</v>
      </c>
      <c r="M94" s="122"/>
      <c r="N94" s="123">
        <f t="shared" si="20"/>
        <v>22</v>
      </c>
      <c r="O94" s="143">
        <f t="shared" si="1"/>
        <v>47.210300429184549</v>
      </c>
    </row>
    <row r="95" spans="1:15" ht="26.25" customHeight="1" x14ac:dyDescent="0.25">
      <c r="A95" s="144" t="s">
        <v>198</v>
      </c>
      <c r="B95" s="145" t="s">
        <v>199</v>
      </c>
      <c r="C95" s="135">
        <f t="shared" ref="C95:N95" si="23">C96</f>
        <v>222527.1</v>
      </c>
      <c r="D95" s="135">
        <f t="shared" si="23"/>
        <v>221606.2</v>
      </c>
      <c r="E95" s="127">
        <f t="shared" si="11"/>
        <v>99.586162763995929</v>
      </c>
      <c r="F95" s="135">
        <f t="shared" si="23"/>
        <v>24.1</v>
      </c>
      <c r="G95" s="135">
        <f t="shared" si="23"/>
        <v>0</v>
      </c>
      <c r="H95" s="113">
        <f t="shared" si="23"/>
        <v>0</v>
      </c>
      <c r="I95" s="135">
        <f t="shared" si="23"/>
        <v>222551.2</v>
      </c>
      <c r="J95" s="135">
        <f t="shared" si="23"/>
        <v>24.1</v>
      </c>
      <c r="K95" s="135">
        <f t="shared" si="23"/>
        <v>222527.1</v>
      </c>
      <c r="L95" s="135">
        <f t="shared" si="23"/>
        <v>221606.2</v>
      </c>
      <c r="M95" s="135">
        <f t="shared" si="23"/>
        <v>0</v>
      </c>
      <c r="N95" s="135">
        <f t="shared" si="23"/>
        <v>221606.2</v>
      </c>
      <c r="O95" s="146">
        <f t="shared" si="1"/>
        <v>99.586162763995929</v>
      </c>
    </row>
    <row r="96" spans="1:15" ht="34.5" customHeight="1" x14ac:dyDescent="0.25">
      <c r="A96" s="125" t="s">
        <v>200</v>
      </c>
      <c r="B96" s="147" t="s">
        <v>201</v>
      </c>
      <c r="C96" s="119">
        <v>222527.1</v>
      </c>
      <c r="D96" s="119">
        <v>221606.2</v>
      </c>
      <c r="E96" s="118">
        <f t="shared" si="11"/>
        <v>99.586162763995929</v>
      </c>
      <c r="F96" s="119">
        <v>24.1</v>
      </c>
      <c r="G96" s="119"/>
      <c r="H96" s="120">
        <f>G96/F96*100</f>
        <v>0</v>
      </c>
      <c r="I96" s="121">
        <f t="shared" si="18"/>
        <v>222551.2</v>
      </c>
      <c r="J96" s="122">
        <v>24.1</v>
      </c>
      <c r="K96" s="123">
        <f t="shared" si="21"/>
        <v>222527.1</v>
      </c>
      <c r="L96" s="121">
        <f t="shared" si="19"/>
        <v>221606.2</v>
      </c>
      <c r="M96" s="122"/>
      <c r="N96" s="123">
        <f t="shared" si="20"/>
        <v>221606.2</v>
      </c>
      <c r="O96" s="124">
        <f t="shared" si="1"/>
        <v>99.586162763995929</v>
      </c>
    </row>
    <row r="97" spans="1:15" ht="28.5" x14ac:dyDescent="0.25">
      <c r="A97" s="110" t="s">
        <v>202</v>
      </c>
      <c r="B97" s="111" t="s">
        <v>203</v>
      </c>
      <c r="C97" s="112">
        <f>SUM(C98:C107)</f>
        <v>2197014.5</v>
      </c>
      <c r="D97" s="112">
        <f>SUM(D98:D107)</f>
        <v>1567496.1</v>
      </c>
      <c r="E97" s="112">
        <f>D97/C97*100</f>
        <v>71.346643365348754</v>
      </c>
      <c r="F97" s="135">
        <f>F98+F100+F101+F106+F107</f>
        <v>0</v>
      </c>
      <c r="G97" s="135">
        <f>SUM(G98:G107)</f>
        <v>0</v>
      </c>
      <c r="H97" s="113">
        <v>0</v>
      </c>
      <c r="I97" s="112">
        <f t="shared" ref="I97:N97" si="24">SUM(I98:I107)</f>
        <v>2197014.5</v>
      </c>
      <c r="J97" s="112">
        <f t="shared" si="24"/>
        <v>0</v>
      </c>
      <c r="K97" s="112">
        <f t="shared" si="24"/>
        <v>2197014.5</v>
      </c>
      <c r="L97" s="112">
        <f t="shared" si="24"/>
        <v>1567496.1</v>
      </c>
      <c r="M97" s="112">
        <f t="shared" si="24"/>
        <v>0</v>
      </c>
      <c r="N97" s="112">
        <f t="shared" si="24"/>
        <v>1567496.1</v>
      </c>
      <c r="O97" s="114">
        <f t="shared" si="1"/>
        <v>71.346643365348754</v>
      </c>
    </row>
    <row r="98" spans="1:15" ht="22.5" customHeight="1" x14ac:dyDescent="0.25">
      <c r="A98" s="115" t="s">
        <v>204</v>
      </c>
      <c r="B98" s="116" t="s">
        <v>205</v>
      </c>
      <c r="C98" s="117">
        <v>454844.4</v>
      </c>
      <c r="D98" s="117">
        <v>310676.8</v>
      </c>
      <c r="E98" s="118">
        <f t="shared" si="11"/>
        <v>68.303973842483273</v>
      </c>
      <c r="F98" s="119">
        <v>0</v>
      </c>
      <c r="G98" s="119">
        <v>0</v>
      </c>
      <c r="H98" s="120">
        <v>0</v>
      </c>
      <c r="I98" s="121">
        <f t="shared" si="18"/>
        <v>454844.4</v>
      </c>
      <c r="J98" s="122"/>
      <c r="K98" s="123">
        <f t="shared" si="21"/>
        <v>454844.4</v>
      </c>
      <c r="L98" s="121">
        <f t="shared" si="19"/>
        <v>310676.8</v>
      </c>
      <c r="M98" s="122"/>
      <c r="N98" s="123">
        <f t="shared" si="20"/>
        <v>310676.8</v>
      </c>
      <c r="O98" s="124">
        <f t="shared" si="1"/>
        <v>68.303973842483273</v>
      </c>
    </row>
    <row r="99" spans="1:15" ht="132.75" customHeight="1" x14ac:dyDescent="0.25">
      <c r="A99" s="115" t="s">
        <v>204</v>
      </c>
      <c r="B99" s="116" t="s">
        <v>206</v>
      </c>
      <c r="C99" s="117">
        <v>189716.2</v>
      </c>
      <c r="D99" s="117">
        <v>165232.1</v>
      </c>
      <c r="E99" s="118">
        <f t="shared" si="11"/>
        <v>87.094354620216933</v>
      </c>
      <c r="F99" s="119">
        <v>0</v>
      </c>
      <c r="G99" s="119">
        <v>0</v>
      </c>
      <c r="H99" s="120">
        <v>0</v>
      </c>
      <c r="I99" s="121">
        <f t="shared" si="18"/>
        <v>189716.2</v>
      </c>
      <c r="J99" s="122"/>
      <c r="K99" s="123">
        <f t="shared" si="21"/>
        <v>189716.2</v>
      </c>
      <c r="L99" s="121">
        <f t="shared" si="19"/>
        <v>165232.1</v>
      </c>
      <c r="M99" s="122"/>
      <c r="N99" s="123">
        <f t="shared" si="20"/>
        <v>165232.1</v>
      </c>
      <c r="O99" s="124">
        <f t="shared" si="1"/>
        <v>87.094354620216933</v>
      </c>
    </row>
    <row r="100" spans="1:15" ht="18" customHeight="1" x14ac:dyDescent="0.25">
      <c r="A100" s="115" t="s">
        <v>207</v>
      </c>
      <c r="B100" s="141" t="s">
        <v>208</v>
      </c>
      <c r="C100" s="117">
        <v>1284920.8999999999</v>
      </c>
      <c r="D100" s="117">
        <v>901992.1</v>
      </c>
      <c r="E100" s="117">
        <f t="shared" si="11"/>
        <v>70.198258896714975</v>
      </c>
      <c r="F100" s="119">
        <v>0</v>
      </c>
      <c r="G100" s="119">
        <v>0</v>
      </c>
      <c r="H100" s="119">
        <v>0</v>
      </c>
      <c r="I100" s="121">
        <f t="shared" si="18"/>
        <v>1284920.8999999999</v>
      </c>
      <c r="J100" s="122"/>
      <c r="K100" s="123">
        <f t="shared" si="21"/>
        <v>1284920.8999999999</v>
      </c>
      <c r="L100" s="121">
        <f t="shared" si="19"/>
        <v>901992.1</v>
      </c>
      <c r="M100" s="122"/>
      <c r="N100" s="123">
        <f t="shared" si="20"/>
        <v>901992.1</v>
      </c>
      <c r="O100" s="148">
        <f t="shared" si="1"/>
        <v>70.198258896714975</v>
      </c>
    </row>
    <row r="101" spans="1:15" ht="21" customHeight="1" x14ac:dyDescent="0.25">
      <c r="A101" s="115" t="s">
        <v>207</v>
      </c>
      <c r="B101" s="116" t="s">
        <v>209</v>
      </c>
      <c r="C101" s="117">
        <v>36273.9</v>
      </c>
      <c r="D101" s="117">
        <v>17302.2</v>
      </c>
      <c r="E101" s="118">
        <f t="shared" si="11"/>
        <v>47.698758611563683</v>
      </c>
      <c r="F101" s="119">
        <v>0</v>
      </c>
      <c r="G101" s="119">
        <v>0</v>
      </c>
      <c r="H101" s="120">
        <v>0</v>
      </c>
      <c r="I101" s="121">
        <f t="shared" si="18"/>
        <v>36273.9</v>
      </c>
      <c r="J101" s="122"/>
      <c r="K101" s="123">
        <f t="shared" si="21"/>
        <v>36273.9</v>
      </c>
      <c r="L101" s="121">
        <f t="shared" si="19"/>
        <v>17302.2</v>
      </c>
      <c r="M101" s="122"/>
      <c r="N101" s="123">
        <f t="shared" si="20"/>
        <v>17302.2</v>
      </c>
      <c r="O101" s="124">
        <f t="shared" si="1"/>
        <v>47.698758611563683</v>
      </c>
    </row>
    <row r="102" spans="1:15" ht="140.25" hidden="1" customHeight="1" x14ac:dyDescent="0.25">
      <c r="A102" s="115" t="s">
        <v>207</v>
      </c>
      <c r="B102" s="116" t="s">
        <v>210</v>
      </c>
      <c r="C102" s="117"/>
      <c r="D102" s="117"/>
      <c r="E102" s="118"/>
      <c r="F102" s="119"/>
      <c r="G102" s="119"/>
      <c r="H102" s="120"/>
      <c r="I102" s="121">
        <f t="shared" si="18"/>
        <v>0</v>
      </c>
      <c r="J102" s="122"/>
      <c r="K102" s="123">
        <f t="shared" si="21"/>
        <v>0</v>
      </c>
      <c r="L102" s="121">
        <f t="shared" si="19"/>
        <v>0</v>
      </c>
      <c r="M102" s="122"/>
      <c r="N102" s="123">
        <f t="shared" si="20"/>
        <v>0</v>
      </c>
      <c r="O102" s="124"/>
    </row>
    <row r="103" spans="1:15" ht="120" x14ac:dyDescent="0.25">
      <c r="A103" s="115" t="s">
        <v>207</v>
      </c>
      <c r="B103" s="116" t="s">
        <v>211</v>
      </c>
      <c r="C103" s="117">
        <v>3222.5</v>
      </c>
      <c r="D103" s="117">
        <v>3222.5</v>
      </c>
      <c r="E103" s="118">
        <f t="shared" si="11"/>
        <v>100</v>
      </c>
      <c r="F103" s="119"/>
      <c r="G103" s="119"/>
      <c r="H103" s="120"/>
      <c r="I103" s="121">
        <f t="shared" si="18"/>
        <v>3222.5</v>
      </c>
      <c r="J103" s="122"/>
      <c r="K103" s="123">
        <f t="shared" si="21"/>
        <v>3222.5</v>
      </c>
      <c r="L103" s="121">
        <f t="shared" si="19"/>
        <v>3222.5</v>
      </c>
      <c r="M103" s="122"/>
      <c r="N103" s="123">
        <f t="shared" si="20"/>
        <v>3222.5</v>
      </c>
      <c r="O103" s="124">
        <f t="shared" si="1"/>
        <v>100</v>
      </c>
    </row>
    <row r="104" spans="1:15" ht="409.5" hidden="1" x14ac:dyDescent="0.25">
      <c r="A104" s="115" t="s">
        <v>207</v>
      </c>
      <c r="B104" s="116" t="s">
        <v>212</v>
      </c>
      <c r="C104" s="117"/>
      <c r="D104" s="117"/>
      <c r="E104" s="118"/>
      <c r="F104" s="119">
        <v>0</v>
      </c>
      <c r="G104" s="119">
        <v>0</v>
      </c>
      <c r="H104" s="120">
        <v>0</v>
      </c>
      <c r="I104" s="121">
        <f t="shared" si="18"/>
        <v>0</v>
      </c>
      <c r="J104" s="122"/>
      <c r="K104" s="123">
        <f t="shared" si="21"/>
        <v>0</v>
      </c>
      <c r="L104" s="121">
        <f t="shared" si="19"/>
        <v>0</v>
      </c>
      <c r="M104" s="122"/>
      <c r="N104" s="123">
        <f t="shared" si="20"/>
        <v>0</v>
      </c>
      <c r="O104" s="124"/>
    </row>
    <row r="105" spans="1:15" x14ac:dyDescent="0.25">
      <c r="A105" s="115" t="s">
        <v>213</v>
      </c>
      <c r="B105" s="116" t="s">
        <v>214</v>
      </c>
      <c r="C105" s="117">
        <v>147632.9</v>
      </c>
      <c r="D105" s="117">
        <v>117017.2</v>
      </c>
      <c r="E105" s="118">
        <f t="shared" si="11"/>
        <v>79.262278259114325</v>
      </c>
      <c r="F105" s="119"/>
      <c r="G105" s="119"/>
      <c r="H105" s="120"/>
      <c r="I105" s="121">
        <f t="shared" si="18"/>
        <v>147632.9</v>
      </c>
      <c r="J105" s="122"/>
      <c r="K105" s="123">
        <f t="shared" si="21"/>
        <v>147632.9</v>
      </c>
      <c r="L105" s="121">
        <f t="shared" si="19"/>
        <v>117017.2</v>
      </c>
      <c r="M105" s="122"/>
      <c r="N105" s="123">
        <f t="shared" si="20"/>
        <v>117017.2</v>
      </c>
      <c r="O105" s="124">
        <f t="shared" si="1"/>
        <v>79.262278259114325</v>
      </c>
    </row>
    <row r="106" spans="1:15" ht="31.5" customHeight="1" x14ac:dyDescent="0.25">
      <c r="A106" s="115" t="s">
        <v>215</v>
      </c>
      <c r="B106" s="116" t="s">
        <v>216</v>
      </c>
      <c r="C106" s="117">
        <v>21424.7</v>
      </c>
      <c r="D106" s="117">
        <v>11104.6</v>
      </c>
      <c r="E106" s="118">
        <f t="shared" si="11"/>
        <v>51.830830770092462</v>
      </c>
      <c r="F106" s="119"/>
      <c r="G106" s="119"/>
      <c r="H106" s="120"/>
      <c r="I106" s="121">
        <f t="shared" si="18"/>
        <v>21424.7</v>
      </c>
      <c r="J106" s="122"/>
      <c r="K106" s="123">
        <f t="shared" si="21"/>
        <v>21424.7</v>
      </c>
      <c r="L106" s="121">
        <f t="shared" si="19"/>
        <v>11104.6</v>
      </c>
      <c r="M106" s="122"/>
      <c r="N106" s="123">
        <f t="shared" si="20"/>
        <v>11104.6</v>
      </c>
      <c r="O106" s="124">
        <f t="shared" si="1"/>
        <v>51.830830770092462</v>
      </c>
    </row>
    <row r="107" spans="1:15" ht="33.75" customHeight="1" x14ac:dyDescent="0.25">
      <c r="A107" s="115" t="s">
        <v>217</v>
      </c>
      <c r="B107" s="116" t="s">
        <v>218</v>
      </c>
      <c r="C107" s="117">
        <v>58979</v>
      </c>
      <c r="D107" s="117">
        <v>40948.6</v>
      </c>
      <c r="E107" s="118">
        <f t="shared" si="11"/>
        <v>69.429118838908764</v>
      </c>
      <c r="F107" s="119">
        <v>0</v>
      </c>
      <c r="G107" s="119"/>
      <c r="H107" s="120">
        <v>0</v>
      </c>
      <c r="I107" s="121">
        <f t="shared" si="18"/>
        <v>58979</v>
      </c>
      <c r="J107" s="122"/>
      <c r="K107" s="123">
        <f t="shared" si="21"/>
        <v>58979</v>
      </c>
      <c r="L107" s="121">
        <f t="shared" si="19"/>
        <v>40948.6</v>
      </c>
      <c r="M107" s="122"/>
      <c r="N107" s="123">
        <f t="shared" si="20"/>
        <v>40948.6</v>
      </c>
      <c r="O107" s="124">
        <f t="shared" si="1"/>
        <v>69.429118838908764</v>
      </c>
    </row>
    <row r="108" spans="1:15" ht="24" customHeight="1" x14ac:dyDescent="0.25">
      <c r="A108" s="110" t="s">
        <v>219</v>
      </c>
      <c r="B108" s="111" t="s">
        <v>220</v>
      </c>
      <c r="C108" s="112">
        <f>SUM(C109:C112)</f>
        <v>81527.3</v>
      </c>
      <c r="D108" s="112">
        <f>SUM(D109:D112)</f>
        <v>52637.299999999996</v>
      </c>
      <c r="E108" s="112">
        <f>D108/C108*100</f>
        <v>64.564017206506279</v>
      </c>
      <c r="F108" s="135">
        <f>SUM(F109:F112)</f>
        <v>129614.5</v>
      </c>
      <c r="G108" s="135">
        <f>SUM(G109:G112)</f>
        <v>85299</v>
      </c>
      <c r="H108" s="113">
        <f>G108/F108*100</f>
        <v>65.80976665419378</v>
      </c>
      <c r="I108" s="135">
        <f t="shared" ref="I108:N108" si="25">SUM(I109:I112)</f>
        <v>211141.8</v>
      </c>
      <c r="J108" s="135">
        <f t="shared" si="25"/>
        <v>13034.4</v>
      </c>
      <c r="K108" s="135">
        <f t="shared" si="25"/>
        <v>198107.4</v>
      </c>
      <c r="L108" s="135">
        <f t="shared" si="25"/>
        <v>137936.30000000002</v>
      </c>
      <c r="M108" s="135">
        <f t="shared" si="25"/>
        <v>2904.6</v>
      </c>
      <c r="N108" s="135">
        <f t="shared" si="25"/>
        <v>135031.69999999998</v>
      </c>
      <c r="O108" s="114">
        <f t="shared" si="1"/>
        <v>68.16085618205075</v>
      </c>
    </row>
    <row r="109" spans="1:15" ht="21.75" customHeight="1" x14ac:dyDescent="0.25">
      <c r="A109" s="115" t="s">
        <v>221</v>
      </c>
      <c r="B109" s="116" t="s">
        <v>222</v>
      </c>
      <c r="C109" s="117">
        <v>73800.5</v>
      </c>
      <c r="D109" s="117">
        <v>45774.2</v>
      </c>
      <c r="E109" s="118">
        <f t="shared" si="11"/>
        <v>62.024241028177308</v>
      </c>
      <c r="F109" s="149">
        <v>128687.8</v>
      </c>
      <c r="G109" s="119">
        <v>84749.2</v>
      </c>
      <c r="H109" s="120">
        <f>G109/F109*100</f>
        <v>65.856437051530918</v>
      </c>
      <c r="I109" s="121">
        <f t="shared" si="18"/>
        <v>202488.3</v>
      </c>
      <c r="J109" s="122">
        <v>12510</v>
      </c>
      <c r="K109" s="123">
        <f>I109-J109</f>
        <v>189978.3</v>
      </c>
      <c r="L109" s="121">
        <f t="shared" si="19"/>
        <v>130523.4</v>
      </c>
      <c r="M109" s="122">
        <v>2380.1999999999998</v>
      </c>
      <c r="N109" s="123">
        <f t="shared" si="20"/>
        <v>128143.2</v>
      </c>
      <c r="O109" s="124">
        <f t="shared" si="1"/>
        <v>67.451493144216997</v>
      </c>
    </row>
    <row r="110" spans="1:15" ht="44.25" customHeight="1" x14ac:dyDescent="0.25">
      <c r="A110" s="139" t="s">
        <v>221</v>
      </c>
      <c r="B110" s="140" t="s">
        <v>223</v>
      </c>
      <c r="C110" s="117">
        <f>1095.8+193.4</f>
        <v>1289.2</v>
      </c>
      <c r="D110" s="117">
        <v>1252.4000000000001</v>
      </c>
      <c r="E110" s="118">
        <f t="shared" si="11"/>
        <v>97.145516599441521</v>
      </c>
      <c r="F110" s="119">
        <v>126.8</v>
      </c>
      <c r="G110" s="119">
        <v>97.8</v>
      </c>
      <c r="H110" s="120">
        <f>G110/F110*100</f>
        <v>77.129337539432171</v>
      </c>
      <c r="I110" s="121">
        <f t="shared" si="18"/>
        <v>1416</v>
      </c>
      <c r="J110" s="122">
        <v>124.5</v>
      </c>
      <c r="K110" s="123">
        <f t="shared" si="21"/>
        <v>1291.5</v>
      </c>
      <c r="L110" s="121">
        <f t="shared" si="19"/>
        <v>1350.2</v>
      </c>
      <c r="M110" s="122">
        <v>124.5</v>
      </c>
      <c r="N110" s="123">
        <f t="shared" si="20"/>
        <v>1225.7</v>
      </c>
      <c r="O110" s="124">
        <f>N110/K110*100</f>
        <v>94.905149051490525</v>
      </c>
    </row>
    <row r="111" spans="1:15" ht="22.5" customHeight="1" x14ac:dyDescent="0.25">
      <c r="A111" s="115" t="s">
        <v>224</v>
      </c>
      <c r="B111" s="116" t="s">
        <v>225</v>
      </c>
      <c r="C111" s="117">
        <v>150</v>
      </c>
      <c r="D111" s="117">
        <v>76.5</v>
      </c>
      <c r="E111" s="118">
        <f t="shared" si="11"/>
        <v>51</v>
      </c>
      <c r="F111" s="119">
        <v>400</v>
      </c>
      <c r="G111" s="119">
        <v>75</v>
      </c>
      <c r="H111" s="120">
        <f>G111/F111*100</f>
        <v>18.75</v>
      </c>
      <c r="I111" s="121">
        <f t="shared" si="18"/>
        <v>550</v>
      </c>
      <c r="J111" s="122"/>
      <c r="K111" s="123">
        <f t="shared" si="21"/>
        <v>550</v>
      </c>
      <c r="L111" s="121">
        <f t="shared" si="19"/>
        <v>151.5</v>
      </c>
      <c r="M111" s="122"/>
      <c r="N111" s="123">
        <f t="shared" si="20"/>
        <v>151.5</v>
      </c>
      <c r="O111" s="124">
        <f t="shared" ref="O111:O138" si="26">N111/K111*100</f>
        <v>27.545454545454547</v>
      </c>
    </row>
    <row r="112" spans="1:15" ht="39" customHeight="1" x14ac:dyDescent="0.25">
      <c r="A112" s="115" t="s">
        <v>226</v>
      </c>
      <c r="B112" s="116" t="s">
        <v>227</v>
      </c>
      <c r="C112" s="117">
        <v>6287.6</v>
      </c>
      <c r="D112" s="117">
        <v>5534.2</v>
      </c>
      <c r="E112" s="118">
        <f t="shared" si="11"/>
        <v>88.017685603409873</v>
      </c>
      <c r="F112" s="119">
        <v>399.9</v>
      </c>
      <c r="G112" s="119">
        <v>377</v>
      </c>
      <c r="H112" s="120">
        <f>G112/F112*100</f>
        <v>94.273568392098028</v>
      </c>
      <c r="I112" s="121">
        <f t="shared" si="18"/>
        <v>6687.5</v>
      </c>
      <c r="J112" s="122">
        <v>399.9</v>
      </c>
      <c r="K112" s="123">
        <f t="shared" si="21"/>
        <v>6287.6</v>
      </c>
      <c r="L112" s="121">
        <f t="shared" si="19"/>
        <v>5911.2</v>
      </c>
      <c r="M112" s="122">
        <v>399.9</v>
      </c>
      <c r="N112" s="123">
        <f t="shared" si="20"/>
        <v>5511.3</v>
      </c>
      <c r="O112" s="124">
        <f t="shared" si="26"/>
        <v>87.653476684267446</v>
      </c>
    </row>
    <row r="113" spans="1:15" ht="20.25" customHeight="1" x14ac:dyDescent="0.25">
      <c r="A113" s="110" t="s">
        <v>228</v>
      </c>
      <c r="B113" s="111" t="s">
        <v>229</v>
      </c>
      <c r="C113" s="112">
        <f>SUM(C114:C116)</f>
        <v>28242.800000000003</v>
      </c>
      <c r="D113" s="112">
        <f>SUM(D114:D116)</f>
        <v>26621.4</v>
      </c>
      <c r="E113" s="112">
        <f>SUM(E116:E116)</f>
        <v>29.739567534774885</v>
      </c>
      <c r="F113" s="135">
        <f>F114+F115+F116</f>
        <v>584.5</v>
      </c>
      <c r="G113" s="135">
        <f>G114+G115+G116</f>
        <v>584.5</v>
      </c>
      <c r="H113" s="113"/>
      <c r="I113" s="135">
        <f t="shared" ref="I113:N113" si="27">I114+I115+I116</f>
        <v>28827.300000000003</v>
      </c>
      <c r="J113" s="135">
        <f t="shared" si="27"/>
        <v>584.5</v>
      </c>
      <c r="K113" s="135">
        <f t="shared" si="27"/>
        <v>28242.800000000003</v>
      </c>
      <c r="L113" s="135">
        <f t="shared" si="27"/>
        <v>27205.9</v>
      </c>
      <c r="M113" s="135">
        <f t="shared" si="27"/>
        <v>584.5</v>
      </c>
      <c r="N113" s="135">
        <f t="shared" si="27"/>
        <v>26621.4</v>
      </c>
      <c r="O113" s="114">
        <f t="shared" si="26"/>
        <v>94.259067797810417</v>
      </c>
    </row>
    <row r="114" spans="1:15" ht="82.5" customHeight="1" x14ac:dyDescent="0.25">
      <c r="A114" s="132" t="s">
        <v>230</v>
      </c>
      <c r="B114" s="141" t="s">
        <v>231</v>
      </c>
      <c r="C114" s="117">
        <v>800.7</v>
      </c>
      <c r="D114" s="117">
        <v>800.7</v>
      </c>
      <c r="E114" s="118">
        <f t="shared" si="11"/>
        <v>100</v>
      </c>
      <c r="F114" s="119">
        <v>584.5</v>
      </c>
      <c r="G114" s="119">
        <v>584.5</v>
      </c>
      <c r="H114" s="119"/>
      <c r="I114" s="121">
        <f t="shared" si="18"/>
        <v>1385.2</v>
      </c>
      <c r="J114" s="122">
        <v>584.5</v>
      </c>
      <c r="K114" s="123">
        <f t="shared" si="21"/>
        <v>800.7</v>
      </c>
      <c r="L114" s="121">
        <f t="shared" si="19"/>
        <v>1385.2</v>
      </c>
      <c r="M114" s="122">
        <v>584.5</v>
      </c>
      <c r="N114" s="123">
        <f t="shared" si="20"/>
        <v>800.7</v>
      </c>
      <c r="O114" s="124">
        <f t="shared" si="26"/>
        <v>100</v>
      </c>
    </row>
    <row r="115" spans="1:15" ht="66.75" customHeight="1" x14ac:dyDescent="0.25">
      <c r="A115" s="125" t="s">
        <v>232</v>
      </c>
      <c r="B115" s="140" t="s">
        <v>233</v>
      </c>
      <c r="C115" s="117">
        <v>25134.400000000001</v>
      </c>
      <c r="D115" s="117">
        <v>25134.400000000001</v>
      </c>
      <c r="E115" s="118">
        <f t="shared" si="11"/>
        <v>100</v>
      </c>
      <c r="F115" s="123"/>
      <c r="G115" s="123"/>
      <c r="H115" s="119"/>
      <c r="I115" s="121">
        <f t="shared" si="18"/>
        <v>25134.400000000001</v>
      </c>
      <c r="J115" s="122"/>
      <c r="K115" s="123">
        <f t="shared" si="21"/>
        <v>25134.400000000001</v>
      </c>
      <c r="L115" s="121">
        <f t="shared" si="19"/>
        <v>25134.400000000001</v>
      </c>
      <c r="M115" s="122"/>
      <c r="N115" s="123">
        <f t="shared" si="20"/>
        <v>25134.400000000001</v>
      </c>
      <c r="O115" s="124">
        <f t="shared" si="26"/>
        <v>100</v>
      </c>
    </row>
    <row r="116" spans="1:15" ht="51.75" customHeight="1" x14ac:dyDescent="0.25">
      <c r="A116" s="125" t="s">
        <v>232</v>
      </c>
      <c r="B116" s="140" t="s">
        <v>234</v>
      </c>
      <c r="C116" s="117">
        <v>2307.6999999999998</v>
      </c>
      <c r="D116" s="119">
        <v>686.3</v>
      </c>
      <c r="E116" s="118">
        <f t="shared" si="11"/>
        <v>29.739567534774885</v>
      </c>
      <c r="F116" s="119"/>
      <c r="G116" s="119"/>
      <c r="H116" s="120"/>
      <c r="I116" s="121">
        <f t="shared" si="18"/>
        <v>2307.6999999999998</v>
      </c>
      <c r="J116" s="122"/>
      <c r="K116" s="123">
        <f t="shared" si="21"/>
        <v>2307.6999999999998</v>
      </c>
      <c r="L116" s="121">
        <f t="shared" si="19"/>
        <v>686.3</v>
      </c>
      <c r="M116" s="122"/>
      <c r="N116" s="123">
        <f t="shared" si="20"/>
        <v>686.3</v>
      </c>
      <c r="O116" s="124">
        <f t="shared" si="26"/>
        <v>29.739567534774885</v>
      </c>
    </row>
    <row r="117" spans="1:15" ht="28.5" customHeight="1" x14ac:dyDescent="0.25">
      <c r="A117" s="110">
        <v>10</v>
      </c>
      <c r="B117" s="111" t="s">
        <v>235</v>
      </c>
      <c r="C117" s="112">
        <f>SUM(C118:C125)</f>
        <v>142793.9</v>
      </c>
      <c r="D117" s="112">
        <f>SUM(D118:D125)</f>
        <v>90873.4</v>
      </c>
      <c r="E117" s="112">
        <f>D117/C117*100</f>
        <v>63.639553230215014</v>
      </c>
      <c r="F117" s="112">
        <f>SUM(F118:F125)</f>
        <v>920.4</v>
      </c>
      <c r="G117" s="112">
        <f>SUM(G118:G125)</f>
        <v>550.79999999999995</v>
      </c>
      <c r="H117" s="113">
        <f>G117/F117*100</f>
        <v>59.843546284224246</v>
      </c>
      <c r="I117" s="112">
        <f t="shared" ref="I117:N117" si="28">SUM(I118:I125)</f>
        <v>143714.29999999999</v>
      </c>
      <c r="J117" s="112">
        <f t="shared" si="28"/>
        <v>0</v>
      </c>
      <c r="K117" s="112">
        <f t="shared" si="28"/>
        <v>143714.29999999999</v>
      </c>
      <c r="L117" s="112">
        <f t="shared" si="28"/>
        <v>91424.2</v>
      </c>
      <c r="M117" s="112">
        <f t="shared" si="28"/>
        <v>0</v>
      </c>
      <c r="N117" s="112">
        <f t="shared" si="28"/>
        <v>91424.2</v>
      </c>
      <c r="O117" s="114">
        <f t="shared" si="26"/>
        <v>63.615242185363606</v>
      </c>
    </row>
    <row r="118" spans="1:15" ht="19.5" customHeight="1" x14ac:dyDescent="0.25">
      <c r="A118" s="125">
        <v>1001</v>
      </c>
      <c r="B118" s="116" t="s">
        <v>236</v>
      </c>
      <c r="C118" s="117">
        <v>4627.3</v>
      </c>
      <c r="D118" s="117">
        <v>3435.3</v>
      </c>
      <c r="E118" s="118">
        <f t="shared" si="11"/>
        <v>74.239837486223067</v>
      </c>
      <c r="F118" s="119">
        <v>920.4</v>
      </c>
      <c r="G118" s="119">
        <v>550.79999999999995</v>
      </c>
      <c r="H118" s="120">
        <f>G118/F118*100</f>
        <v>59.843546284224246</v>
      </c>
      <c r="I118" s="121">
        <f t="shared" si="18"/>
        <v>5547.7</v>
      </c>
      <c r="J118" s="122"/>
      <c r="K118" s="123">
        <f t="shared" si="21"/>
        <v>5547.7</v>
      </c>
      <c r="L118" s="121">
        <f t="shared" si="19"/>
        <v>3986.1000000000004</v>
      </c>
      <c r="M118" s="122"/>
      <c r="N118" s="123">
        <f t="shared" si="20"/>
        <v>3986.1000000000004</v>
      </c>
      <c r="O118" s="124">
        <f t="shared" si="26"/>
        <v>71.851397876597517</v>
      </c>
    </row>
    <row r="119" spans="1:15" ht="117" customHeight="1" x14ac:dyDescent="0.25">
      <c r="A119" s="125">
        <v>1003</v>
      </c>
      <c r="B119" s="140" t="s">
        <v>237</v>
      </c>
      <c r="C119" s="117">
        <v>3497.9</v>
      </c>
      <c r="D119" s="117">
        <v>2552.8000000000002</v>
      </c>
      <c r="E119" s="118">
        <f t="shared" si="11"/>
        <v>72.980931415992458</v>
      </c>
      <c r="F119" s="119">
        <v>0</v>
      </c>
      <c r="G119" s="119">
        <v>0</v>
      </c>
      <c r="H119" s="120">
        <v>0</v>
      </c>
      <c r="I119" s="121">
        <f t="shared" si="18"/>
        <v>3497.9</v>
      </c>
      <c r="J119" s="122"/>
      <c r="K119" s="123">
        <f t="shared" si="21"/>
        <v>3497.9</v>
      </c>
      <c r="L119" s="121">
        <f t="shared" si="19"/>
        <v>2552.8000000000002</v>
      </c>
      <c r="M119" s="122"/>
      <c r="N119" s="123">
        <f t="shared" si="20"/>
        <v>2552.8000000000002</v>
      </c>
      <c r="O119" s="124">
        <f t="shared" si="26"/>
        <v>72.980931415992458</v>
      </c>
    </row>
    <row r="120" spans="1:15" ht="345" hidden="1" x14ac:dyDescent="0.25">
      <c r="A120" s="125" t="s">
        <v>238</v>
      </c>
      <c r="B120" s="116" t="s">
        <v>239</v>
      </c>
      <c r="C120" s="117"/>
      <c r="D120" s="117"/>
      <c r="E120" s="118"/>
      <c r="F120" s="119"/>
      <c r="G120" s="119"/>
      <c r="H120" s="120"/>
      <c r="I120" s="121">
        <f t="shared" si="18"/>
        <v>0</v>
      </c>
      <c r="J120" s="122"/>
      <c r="K120" s="123">
        <f t="shared" si="21"/>
        <v>0</v>
      </c>
      <c r="L120" s="121">
        <f t="shared" si="19"/>
        <v>0</v>
      </c>
      <c r="M120" s="122"/>
      <c r="N120" s="123">
        <f t="shared" si="20"/>
        <v>0</v>
      </c>
      <c r="O120" s="124"/>
    </row>
    <row r="121" spans="1:15" ht="105" x14ac:dyDescent="0.25">
      <c r="A121" s="125">
        <v>1004</v>
      </c>
      <c r="B121" s="116" t="s">
        <v>240</v>
      </c>
      <c r="C121" s="117">
        <v>12869</v>
      </c>
      <c r="D121" s="117">
        <v>7588.1</v>
      </c>
      <c r="E121" s="118">
        <f t="shared" si="11"/>
        <v>58.964177480767745</v>
      </c>
      <c r="F121" s="119">
        <v>0</v>
      </c>
      <c r="G121" s="119">
        <v>0</v>
      </c>
      <c r="H121" s="120">
        <v>0</v>
      </c>
      <c r="I121" s="121">
        <f t="shared" si="18"/>
        <v>12869</v>
      </c>
      <c r="J121" s="122"/>
      <c r="K121" s="123">
        <f t="shared" si="21"/>
        <v>12869</v>
      </c>
      <c r="L121" s="121">
        <f t="shared" si="19"/>
        <v>7588.1</v>
      </c>
      <c r="M121" s="122"/>
      <c r="N121" s="123">
        <f t="shared" si="20"/>
        <v>7588.1</v>
      </c>
      <c r="O121" s="124">
        <f t="shared" si="26"/>
        <v>58.964177480767745</v>
      </c>
    </row>
    <row r="122" spans="1:15" ht="223.5" customHeight="1" x14ac:dyDescent="0.25">
      <c r="A122" s="125">
        <v>1004</v>
      </c>
      <c r="B122" s="116" t="s">
        <v>241</v>
      </c>
      <c r="C122" s="117">
        <v>74043.7</v>
      </c>
      <c r="D122" s="117">
        <v>45428.5</v>
      </c>
      <c r="E122" s="118">
        <f t="shared" ref="E122:E137" si="29">D122/C122*100</f>
        <v>61.353633057235122</v>
      </c>
      <c r="F122" s="119">
        <v>0</v>
      </c>
      <c r="G122" s="119">
        <v>0</v>
      </c>
      <c r="H122" s="120">
        <v>0</v>
      </c>
      <c r="I122" s="121">
        <f t="shared" si="18"/>
        <v>74043.7</v>
      </c>
      <c r="J122" s="122"/>
      <c r="K122" s="123">
        <f t="shared" si="21"/>
        <v>74043.7</v>
      </c>
      <c r="L122" s="121">
        <f t="shared" si="19"/>
        <v>45428.5</v>
      </c>
      <c r="M122" s="122"/>
      <c r="N122" s="123">
        <f t="shared" si="20"/>
        <v>45428.5</v>
      </c>
      <c r="O122" s="124">
        <f t="shared" si="26"/>
        <v>61.353633057235122</v>
      </c>
    </row>
    <row r="123" spans="1:15" ht="197.25" customHeight="1" x14ac:dyDescent="0.25">
      <c r="A123" s="125" t="s">
        <v>242</v>
      </c>
      <c r="B123" s="116" t="s">
        <v>243</v>
      </c>
      <c r="C123" s="117">
        <v>27064.2</v>
      </c>
      <c r="D123" s="117">
        <v>21382.2</v>
      </c>
      <c r="E123" s="118">
        <f>D123/C123*100</f>
        <v>79.005475868490478</v>
      </c>
      <c r="F123" s="119">
        <v>0</v>
      </c>
      <c r="G123" s="119">
        <v>0</v>
      </c>
      <c r="H123" s="120">
        <v>0</v>
      </c>
      <c r="I123" s="121">
        <f t="shared" si="18"/>
        <v>27064.2</v>
      </c>
      <c r="J123" s="122"/>
      <c r="K123" s="123">
        <f t="shared" si="21"/>
        <v>27064.2</v>
      </c>
      <c r="L123" s="121">
        <f t="shared" si="19"/>
        <v>21382.2</v>
      </c>
      <c r="M123" s="122"/>
      <c r="N123" s="123">
        <f t="shared" si="20"/>
        <v>21382.2</v>
      </c>
      <c r="O123" s="124">
        <f>N123/K123*100</f>
        <v>79.005475868490478</v>
      </c>
    </row>
    <row r="124" spans="1:15" ht="29.25" customHeight="1" x14ac:dyDescent="0.25">
      <c r="A124" s="125" t="s">
        <v>242</v>
      </c>
      <c r="B124" s="116" t="s">
        <v>244</v>
      </c>
      <c r="C124" s="117">
        <v>1700.5</v>
      </c>
      <c r="D124" s="117"/>
      <c r="E124" s="118">
        <f>D124/C124*100</f>
        <v>0</v>
      </c>
      <c r="F124" s="119"/>
      <c r="G124" s="119"/>
      <c r="H124" s="120"/>
      <c r="I124" s="121">
        <f t="shared" si="18"/>
        <v>1700.5</v>
      </c>
      <c r="J124" s="122"/>
      <c r="K124" s="123">
        <f t="shared" si="21"/>
        <v>1700.5</v>
      </c>
      <c r="L124" s="121">
        <f t="shared" si="19"/>
        <v>0</v>
      </c>
      <c r="M124" s="122"/>
      <c r="N124" s="123">
        <f t="shared" si="20"/>
        <v>0</v>
      </c>
      <c r="O124" s="124">
        <f>N124/K124*100</f>
        <v>0</v>
      </c>
    </row>
    <row r="125" spans="1:15" ht="38.25" customHeight="1" x14ac:dyDescent="0.25">
      <c r="A125" s="125">
        <v>1006</v>
      </c>
      <c r="B125" s="116" t="s">
        <v>245</v>
      </c>
      <c r="C125" s="117">
        <v>18991.3</v>
      </c>
      <c r="D125" s="117">
        <v>10486.5</v>
      </c>
      <c r="E125" s="118">
        <f t="shared" si="29"/>
        <v>55.217389014970017</v>
      </c>
      <c r="F125" s="119">
        <v>0</v>
      </c>
      <c r="G125" s="119">
        <v>0</v>
      </c>
      <c r="H125" s="120">
        <v>0</v>
      </c>
      <c r="I125" s="121">
        <f t="shared" si="18"/>
        <v>18991.3</v>
      </c>
      <c r="J125" s="122"/>
      <c r="K125" s="123">
        <f t="shared" si="21"/>
        <v>18991.3</v>
      </c>
      <c r="L125" s="121">
        <f t="shared" si="19"/>
        <v>10486.5</v>
      </c>
      <c r="M125" s="122"/>
      <c r="N125" s="123">
        <f t="shared" si="20"/>
        <v>10486.5</v>
      </c>
      <c r="O125" s="124">
        <f t="shared" si="26"/>
        <v>55.217389014970017</v>
      </c>
    </row>
    <row r="126" spans="1:15" ht="26.25" customHeight="1" x14ac:dyDescent="0.25">
      <c r="A126" s="144">
        <v>1100</v>
      </c>
      <c r="B126" s="111" t="s">
        <v>246</v>
      </c>
      <c r="C126" s="112">
        <f>SUM(C127:C129)</f>
        <v>101868.3</v>
      </c>
      <c r="D126" s="112">
        <f>SUM(D127:D129)</f>
        <v>77199.8</v>
      </c>
      <c r="E126" s="112">
        <f>D126/C126*100</f>
        <v>75.783928857161655</v>
      </c>
      <c r="F126" s="135">
        <f>F127+F128</f>
        <v>35898.5</v>
      </c>
      <c r="G126" s="135">
        <f>G127+G128</f>
        <v>22666.6</v>
      </c>
      <c r="H126" s="113">
        <f>G126/F126*100</f>
        <v>63.14079975486441</v>
      </c>
      <c r="I126" s="135">
        <f t="shared" ref="I126:N126" si="30">I127+I128+I129</f>
        <v>137766.79999999999</v>
      </c>
      <c r="J126" s="135">
        <f t="shared" si="30"/>
        <v>177</v>
      </c>
      <c r="K126" s="135">
        <f t="shared" si="30"/>
        <v>137589.79999999999</v>
      </c>
      <c r="L126" s="135">
        <f t="shared" si="30"/>
        <v>99866.4</v>
      </c>
      <c r="M126" s="135">
        <f t="shared" si="30"/>
        <v>161.5</v>
      </c>
      <c r="N126" s="135">
        <f t="shared" si="30"/>
        <v>99704.9</v>
      </c>
      <c r="O126" s="114">
        <f t="shared" si="26"/>
        <v>72.465328098449149</v>
      </c>
    </row>
    <row r="127" spans="1:15" ht="24" customHeight="1" x14ac:dyDescent="0.25">
      <c r="A127" s="125">
        <v>1101</v>
      </c>
      <c r="B127" s="116" t="s">
        <v>247</v>
      </c>
      <c r="C127" s="117">
        <v>101196.8</v>
      </c>
      <c r="D127" s="117">
        <v>76693.3</v>
      </c>
      <c r="E127" s="118">
        <f t="shared" si="29"/>
        <v>75.78628968504934</v>
      </c>
      <c r="F127" s="119">
        <v>35898.5</v>
      </c>
      <c r="G127" s="119">
        <v>22666.6</v>
      </c>
      <c r="H127" s="120">
        <f>G127/F127*100</f>
        <v>63.14079975486441</v>
      </c>
      <c r="I127" s="121">
        <f t="shared" si="18"/>
        <v>137095.29999999999</v>
      </c>
      <c r="J127" s="122">
        <v>177</v>
      </c>
      <c r="K127" s="123">
        <f t="shared" si="21"/>
        <v>136918.29999999999</v>
      </c>
      <c r="L127" s="121">
        <f t="shared" si="19"/>
        <v>99359.9</v>
      </c>
      <c r="M127" s="122">
        <v>161.5</v>
      </c>
      <c r="N127" s="123">
        <f t="shared" si="20"/>
        <v>99198.399999999994</v>
      </c>
      <c r="O127" s="124">
        <f t="shared" si="26"/>
        <v>72.450797300287846</v>
      </c>
    </row>
    <row r="128" spans="1:15" ht="18.75" customHeight="1" x14ac:dyDescent="0.25">
      <c r="A128" s="125">
        <v>1102</v>
      </c>
      <c r="B128" s="116" t="s">
        <v>248</v>
      </c>
      <c r="C128" s="117">
        <v>165</v>
      </c>
      <c r="D128" s="117"/>
      <c r="E128" s="118">
        <f t="shared" si="29"/>
        <v>0</v>
      </c>
      <c r="F128" s="119"/>
      <c r="G128" s="119">
        <v>0</v>
      </c>
      <c r="H128" s="120"/>
      <c r="I128" s="121">
        <f t="shared" si="18"/>
        <v>165</v>
      </c>
      <c r="J128" s="122"/>
      <c r="K128" s="123">
        <f t="shared" si="21"/>
        <v>165</v>
      </c>
      <c r="L128" s="121">
        <f t="shared" si="19"/>
        <v>0</v>
      </c>
      <c r="M128" s="122"/>
      <c r="N128" s="123">
        <f t="shared" si="20"/>
        <v>0</v>
      </c>
      <c r="O128" s="124">
        <f t="shared" si="26"/>
        <v>0</v>
      </c>
    </row>
    <row r="129" spans="1:15" ht="19.5" customHeight="1" x14ac:dyDescent="0.25">
      <c r="A129" s="125" t="s">
        <v>249</v>
      </c>
      <c r="B129" s="116" t="s">
        <v>250</v>
      </c>
      <c r="C129" s="117">
        <v>506.5</v>
      </c>
      <c r="D129" s="117">
        <v>506.5</v>
      </c>
      <c r="E129" s="118">
        <f t="shared" si="29"/>
        <v>100</v>
      </c>
      <c r="F129" s="119"/>
      <c r="G129" s="119"/>
      <c r="H129" s="120"/>
      <c r="I129" s="121">
        <f t="shared" si="18"/>
        <v>506.5</v>
      </c>
      <c r="J129" s="122"/>
      <c r="K129" s="123">
        <f t="shared" si="21"/>
        <v>506.5</v>
      </c>
      <c r="L129" s="121">
        <f t="shared" si="19"/>
        <v>506.5</v>
      </c>
      <c r="M129" s="122"/>
      <c r="N129" s="123">
        <f t="shared" si="20"/>
        <v>506.5</v>
      </c>
      <c r="O129" s="124">
        <f t="shared" si="26"/>
        <v>100</v>
      </c>
    </row>
    <row r="130" spans="1:15" ht="30" customHeight="1" x14ac:dyDescent="0.25">
      <c r="A130" s="144">
        <v>1200</v>
      </c>
      <c r="B130" s="111" t="s">
        <v>251</v>
      </c>
      <c r="C130" s="112">
        <f>SUM(C131:C131)</f>
        <v>6855</v>
      </c>
      <c r="D130" s="112">
        <f>SUM(D131:D131)</f>
        <v>5180.3</v>
      </c>
      <c r="E130" s="127">
        <f>D130/C130*100</f>
        <v>75.569657184536837</v>
      </c>
      <c r="F130" s="112"/>
      <c r="G130" s="112"/>
      <c r="H130" s="113"/>
      <c r="I130" s="112">
        <f t="shared" ref="I130:N130" si="31">I131</f>
        <v>6855</v>
      </c>
      <c r="J130" s="112">
        <f t="shared" si="31"/>
        <v>0</v>
      </c>
      <c r="K130" s="112">
        <f t="shared" si="31"/>
        <v>6855</v>
      </c>
      <c r="L130" s="112">
        <f t="shared" si="31"/>
        <v>5180.3</v>
      </c>
      <c r="M130" s="112">
        <f t="shared" si="31"/>
        <v>0</v>
      </c>
      <c r="N130" s="112">
        <f t="shared" si="31"/>
        <v>5180.3</v>
      </c>
      <c r="O130" s="128">
        <f t="shared" si="26"/>
        <v>75.569657184536837</v>
      </c>
    </row>
    <row r="131" spans="1:15" ht="27" customHeight="1" x14ac:dyDescent="0.25">
      <c r="A131" s="125" t="s">
        <v>252</v>
      </c>
      <c r="B131" s="116" t="s">
        <v>253</v>
      </c>
      <c r="C131" s="117">
        <v>6855</v>
      </c>
      <c r="D131" s="117">
        <v>5180.3</v>
      </c>
      <c r="E131" s="118">
        <f>D131/C131*100</f>
        <v>75.569657184536837</v>
      </c>
      <c r="F131" s="119"/>
      <c r="G131" s="119"/>
      <c r="H131" s="120"/>
      <c r="I131" s="121">
        <f t="shared" si="18"/>
        <v>6855</v>
      </c>
      <c r="J131" s="122">
        <v>0</v>
      </c>
      <c r="K131" s="123">
        <f t="shared" si="21"/>
        <v>6855</v>
      </c>
      <c r="L131" s="121">
        <f t="shared" si="19"/>
        <v>5180.3</v>
      </c>
      <c r="M131" s="122"/>
      <c r="N131" s="123">
        <f t="shared" si="20"/>
        <v>5180.3</v>
      </c>
      <c r="O131" s="124">
        <f>N131/K131*100</f>
        <v>75.569657184536837</v>
      </c>
    </row>
    <row r="132" spans="1:15" ht="33.75" customHeight="1" x14ac:dyDescent="0.25">
      <c r="A132" s="144">
        <v>1300</v>
      </c>
      <c r="B132" s="111" t="s">
        <v>254</v>
      </c>
      <c r="C132" s="112">
        <f t="shared" ref="C132:N132" si="32">C133</f>
        <v>30</v>
      </c>
      <c r="D132" s="112">
        <f t="shared" si="32"/>
        <v>5.3</v>
      </c>
      <c r="E132" s="112">
        <f t="shared" si="32"/>
        <v>17.666666666666668</v>
      </c>
      <c r="F132" s="112">
        <f t="shared" si="32"/>
        <v>0</v>
      </c>
      <c r="G132" s="112">
        <f t="shared" si="32"/>
        <v>0</v>
      </c>
      <c r="H132" s="127">
        <f t="shared" si="32"/>
        <v>0</v>
      </c>
      <c r="I132" s="112">
        <f t="shared" si="32"/>
        <v>30</v>
      </c>
      <c r="J132" s="112">
        <f t="shared" si="32"/>
        <v>0</v>
      </c>
      <c r="K132" s="112">
        <f t="shared" si="32"/>
        <v>30</v>
      </c>
      <c r="L132" s="112">
        <f t="shared" si="32"/>
        <v>5.3</v>
      </c>
      <c r="M132" s="112">
        <f t="shared" si="32"/>
        <v>0</v>
      </c>
      <c r="N132" s="112">
        <f t="shared" si="32"/>
        <v>5.3</v>
      </c>
      <c r="O132" s="128">
        <f t="shared" si="26"/>
        <v>17.666666666666668</v>
      </c>
    </row>
    <row r="133" spans="1:15" ht="50.25" customHeight="1" x14ac:dyDescent="0.25">
      <c r="A133" s="125">
        <v>1301</v>
      </c>
      <c r="B133" s="116" t="s">
        <v>255</v>
      </c>
      <c r="C133" s="117">
        <v>30</v>
      </c>
      <c r="D133" s="117">
        <v>5.3</v>
      </c>
      <c r="E133" s="118">
        <f t="shared" si="29"/>
        <v>17.666666666666668</v>
      </c>
      <c r="F133" s="119"/>
      <c r="G133" s="119">
        <v>0</v>
      </c>
      <c r="H133" s="120">
        <v>0</v>
      </c>
      <c r="I133" s="121">
        <f t="shared" si="18"/>
        <v>30</v>
      </c>
      <c r="J133" s="122"/>
      <c r="K133" s="123">
        <f t="shared" si="21"/>
        <v>30</v>
      </c>
      <c r="L133" s="121">
        <f t="shared" si="19"/>
        <v>5.3</v>
      </c>
      <c r="M133" s="150"/>
      <c r="N133" s="123">
        <f t="shared" si="20"/>
        <v>5.3</v>
      </c>
      <c r="O133" s="124">
        <f t="shared" si="26"/>
        <v>17.666666666666668</v>
      </c>
    </row>
    <row r="134" spans="1:15" ht="20.25" customHeight="1" x14ac:dyDescent="0.25">
      <c r="A134" s="144">
        <v>1400</v>
      </c>
      <c r="B134" s="111" t="s">
        <v>256</v>
      </c>
      <c r="C134" s="112">
        <f>SUM(C135:C137)</f>
        <v>321077.69999999995</v>
      </c>
      <c r="D134" s="112">
        <f>SUM(D135:D137)</f>
        <v>251789.90000000002</v>
      </c>
      <c r="E134" s="112">
        <f>D134/C134*100</f>
        <v>78.420239088544633</v>
      </c>
      <c r="F134" s="135">
        <f>F135+F136+F137</f>
        <v>0</v>
      </c>
      <c r="G134" s="135">
        <f>SUM(G135:G137)</f>
        <v>0</v>
      </c>
      <c r="H134" s="135"/>
      <c r="I134" s="135">
        <f t="shared" ref="I134:N134" si="33">I135+I136+I137</f>
        <v>321077.69999999995</v>
      </c>
      <c r="J134" s="135">
        <f t="shared" si="33"/>
        <v>321077.69999999995</v>
      </c>
      <c r="K134" s="135">
        <f t="shared" si="33"/>
        <v>0</v>
      </c>
      <c r="L134" s="135">
        <f t="shared" si="33"/>
        <v>251789.90000000002</v>
      </c>
      <c r="M134" s="135">
        <f t="shared" si="33"/>
        <v>251789.90000000002</v>
      </c>
      <c r="N134" s="135">
        <f t="shared" si="33"/>
        <v>0</v>
      </c>
      <c r="O134" s="114">
        <v>0</v>
      </c>
    </row>
    <row r="135" spans="1:15" ht="59.25" customHeight="1" x14ac:dyDescent="0.25">
      <c r="A135" s="125">
        <v>1401</v>
      </c>
      <c r="B135" s="116" t="s">
        <v>257</v>
      </c>
      <c r="C135" s="117">
        <v>133766.39999999999</v>
      </c>
      <c r="D135" s="117">
        <v>107013.2</v>
      </c>
      <c r="E135" s="118">
        <f t="shared" si="29"/>
        <v>80.000059805750922</v>
      </c>
      <c r="F135" s="119">
        <v>0</v>
      </c>
      <c r="G135" s="119">
        <v>0</v>
      </c>
      <c r="H135" s="120">
        <v>0</v>
      </c>
      <c r="I135" s="121">
        <f t="shared" si="18"/>
        <v>133766.39999999999</v>
      </c>
      <c r="J135" s="122">
        <v>133766.39999999999</v>
      </c>
      <c r="K135" s="123">
        <f t="shared" si="21"/>
        <v>0</v>
      </c>
      <c r="L135" s="121">
        <f t="shared" si="19"/>
        <v>107013.2</v>
      </c>
      <c r="M135" s="150">
        <v>107013.2</v>
      </c>
      <c r="N135" s="123">
        <f t="shared" si="20"/>
        <v>0</v>
      </c>
      <c r="O135" s="124">
        <v>0</v>
      </c>
    </row>
    <row r="136" spans="1:15" ht="15" customHeight="1" x14ac:dyDescent="0.25">
      <c r="A136" s="125">
        <v>1402</v>
      </c>
      <c r="B136" s="116" t="s">
        <v>258</v>
      </c>
      <c r="C136" s="117">
        <v>184353.3</v>
      </c>
      <c r="D136" s="117">
        <v>142518.70000000001</v>
      </c>
      <c r="E136" s="118">
        <f t="shared" si="29"/>
        <v>77.307376651245193</v>
      </c>
      <c r="F136" s="119">
        <v>0</v>
      </c>
      <c r="G136" s="119">
        <v>0</v>
      </c>
      <c r="H136" s="120">
        <v>0</v>
      </c>
      <c r="I136" s="121">
        <f t="shared" si="18"/>
        <v>184353.3</v>
      </c>
      <c r="J136" s="122">
        <v>184353.3</v>
      </c>
      <c r="K136" s="123">
        <f t="shared" si="21"/>
        <v>0</v>
      </c>
      <c r="L136" s="121">
        <f t="shared" si="19"/>
        <v>142518.70000000001</v>
      </c>
      <c r="M136" s="150">
        <v>142518.70000000001</v>
      </c>
      <c r="N136" s="123">
        <f t="shared" si="20"/>
        <v>0</v>
      </c>
      <c r="O136" s="124">
        <v>0</v>
      </c>
    </row>
    <row r="137" spans="1:15" ht="24.75" customHeight="1" x14ac:dyDescent="0.25">
      <c r="A137" s="125">
        <v>1403</v>
      </c>
      <c r="B137" s="116" t="s">
        <v>259</v>
      </c>
      <c r="C137" s="117">
        <v>2958</v>
      </c>
      <c r="D137" s="117">
        <v>2258</v>
      </c>
      <c r="E137" s="118">
        <f t="shared" si="29"/>
        <v>76.335361730899251</v>
      </c>
      <c r="F137" s="119">
        <v>0</v>
      </c>
      <c r="G137" s="119">
        <v>0</v>
      </c>
      <c r="H137" s="120">
        <v>0</v>
      </c>
      <c r="I137" s="121">
        <f t="shared" si="18"/>
        <v>2958</v>
      </c>
      <c r="J137" s="122">
        <v>2958</v>
      </c>
      <c r="K137" s="123">
        <f t="shared" si="21"/>
        <v>0</v>
      </c>
      <c r="L137" s="121">
        <f t="shared" si="19"/>
        <v>2258</v>
      </c>
      <c r="M137" s="122">
        <v>2258</v>
      </c>
      <c r="N137" s="123">
        <f t="shared" si="20"/>
        <v>0</v>
      </c>
      <c r="O137" s="124">
        <v>0</v>
      </c>
    </row>
    <row r="138" spans="1:15" ht="15.75" thickBot="1" x14ac:dyDescent="0.3">
      <c r="A138" s="151" t="s">
        <v>260</v>
      </c>
      <c r="B138" s="152"/>
      <c r="C138" s="153">
        <f>C10+C19+C21+C25+C54+C95+C97+C108+C113+C117+C126+C130+C132+C134</f>
        <v>4708041.7</v>
      </c>
      <c r="D138" s="153">
        <f>D134+D132+D130+D126+D117+D113+D108+D97+D95+D54+D25+D21+D19+D10</f>
        <v>2995222.1000000006</v>
      </c>
      <c r="E138" s="153">
        <f>D138/C138*100</f>
        <v>63.619277203938118</v>
      </c>
      <c r="F138" s="153">
        <f>F10+F19+F21+F25+F54+F95+F97+F108+F113+F117+F126+F130+F132+F134</f>
        <v>836758.5</v>
      </c>
      <c r="G138" s="153">
        <f>G10+G19+G21+G25+G54+G95+G97+G108+G113+G117+G126+G130+G132+G134</f>
        <v>500956.79999999993</v>
      </c>
      <c r="H138" s="154">
        <f>G138/F138*100</f>
        <v>59.868743490505317</v>
      </c>
      <c r="I138" s="153"/>
      <c r="J138" s="153">
        <f>J10+J19+J21+J25+J54+J95+J97+J108+J113+J117+J126+J130+J132+J134</f>
        <v>620055.30000000005</v>
      </c>
      <c r="K138" s="153">
        <f>K134+K132+K130+K126+K117+K113+K108+K97+K95+K54+K25+K21+K19+K10</f>
        <v>4924744.9000000004</v>
      </c>
      <c r="L138" s="155"/>
      <c r="M138" s="153">
        <f>M10+M19+M21+M25+M54+M95+M97+M108+M113+M117+M126+M130+M132+M134</f>
        <v>383735.30000000005</v>
      </c>
      <c r="N138" s="153">
        <f>N134+N132+N130+N126+N117+N113+N108+N97+N95+N54+N25+N21+N19+N10</f>
        <v>3112443.6</v>
      </c>
      <c r="O138" s="156">
        <f t="shared" si="26"/>
        <v>63.200097938067813</v>
      </c>
    </row>
    <row r="139" spans="1:15" x14ac:dyDescent="0.25">
      <c r="A139" s="157"/>
      <c r="B139" s="158"/>
      <c r="C139" s="159"/>
      <c r="D139" s="76"/>
      <c r="E139" s="160"/>
      <c r="F139" s="78"/>
      <c r="G139" s="78"/>
      <c r="H139" s="79"/>
      <c r="I139" s="79"/>
      <c r="J139" s="79"/>
      <c r="K139" s="82"/>
      <c r="L139" s="78"/>
      <c r="M139" s="82"/>
      <c r="N139" s="82"/>
      <c r="O139" s="83"/>
    </row>
    <row r="140" spans="1:15" x14ac:dyDescent="0.25">
      <c r="A140" s="161"/>
      <c r="B140" s="162"/>
      <c r="C140" s="189"/>
      <c r="D140" s="189"/>
      <c r="E140" s="189"/>
      <c r="F140" s="189"/>
      <c r="G140" s="189"/>
      <c r="H140" s="189"/>
      <c r="I140" s="189"/>
      <c r="J140" s="189">
        <v>620055.30000000005</v>
      </c>
      <c r="K140" s="189"/>
      <c r="L140" s="189"/>
      <c r="M140" s="189">
        <v>383735.3</v>
      </c>
      <c r="N140" s="189"/>
      <c r="O140" s="189"/>
    </row>
    <row r="141" spans="1:15" x14ac:dyDescent="0.25">
      <c r="A141" s="161"/>
      <c r="B141" s="162"/>
      <c r="C141" s="190"/>
      <c r="D141" s="190"/>
      <c r="E141" s="191"/>
      <c r="F141" s="78"/>
      <c r="G141" s="78"/>
      <c r="H141" s="78"/>
      <c r="I141" s="78"/>
      <c r="J141" s="82">
        <f>J138-J140</f>
        <v>0</v>
      </c>
      <c r="K141" s="82"/>
      <c r="L141" s="78"/>
      <c r="M141" s="82">
        <f>M138-M140</f>
        <v>0</v>
      </c>
      <c r="N141" s="82"/>
      <c r="O141" s="82"/>
    </row>
    <row r="142" spans="1:15" x14ac:dyDescent="0.25">
      <c r="A142" s="163" t="s">
        <v>261</v>
      </c>
      <c r="B142" s="163"/>
      <c r="C142" s="163"/>
      <c r="D142" s="164"/>
      <c r="E142" s="165"/>
      <c r="F142" s="164"/>
      <c r="G142" s="78"/>
      <c r="H142" s="79"/>
      <c r="I142" s="79"/>
      <c r="J142" s="79"/>
      <c r="K142" s="83"/>
      <c r="L142" s="79"/>
      <c r="M142" s="83"/>
      <c r="N142" s="82"/>
      <c r="O142" s="83"/>
    </row>
    <row r="143" spans="1:15" x14ac:dyDescent="0.25">
      <c r="A143" s="163" t="s">
        <v>262</v>
      </c>
      <c r="B143" s="163"/>
      <c r="C143" s="163"/>
      <c r="D143" s="166"/>
      <c r="E143" s="167" t="s">
        <v>263</v>
      </c>
      <c r="F143" s="167"/>
      <c r="G143" s="78"/>
      <c r="H143" s="79"/>
      <c r="I143" s="79"/>
      <c r="J143" s="79"/>
      <c r="K143" s="80"/>
      <c r="L143" s="81"/>
      <c r="M143" s="80"/>
      <c r="N143" s="82"/>
      <c r="O143" s="83"/>
    </row>
    <row r="144" spans="1:15" x14ac:dyDescent="0.25">
      <c r="A144" s="168"/>
      <c r="B144" s="169"/>
      <c r="C144" s="170"/>
      <c r="D144" s="171"/>
      <c r="E144" s="172"/>
      <c r="F144" s="173"/>
      <c r="G144" s="78"/>
      <c r="H144" s="79"/>
      <c r="I144" s="79"/>
      <c r="J144" s="79"/>
      <c r="K144" s="80"/>
      <c r="L144" s="81"/>
      <c r="M144" s="80"/>
      <c r="N144" s="82"/>
      <c r="O144" s="83"/>
    </row>
    <row r="145" spans="1:15" x14ac:dyDescent="0.25">
      <c r="A145" s="163" t="s">
        <v>264</v>
      </c>
      <c r="B145" s="163"/>
      <c r="C145" s="163"/>
      <c r="D145" s="174"/>
      <c r="E145" s="167" t="s">
        <v>265</v>
      </c>
      <c r="F145" s="167"/>
      <c r="G145" s="78"/>
      <c r="H145" s="79"/>
      <c r="I145" s="79"/>
      <c r="J145" s="79"/>
      <c r="K145" s="80"/>
      <c r="L145" s="81"/>
      <c r="M145" s="80"/>
      <c r="N145" s="82"/>
      <c r="O145" s="83"/>
    </row>
    <row r="146" spans="1:15" x14ac:dyDescent="0.25">
      <c r="A146" s="168"/>
      <c r="B146" s="175"/>
      <c r="C146" s="176"/>
      <c r="D146" s="177"/>
      <c r="E146" s="172"/>
      <c r="F146" s="173"/>
      <c r="G146" s="78"/>
      <c r="H146" s="79"/>
      <c r="I146" s="79"/>
      <c r="J146" s="79"/>
      <c r="K146" s="80"/>
      <c r="L146" s="81"/>
      <c r="M146" s="80"/>
      <c r="N146" s="82"/>
      <c r="O146" s="83"/>
    </row>
    <row r="147" spans="1:15" x14ac:dyDescent="0.25">
      <c r="A147" s="163" t="s">
        <v>266</v>
      </c>
      <c r="B147" s="163"/>
      <c r="C147" s="163"/>
      <c r="D147" s="174"/>
      <c r="E147" s="167" t="s">
        <v>267</v>
      </c>
      <c r="F147" s="167"/>
      <c r="G147" s="78"/>
      <c r="H147" s="79"/>
      <c r="I147" s="79"/>
      <c r="J147" s="79"/>
      <c r="K147" s="80"/>
      <c r="L147" s="81"/>
      <c r="M147" s="80"/>
      <c r="N147" s="82"/>
      <c r="O147" s="83"/>
    </row>
    <row r="148" spans="1:15" x14ac:dyDescent="0.25">
      <c r="A148" s="178"/>
      <c r="B148" s="179"/>
      <c r="C148" s="180"/>
      <c r="D148" s="164"/>
      <c r="E148" s="181"/>
      <c r="F148" s="164"/>
      <c r="G148" s="78"/>
      <c r="H148" s="79"/>
      <c r="I148" s="79"/>
      <c r="J148" s="79"/>
      <c r="K148" s="83"/>
      <c r="L148" s="79"/>
      <c r="M148" s="83"/>
      <c r="N148" s="82"/>
      <c r="O148" s="83"/>
    </row>
    <row r="149" spans="1:15" x14ac:dyDescent="0.25">
      <c r="A149" s="182"/>
      <c r="B149" s="182"/>
      <c r="C149" s="183" t="s">
        <v>268</v>
      </c>
      <c r="D149" s="184"/>
      <c r="E149" s="185" t="s">
        <v>269</v>
      </c>
      <c r="F149" s="186"/>
      <c r="G149" s="187"/>
      <c r="K149" t="s">
        <v>270</v>
      </c>
      <c r="L149" s="188"/>
      <c r="N149" s="187"/>
    </row>
    <row r="150" spans="1:15" x14ac:dyDescent="0.25">
      <c r="C150" s="187"/>
      <c r="F150" s="187"/>
      <c r="L150" s="188"/>
    </row>
  </sheetData>
  <mergeCells count="28">
    <mergeCell ref="A143:C143"/>
    <mergeCell ref="E143:F143"/>
    <mergeCell ref="A145:C145"/>
    <mergeCell ref="E145:F145"/>
    <mergeCell ref="A147:C147"/>
    <mergeCell ref="E147:F147"/>
    <mergeCell ref="M4:M5"/>
    <mergeCell ref="N4:N5"/>
    <mergeCell ref="O4:O5"/>
    <mergeCell ref="B6:O8"/>
    <mergeCell ref="A138:B138"/>
    <mergeCell ref="A142:C142"/>
    <mergeCell ref="G4:G5"/>
    <mergeCell ref="H4:H5"/>
    <mergeCell ref="I4:I5"/>
    <mergeCell ref="J4:J5"/>
    <mergeCell ref="K4:K5"/>
    <mergeCell ref="L4:L5"/>
    <mergeCell ref="A1:O1"/>
    <mergeCell ref="A3:A8"/>
    <mergeCell ref="B3:B5"/>
    <mergeCell ref="C3:E3"/>
    <mergeCell ref="F3:H3"/>
    <mergeCell ref="I3:O3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2020-12-16T10:34:49Z</dcterms:modified>
</cp:coreProperties>
</file>