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1" activeTab="1"/>
  </bookViews>
  <sheets>
    <sheet name="01.02.2013" sheetId="1" r:id="rId1"/>
    <sheet name="доходы" sheetId="2" r:id="rId2"/>
    <sheet name="рас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<sst xmlns="http://schemas.openxmlformats.org/spreadsheetml/2006/main" count="858" uniqueCount="330">
  <si>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</si>
  <si>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</si>
  <si>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</si>
  <si>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</si>
  <si>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</si>
  <si>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</si>
  <si>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</si>
  <si>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</si>
  <si>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</si>
  <si>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</si>
  <si>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</si>
  <si>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</si>
  <si>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</si>
  <si>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0111</t>
  </si>
  <si>
    <t>Резервный  фонд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</si>
  <si>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</si>
  <si>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</si>
  <si>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</si>
  <si>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</si>
  <si>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</si>
  <si>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</si>
  <si>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0309</t>
  </si>
  <si>
    <t>04</t>
  </si>
  <si>
    <t>Национальная  экономика</t>
  </si>
  <si>
    <t>0401</t>
  </si>
  <si>
    <t>0405</t>
  </si>
  <si>
    <t>Сельское хозяйство и рыболовство</t>
  </si>
  <si>
    <t>0408</t>
  </si>
  <si>
    <t>0412</t>
  </si>
  <si>
    <t>05</t>
  </si>
  <si>
    <t>Жилищно-коммунальное хозяйство</t>
  </si>
  <si>
    <t>0501</t>
  </si>
  <si>
    <t>0502</t>
  </si>
  <si>
    <t>0503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</si>
  <si>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</si>
  <si>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</si>
  <si>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</si>
  <si>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</si>
  <si>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</si>
  <si>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</si>
  <si>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</si>
  <si>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</si>
  <si>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</si>
  <si>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</si>
  <si>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</si>
  <si>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</si>
  <si>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</si>
  <si>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</si>
  <si>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</si>
  <si>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</si>
  <si>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</si>
  <si>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0802</t>
  </si>
  <si>
    <t>Кинематография</t>
  </si>
  <si>
    <t>0804</t>
  </si>
  <si>
    <t>09</t>
  </si>
  <si>
    <t>0901</t>
  </si>
  <si>
    <t>Стационарная медицинская помощь</t>
  </si>
  <si>
    <t>0902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</si>
  <si>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</si>
  <si>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</si>
  <si>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</si>
  <si>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</si>
  <si>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Подпрограмма "Доступное жилье молодым"</t>
  </si>
  <si>
    <t>Осуществление деятельности отдела по опеке и попечительству</t>
  </si>
  <si>
    <t>Межбюджетные трансферты</t>
  </si>
  <si>
    <t>ИТОГО РАСХОДОВ</t>
  </si>
  <si>
    <t>Куклина Н.Г.</t>
  </si>
  <si>
    <t>0410</t>
  </si>
  <si>
    <t>Связь и информатика</t>
  </si>
  <si>
    <t>Мероприятия по подготовке  к  зиме (3510500)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</si>
  <si>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</si>
  <si>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Подпрограмма "Капремонт  жилого  фонда" (3500200)</t>
  </si>
  <si>
    <t>Материальное обеспечение патронатной семьи (5201300, 5201301)</t>
  </si>
  <si>
    <t>Мероприятия в области социальной политики (5140100)</t>
  </si>
  <si>
    <t>0409</t>
  </si>
  <si>
    <t>Земельные  ресурсы (3400300)</t>
  </si>
  <si>
    <t>Бесплатное питание (4219904)</t>
  </si>
  <si>
    <t>% исполнения</t>
  </si>
  <si>
    <t>План на год</t>
  </si>
  <si>
    <t>Субвен.на обеспеч.жильем отдельных категорий граждан (ветераны, инвалиды 5053401,5053402)</t>
  </si>
  <si>
    <t>0113</t>
  </si>
  <si>
    <t>Дотации на выравнивание  бюджетной обеспеченности субъектов РФ и муниципальных образований</t>
  </si>
  <si>
    <t>Иные дотации</t>
  </si>
  <si>
    <t>Физическая культура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</si>
  <si>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</si>
  <si>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</si>
  <si>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</si>
  <si>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</si>
  <si>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</si>
  <si>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Функционирование  законодательных (представительных)  органов власти</t>
  </si>
  <si>
    <t>Культура</t>
  </si>
  <si>
    <t>Другие вопросы в области культуры, кинематографии</t>
  </si>
  <si>
    <t xml:space="preserve">Здравоохранение </t>
  </si>
  <si>
    <t>Субвенция на обеспечение бесплатными молочными продуктами питания детей до 3-х лет (5055409)</t>
  </si>
  <si>
    <t>Субвенция на  бесплатное изготовление и ремонт зубных протезов (5058005)</t>
  </si>
  <si>
    <t>Прочие межбюджетные трансферты</t>
  </si>
  <si>
    <t>Дорожное хозяйство (5226105)</t>
  </si>
  <si>
    <t>Наименование показателя</t>
  </si>
  <si>
    <t>ККР</t>
  </si>
  <si>
    <t>Программа "Содействие занятости населения 2011-2013 годы"</t>
  </si>
  <si>
    <t>Прочие мероприятия по благоустройству городских округов и поселений (6000500, 6000400, 6000300, 6000100)</t>
  </si>
  <si>
    <t>Периодическая печать и издательства</t>
  </si>
  <si>
    <t>Национальная  безопасность и правохранительная деятельность</t>
  </si>
  <si>
    <t>ЗАГС (0013801, ,0013802)</t>
  </si>
  <si>
    <t>0909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</si>
  <si>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</si>
  <si>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</si>
  <si>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0314</t>
  </si>
  <si>
    <t>Другие вопросы в области национальной безопасности и правоохранительной деятельности</t>
  </si>
  <si>
    <t>Программа "Развитие малого и среднего предпринимательства в ХМАО-Югре" (5220400)</t>
  </si>
  <si>
    <t>1004</t>
  </si>
  <si>
    <t>Консолидированный бюджет</t>
  </si>
  <si>
    <t>Бюджет Поселения</t>
  </si>
  <si>
    <t>Бюджет Район</t>
  </si>
  <si>
    <t>1201</t>
  </si>
  <si>
    <t>Телевидение и радиовещание</t>
  </si>
  <si>
    <t>0304</t>
  </si>
  <si>
    <t>Предупреждение и  ликвидация  последствий ЧС</t>
  </si>
  <si>
    <t>Осуществление полномочий по государственному управлению охраной труда тс. 01.30.39</t>
  </si>
  <si>
    <t>Автомобильный транспорт (3170110)</t>
  </si>
  <si>
    <t>Водный транспорт (3010320)</t>
  </si>
  <si>
    <t>Воздушный транспорт (3000240)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</si>
  <si>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</si>
  <si>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Заворотынская Н.А.</t>
  </si>
  <si>
    <t>Председатель Комитета по управлению муниципальными</t>
  </si>
  <si>
    <t>финансами администрации Октябрьского района</t>
  </si>
  <si>
    <t>Дорожное хозяйство (3150100)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</si>
  <si>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</si>
  <si>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</si>
  <si>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</si>
  <si>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</si>
  <si>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Выплата единовременного пособия при всех формах устройства детей, лишенных родительского попечения, в семью (5050502)</t>
  </si>
  <si>
    <t xml:space="preserve">Бюджетные инвестиции в объекты капитального строительства государственной собственности субъектов РФ 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</si>
  <si>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</si>
  <si>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</si>
  <si>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</si>
  <si>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</si>
  <si>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Подпрограмма "Библиотечное дело" 5222806</t>
  </si>
  <si>
    <t>0505</t>
  </si>
  <si>
    <t>Другие вопросы в области жилищно-коммунального хозяйства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</si>
  <si>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</si>
  <si>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</si>
  <si>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"Развитие  малого и среднего предпринимательства  в Октябрьском  районе"  на 2011-2013 годы (7950400) тс 01.03.20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</si>
  <si>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</si>
  <si>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</si>
  <si>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</si>
  <si>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</si>
  <si>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</si>
  <si>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</si>
  <si>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</si>
  <si>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</si>
  <si>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Заведующий  отделом учета  исполнения  бюджета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</si>
  <si>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</si>
  <si>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"Культура Октябрьского района на 2010-2012 гг" 7952800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</si>
  <si>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</si>
  <si>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</si>
  <si>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</si>
  <si>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</si>
  <si>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</si>
  <si>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 xml:space="preserve"> "Наш дом" субсидии на благоустройство дворовых территорий многоквартирных домов (5227000)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</si>
  <si>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</si>
  <si>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</si>
  <si>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</si>
  <si>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</si>
  <si>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Программа "Развитие агропромышленного комплекса ХМАО-Югры в 2011-2013 годах"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</si>
  <si>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</si>
  <si>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</si>
  <si>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</si>
  <si>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</si>
  <si>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Обеспечение проведения выборов и референдумов</t>
  </si>
  <si>
    <t>Отчет  об  исполнении  консолидированного  бюджета  района  по  расходам на 1 февраля 2013 года</t>
  </si>
  <si>
    <t>исполнение на 01.02.2013</t>
  </si>
  <si>
    <t>____ февраля  2013 года</t>
  </si>
  <si>
    <t>исполнения на 01.02.2013</t>
  </si>
  <si>
    <t xml:space="preserve">ЗАГС </t>
  </si>
  <si>
    <t>Государственная программа "Содействие занятости населения в Ханты-Мансийском автономном округе – Югре на 2014 – 2020 годы"</t>
  </si>
  <si>
    <t>Воздушный транспорт (11.2.7807)</t>
  </si>
  <si>
    <t>Автомобильный транспорт (11.4.7807)</t>
  </si>
  <si>
    <t>Водный транспорт (11.3.7807)</t>
  </si>
  <si>
    <t>Содержание автомобильных дорог общего пользования (40.3.0602)</t>
  </si>
  <si>
    <t>Реализация мероприятий муниципальной программы "Поддержка малого и среднего предпринимательства в Октябрьском районе на 2014-2020 годы" (08.0.2127)</t>
  </si>
  <si>
    <t>Осуществление полномочий по государственному управлению охраной труда (07.3.5513) тс. 01.30.39</t>
  </si>
  <si>
    <t>Капитальный ремонт жилого фонда (40.6.2120)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</si>
  <si>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(06.0.2120)</t>
  </si>
  <si>
    <t>Иные межбюджетные трансферты на финансирование наказов избирателей депутатам Думы ХМАО-Югры  (41.2.5608)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</si>
  <si>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(15.0.2130)</t>
  </si>
  <si>
    <t>Внешнее благоустройство (40.6.2130)</t>
  </si>
  <si>
    <t>Бесплатное питание (01.1.5504)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</si>
  <si>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(01.1.5405) 01.40.18 и местн.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</si>
  <si>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(01.1.5507) тс 01.30.09</t>
  </si>
  <si>
    <t>Выплата единовременного пособия при всех формах устройства детей, лишенных родительского попечения, в семью (03.1.5260) 01.20.02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</si>
  <si>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(03.1.5508)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</si>
  <si>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(10.3.7808)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</si>
  <si>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(10.3.7809)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</si>
  <si>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(40.6.2140)</t>
  </si>
  <si>
    <t>Мероприятия в области коммунального хозяйства (40.6.2125)</t>
  </si>
  <si>
    <t>Национальная  безопасность и правоохранительная деятельность</t>
  </si>
  <si>
    <t>Муниципальная  программа" Развитие транспортной  системы муниципального  образования Октябрьский  район на 2014-2016  годы"  (11.1.5419, 11.1.5641) окружные средства</t>
  </si>
  <si>
    <t>Муниципальная  программа" Развитие транспортной  системы муниципального  образования Октябрьский  район на 2014-2016  годы"  (11.1.5419, 11.1.5641)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</si>
  <si>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(15.0.0602)</t>
  </si>
  <si>
    <t>Мероприятия по землеустройству и землепользованию (40.3.2137)</t>
  </si>
  <si>
    <t>Реализация мероприятий муниципальной  программы "Управление  муниципальной  собственностью Октябрьского района на 2014 – 2020 годы" земля (18.0.2137)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</si>
  <si>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(ремонт линий электроснабжения) (15.0.2120)</t>
  </si>
  <si>
    <t>Агеева Н.В.</t>
  </si>
  <si>
    <t>Возмещение затрат в связи с производством (реализацией) товаров, выполнением работ, оказанием услуг по теплоснабжению (40.6.2141)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</si>
  <si>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(09.1.5440 о/б; 09.1.5020 ф/б)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</si>
  <si>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(09.7.5135) 01.20.04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</si>
  <si>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(08.0.5428, 08.0.5064)</t>
  </si>
  <si>
    <t>Снос расселенных приспособленных для проживания строений, расположенных в месте их сосредоточения в муниципальном образовании (09.3.2130)</t>
  </si>
  <si>
    <t>(тыс.руб.)</t>
  </si>
  <si>
    <t xml:space="preserve"> </t>
  </si>
  <si>
    <t>1 квартал</t>
  </si>
  <si>
    <t>2 квартал</t>
  </si>
  <si>
    <t>3 квартал</t>
  </si>
  <si>
    <t>4 квартал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</si>
  <si>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</si>
  <si>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</si>
  <si>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</si>
  <si>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</si>
  <si>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</si>
  <si>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</si>
  <si>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</si>
  <si>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00010300000000000000</t>
  </si>
  <si>
    <t>Акцизы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</si>
  <si>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</si>
  <si>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</si>
  <si>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</si>
  <si>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</si>
  <si>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</si>
  <si>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</si>
  <si>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</si>
  <si>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</si>
  <si>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</si>
  <si>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</si>
  <si>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</si>
  <si>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</si>
  <si>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</si>
  <si>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</si>
  <si>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</si>
  <si>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</si>
  <si>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</si>
  <si>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</si>
  <si>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</si>
  <si>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</si>
  <si>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</si>
  <si>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</si>
  <si>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</si>
  <si>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</si>
  <si>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</si>
  <si>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</si>
  <si>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</si>
  <si>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</si>
  <si>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00021800000000000151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</si>
  <si>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</si>
  <si>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</si>
  <si>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</si>
  <si>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</si>
  <si>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</si>
  <si>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</si>
  <si>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</si>
  <si>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</si>
  <si>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</si>
  <si>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</si>
  <si>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</si>
  <si>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</si>
  <si>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</si>
  <si>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</si>
  <si>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</si>
  <si>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</si>
  <si>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</si>
  <si>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</si>
  <si>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</si>
  <si>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</si>
  <si>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</si>
  <si>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</si>
  <si>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</si>
  <si>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</si>
  <si>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</si>
  <si>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</si>
  <si>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</si>
  <si>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</si>
  <si>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</si>
  <si>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</si>
  <si>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(09.6.5404) 01.40.36 и доля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</si>
  <si>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окружной бюджет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</si>
  <si>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местный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</si>
  <si>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(10.3.5516)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</si>
  <si>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(10.1.5430)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</si>
  <si>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(41.1.5690)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</si>
  <si>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(40.6.5402)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</si>
  <si>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(03.1.5429) строительство объектов</t>
  </si>
  <si>
    <t>Подпрограмма "Библиотечное дело" 03.1.5418</t>
  </si>
  <si>
    <t>Бюджетные инвестиции в объекты капитального строительства государственной собственности субъектов РФ (18.0.5447)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</si>
  <si>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(03.4.5511, 03.4.5512)</t>
  </si>
  <si>
    <t>1105</t>
  </si>
  <si>
    <t>Другие вопросы в области физической культуры и спорта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</si>
  <si>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</si>
  <si>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</si>
  <si>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</si>
  <si>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</si>
  <si>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</si>
  <si>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(17.1.5427)</t>
  </si>
  <si>
    <t>Субсидии на развитие многофункциональных центров предоставления государственных и муниципальных услуг в рамках программы "Управление муниципальной собственностью Октябрьского района на 2014-2016 годы" (18.0.5426)</t>
  </si>
  <si>
    <t>Субсидии на развитие  общественной инфраструктуры (кап.ремонт жилого фонда) (40.6.5431)</t>
  </si>
  <si>
    <t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 (11.4.5607)</t>
  </si>
  <si>
    <t>Подпрограмма "Повышение эффективности в отраслях экономики"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(10.4.5436)</t>
  </si>
  <si>
    <t>Бюджетные инвестии в объекты капитального строительства собственности муниципального образования (10.1.0102) (инженерные сети Каменное, водозабор Б.Леуши)</t>
  </si>
  <si>
    <t>Другие вопросы в области жилищно-коммунального хозяйства (администрирование)</t>
  </si>
  <si>
    <t xml:space="preserve">Муниципальная  программа" Развитие транспортной  системы муниципального  образования Октябрьский  район на 2014-2016  годы" (дорога Андра-Октябрьское) (11.1.4210) 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</si>
  <si>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(0935445)</t>
  </si>
  <si>
    <t>Субсидии на развитие  общественной инфраструктуры (10.1.5431) котельная Каменное ПИР</t>
  </si>
  <si>
    <t>Субсидии на развитие  общественной инфраструктуры (40.6.5431) подготовка к зиме</t>
  </si>
  <si>
    <t>Субсидии на реализацию муниципальной программы "Развитие агропромышленного комплекса  муниципального  образования  Октябрьский  район  на 2014-2020 годы " (05.0.5421, 05.0.5018)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</si>
  <si>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(09.3.5445)</t>
  </si>
  <si>
    <t>Заведующий отделом учета исполнения бюджета</t>
  </si>
  <si>
    <t>Заворотынская Н.А</t>
  </si>
  <si>
    <t>План                 на 9 месяцев 2015 года</t>
  </si>
  <si>
    <t xml:space="preserve">% исп-ия к плану на 9 месяцев 2015 года </t>
  </si>
  <si>
    <t>Отчет  об  исполнении  консолидированного  бюджета  района  по  расходам на 1 ноября 2015 года</t>
  </si>
  <si>
    <t>исполнение на 01.11.2015</t>
  </si>
  <si>
    <t>исполнения на 01.11.2015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</si>
  <si>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годы"(0952119, 0955437)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</si>
  <si>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(10.1.5411) (реконструкция очистных Перегребное, очистка воды к котельной Каменное)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</si>
  <si>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(инженерные сети индивидуальнной застройки Сергино, Талинка)</t>
  </si>
  <si>
    <t>Отчет об исполнении консолидированного бюджета Октябрьского района по состоянию на 01.11.2015</t>
  </si>
  <si>
    <t>Первонач.  план на 2015 год</t>
  </si>
  <si>
    <t>Уточн. план на 2015 год</t>
  </si>
  <si>
    <t>Исполнение на 01.11.2015</t>
  </si>
  <si>
    <t xml:space="preserve">% исп-ия к уточн. плану на 2015 год </t>
  </si>
  <si>
    <t xml:space="preserve">% исп-ия к первонач.плану на 2015 год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</si>
</sst>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sz val="11"/>
      <color indexed="3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sz val="11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6" fillId="0" borderId="0" xfId="53" applyNumberFormat="1" applyFont="1" applyAlignment="1">
      <alignment horizontal="left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left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4" fontId="5" fillId="0" borderId="0" xfId="53" applyNumberFormat="1" applyFont="1" applyFill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9" fillId="36" borderId="12" xfId="53" applyNumberFormat="1" applyFont="1" applyFill="1" applyBorder="1" applyAlignment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 wrapText="1"/>
    </xf>
    <xf numFmtId="164" fontId="5" fillId="0" borderId="0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9" fillId="33" borderId="15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0" xfId="53" applyNumberFormat="1" applyFont="1" applyFill="1" applyBorder="1" applyAlignment="1">
      <alignment horizontal="center" vertical="center" wrapText="1"/>
      <protection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3" fontId="9" fillId="0" borderId="10" xfId="0" applyNumberFormat="1" applyFont="1" applyBorder="1" applyAlignment="1">
      <alignment horizontal="center" vertical="center" wrapText="1"/>
    </xf>
    <xf numFmtId="164" fontId="64" fillId="0" borderId="0" xfId="0" applyNumberFormat="1" applyFont="1" applyFill="1" applyAlignment="1">
      <alignment horizontal="center" vertical="center" wrapText="1"/>
    </xf>
    <xf numFmtId="164" fontId="64" fillId="0" borderId="0" xfId="53" applyNumberFormat="1" applyFont="1" applyFill="1" applyAlignment="1">
      <alignment horizontal="center" vertical="center" wrapText="1"/>
      <protection/>
    </xf>
    <xf numFmtId="164" fontId="64" fillId="0" borderId="0" xfId="53" applyNumberFormat="1" applyFont="1" applyFill="1" applyBorder="1" applyAlignment="1">
      <alignment horizontal="center" vertical="center" wrapText="1"/>
      <protection/>
    </xf>
    <xf numFmtId="164" fontId="6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35" borderId="10" xfId="53" applyNumberFormat="1" applyFont="1" applyFill="1" applyBorder="1" applyAlignment="1">
      <alignment horizontal="center" vertical="center" wrapText="1"/>
      <protection/>
    </xf>
    <xf numFmtId="164" fontId="65" fillId="35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14" xfId="53" applyNumberFormat="1" applyFont="1" applyFill="1" applyBorder="1" applyAlignment="1">
      <alignment horizontal="center" vertical="center" wrapText="1"/>
      <protection/>
    </xf>
    <xf numFmtId="49" fontId="12" fillId="0" borderId="0" xfId="0" applyNumberFormat="1" applyFont="1" applyFill="1" applyBorder="1" applyAlignment="1">
      <alignment horizontal="right" vertical="center" wrapText="1"/>
    </xf>
    <xf numFmtId="0" fontId="12" fillId="0" borderId="0" xfId="53" applyNumberFormat="1" applyFont="1" applyFill="1" applyBorder="1" applyAlignment="1">
      <alignment horizontal="left" vertical="center" wrapText="1"/>
      <protection/>
    </xf>
    <xf numFmtId="164" fontId="66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Alignment="1">
      <alignment horizontal="left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164" fontId="66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4" fontId="6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33" borderId="10" xfId="53" applyNumberFormat="1" applyFont="1" applyFill="1" applyBorder="1" applyAlignment="1">
      <alignment horizontal="center" vertical="center" wrapText="1"/>
      <protection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7" fillId="33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 quotePrefix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left" vertical="center" wrapText="1"/>
      <protection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164" fontId="16" fillId="33" borderId="10" xfId="53" applyNumberFormat="1" applyFont="1" applyFill="1" applyBorder="1" applyAlignment="1">
      <alignment horizontal="center" vertical="center" wrapText="1"/>
      <protection/>
    </xf>
    <xf numFmtId="164" fontId="17" fillId="33" borderId="15" xfId="53" applyNumberFormat="1" applyFont="1" applyFill="1" applyBorder="1" applyAlignment="1">
      <alignment horizontal="center" vertical="center" wrapText="1"/>
      <protection/>
    </xf>
    <xf numFmtId="0" fontId="15" fillId="34" borderId="10" xfId="53" applyNumberFormat="1" applyFont="1" applyFill="1" applyBorder="1" applyAlignment="1">
      <alignment horizontal="left" vertical="center" wrapText="1"/>
      <protection/>
    </xf>
    <xf numFmtId="0" fontId="16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17" fillId="33" borderId="10" xfId="0" applyNumberFormat="1" applyFont="1" applyFill="1" applyBorder="1" applyAlignment="1">
      <alignment horizontal="center" vertical="center" wrapText="1"/>
    </xf>
    <xf numFmtId="49" fontId="15" fillId="35" borderId="11" xfId="53" applyNumberFormat="1" applyFont="1" applyFill="1" applyBorder="1" applyAlignment="1">
      <alignment horizontal="center" vertical="center" wrapText="1"/>
      <protection/>
    </xf>
    <xf numFmtId="0" fontId="15" fillId="35" borderId="10" xfId="53" applyNumberFormat="1" applyFont="1" applyFill="1" applyBorder="1" applyAlignment="1">
      <alignment horizontal="left" vertical="center" wrapText="1"/>
      <protection/>
    </xf>
    <xf numFmtId="49" fontId="19" fillId="33" borderId="11" xfId="53" applyNumberFormat="1" applyFont="1" applyFill="1" applyBorder="1" applyAlignment="1">
      <alignment horizontal="center" vertical="center" wrapText="1"/>
      <protection/>
    </xf>
    <xf numFmtId="49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left" vertical="center" wrapText="1"/>
      <protection/>
    </xf>
    <xf numFmtId="164" fontId="17" fillId="36" borderId="12" xfId="53" applyNumberFormat="1" applyFont="1" applyFill="1" applyBorder="1" applyAlignment="1">
      <alignment horizontal="center" vertical="center" wrapText="1"/>
      <protection/>
    </xf>
    <xf numFmtId="164" fontId="17" fillId="36" borderId="12" xfId="0" applyNumberFormat="1" applyFont="1" applyFill="1" applyBorder="1" applyAlignment="1">
      <alignment horizontal="center" vertical="center" wrapText="1"/>
    </xf>
    <xf numFmtId="164" fontId="17" fillId="36" borderId="13" xfId="0" applyNumberFormat="1" applyFont="1" applyFill="1" applyBorder="1" applyAlignment="1">
      <alignment horizontal="center" vertical="center" wrapText="1"/>
    </xf>
    <xf numFmtId="164" fontId="67" fillId="0" borderId="10" xfId="53" applyNumberFormat="1" applyFont="1" applyFill="1" applyBorder="1" applyAlignment="1">
      <alignment horizontal="center" vertical="center" wrapText="1"/>
      <protection/>
    </xf>
    <xf numFmtId="164" fontId="16" fillId="37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25" fillId="0" borderId="16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left" vertical="top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7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/>
    </xf>
    <xf numFmtId="49" fontId="26" fillId="0" borderId="16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vertical="top"/>
    </xf>
    <xf numFmtId="49" fontId="26" fillId="0" borderId="14" xfId="0" applyNumberFormat="1" applyFont="1" applyFill="1" applyBorder="1" applyAlignment="1">
      <alignment vertical="top" wrapText="1"/>
    </xf>
    <xf numFmtId="49" fontId="26" fillId="0" borderId="14" xfId="0" applyNumberFormat="1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 wrapText="1" shrinkToFit="1"/>
    </xf>
    <xf numFmtId="49" fontId="26" fillId="0" borderId="14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165" fontId="23" fillId="0" borderId="16" xfId="0" applyNumberFormat="1" applyFont="1" applyFill="1" applyBorder="1" applyAlignment="1">
      <alignment horizontal="right" vertical="top"/>
    </xf>
    <xf numFmtId="165" fontId="23" fillId="0" borderId="10" xfId="0" applyNumberFormat="1" applyFont="1" applyFill="1" applyBorder="1" applyAlignment="1">
      <alignment vertical="top"/>
    </xf>
    <xf numFmtId="0" fontId="26" fillId="0" borderId="16" xfId="0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26" fillId="0" borderId="17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/>
    </xf>
    <xf numFmtId="49" fontId="22" fillId="0" borderId="17" xfId="0" applyNumberFormat="1" applyFont="1" applyFill="1" applyBorder="1" applyAlignment="1">
      <alignment horizontal="left" vertical="top"/>
    </xf>
    <xf numFmtId="49" fontId="26" fillId="0" borderId="14" xfId="0" applyNumberFormat="1" applyFont="1" applyFill="1" applyBorder="1" applyAlignment="1">
      <alignment horizontal="left" vertical="top" wrapText="1"/>
    </xf>
    <xf numFmtId="0" fontId="12" fillId="0" borderId="10" xfId="53" applyNumberFormat="1" applyFont="1" applyFill="1" applyBorder="1" applyAlignment="1">
      <alignment horizontal="left" vertical="center" wrapText="1"/>
      <protection/>
    </xf>
    <xf numFmtId="164" fontId="16" fillId="37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24" fillId="34" borderId="18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vertical="top" wrapText="1"/>
    </xf>
    <xf numFmtId="165" fontId="22" fillId="0" borderId="16" xfId="0" applyNumberFormat="1" applyFont="1" applyFill="1" applyBorder="1" applyAlignment="1">
      <alignment horizontal="right" vertical="top"/>
    </xf>
    <xf numFmtId="165" fontId="22" fillId="0" borderId="16" xfId="0" applyNumberFormat="1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165" fontId="26" fillId="0" borderId="10" xfId="0" applyNumberFormat="1" applyFont="1" applyFill="1" applyBorder="1" applyAlignment="1">
      <alignment vertical="top" wrapText="1"/>
    </xf>
    <xf numFmtId="165" fontId="22" fillId="0" borderId="10" xfId="0" applyNumberFormat="1" applyFont="1" applyFill="1" applyBorder="1" applyAlignment="1">
      <alignment horizontal="right" vertical="top"/>
    </xf>
    <xf numFmtId="165" fontId="22" fillId="0" borderId="10" xfId="0" applyNumberFormat="1" applyFont="1" applyFill="1" applyBorder="1" applyAlignment="1">
      <alignment vertical="top"/>
    </xf>
    <xf numFmtId="165" fontId="25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vertical="top" wrapText="1" shrinkToFit="1"/>
    </xf>
    <xf numFmtId="165" fontId="22" fillId="0" borderId="0" xfId="0" applyNumberFormat="1" applyFont="1" applyFill="1" applyAlignment="1">
      <alignment vertical="top"/>
    </xf>
    <xf numFmtId="165" fontId="22" fillId="0" borderId="17" xfId="0" applyNumberFormat="1" applyFont="1" applyFill="1" applyBorder="1" applyAlignment="1">
      <alignment horizontal="right" vertical="top"/>
    </xf>
    <xf numFmtId="165" fontId="26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right" vertical="top" wrapText="1" shrinkToFit="1"/>
    </xf>
    <xf numFmtId="165" fontId="23" fillId="0" borderId="17" xfId="0" applyNumberFormat="1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horizontal="right" vertical="top" wrapText="1"/>
    </xf>
    <xf numFmtId="165" fontId="25" fillId="0" borderId="21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right" vertical="top"/>
    </xf>
    <xf numFmtId="165" fontId="25" fillId="0" borderId="10" xfId="0" applyNumberFormat="1" applyFont="1" applyFill="1" applyBorder="1" applyAlignment="1">
      <alignment vertical="top" wrapText="1"/>
    </xf>
    <xf numFmtId="165" fontId="26" fillId="0" borderId="14" xfId="0" applyNumberFormat="1" applyFont="1" applyFill="1" applyBorder="1" applyAlignment="1">
      <alignment horizontal="right" vertical="top" wrapText="1"/>
    </xf>
    <xf numFmtId="166" fontId="22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horizontal="right" vertical="top" wrapText="1"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164" fontId="16" fillId="35" borderId="10" xfId="53" applyNumberFormat="1" applyFont="1" applyFill="1" applyBorder="1" applyAlignment="1">
      <alignment horizontal="center" vertical="center" wrapText="1"/>
      <protection/>
    </xf>
    <xf numFmtId="0" fontId="6" fillId="0" borderId="0" xfId="53" applyNumberFormat="1" applyFont="1" applyFill="1" applyBorder="1" applyAlignment="1">
      <alignment horizontal="right" vertical="center" wrapText="1"/>
      <protection/>
    </xf>
    <xf numFmtId="164" fontId="5" fillId="0" borderId="0" xfId="53" applyNumberFormat="1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0" fontId="10" fillId="36" borderId="22" xfId="53" applyNumberFormat="1" applyFont="1" applyFill="1" applyBorder="1" applyAlignment="1">
      <alignment horizontal="center" vertical="center" wrapText="1"/>
      <protection/>
    </xf>
    <xf numFmtId="0" fontId="10" fillId="36" borderId="12" xfId="53" applyNumberFormat="1" applyFont="1" applyFill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11" fillId="0" borderId="0" xfId="53" applyNumberFormat="1" applyFont="1" applyAlignment="1">
      <alignment horizontal="center" vertical="center" wrapText="1"/>
      <protection/>
    </xf>
    <xf numFmtId="49" fontId="6" fillId="0" borderId="23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164" fontId="5" fillId="0" borderId="24" xfId="53" applyNumberFormat="1" applyFont="1" applyFill="1" applyBorder="1" applyAlignment="1">
      <alignment horizontal="center" vertical="center" wrapText="1"/>
      <protection/>
    </xf>
    <xf numFmtId="164" fontId="5" fillId="0" borderId="24" xfId="0" applyNumberFormat="1" applyFont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Border="1" applyAlignment="1">
      <alignment horizontal="center" vertical="center" wrapText="1"/>
      <protection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9" fillId="0" borderId="15" xfId="53" applyNumberFormat="1" applyFont="1" applyBorder="1" applyAlignment="1">
      <alignment horizontal="center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0" fontId="23" fillId="34" borderId="17" xfId="0" applyFont="1" applyFill="1" applyBorder="1" applyAlignment="1">
      <alignment horizontal="center" vertical="top"/>
    </xf>
    <xf numFmtId="0" fontId="23" fillId="34" borderId="20" xfId="0" applyFont="1" applyFill="1" applyBorder="1" applyAlignment="1">
      <alignment horizontal="center" vertical="top"/>
    </xf>
    <xf numFmtId="0" fontId="23" fillId="34" borderId="16" xfId="0" applyFont="1" applyFill="1" applyBorder="1" applyAlignment="1">
      <alignment horizontal="center" vertical="top"/>
    </xf>
    <xf numFmtId="0" fontId="23" fillId="34" borderId="17" xfId="0" applyFont="1" applyFill="1" applyBorder="1" applyAlignment="1">
      <alignment horizontal="center" vertical="top" wrapText="1"/>
    </xf>
    <xf numFmtId="0" fontId="23" fillId="34" borderId="20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164" fontId="17" fillId="0" borderId="10" xfId="53" applyNumberFormat="1" applyFont="1" applyBorder="1" applyAlignment="1">
      <alignment horizontal="center" vertical="center" wrapText="1"/>
      <protection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164" fontId="16" fillId="0" borderId="10" xfId="53" applyNumberFormat="1" applyFont="1" applyBorder="1" applyAlignment="1">
      <alignment horizontal="center" vertical="center" wrapText="1"/>
      <protection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8" fillId="0" borderId="10" xfId="0" applyNumberFormat="1" applyFont="1" applyBorder="1" applyAlignment="1">
      <alignment horizontal="center" vertical="center"/>
    </xf>
    <xf numFmtId="0" fontId="20" fillId="36" borderId="22" xfId="53" applyNumberFormat="1" applyFont="1" applyFill="1" applyBorder="1" applyAlignment="1">
      <alignment horizontal="center" vertical="center" wrapText="1"/>
      <protection/>
    </xf>
    <xf numFmtId="0" fontId="20" fillId="36" borderId="12" xfId="53" applyNumberFormat="1" applyFont="1" applyFill="1" applyBorder="1" applyAlignment="1">
      <alignment horizontal="center" vertical="center" wrapText="1"/>
      <protection/>
    </xf>
    <xf numFmtId="0" fontId="12" fillId="0" borderId="0" xfId="53" applyNumberFormat="1" applyFont="1" applyFill="1" applyBorder="1" applyAlignment="1">
      <alignment horizontal="right" vertical="center" wrapText="1"/>
      <protection/>
    </xf>
    <xf numFmtId="164" fontId="13" fillId="0" borderId="0" xfId="53" applyNumberFormat="1" applyFont="1" applyFill="1" applyBorder="1" applyAlignment="1">
      <alignment horizontal="left" vertical="center" wrapText="1"/>
      <protection/>
    </xf>
    <xf numFmtId="164" fontId="16" fillId="0" borderId="10" xfId="0" applyNumberFormat="1" applyFont="1" applyBorder="1" applyAlignment="1">
      <alignment horizontal="center" vertical="center" wrapText="1"/>
    </xf>
    <xf numFmtId="0" fontId="14" fillId="0" borderId="0" xfId="53" applyNumberFormat="1" applyFont="1" applyAlignment="1">
      <alignment horizontal="center" vertical="center" wrapText="1"/>
      <protection/>
    </xf>
    <xf numFmtId="49" fontId="15" fillId="0" borderId="23" xfId="53" applyNumberFormat="1" applyFont="1" applyBorder="1" applyAlignment="1">
      <alignment horizontal="center" vertical="center" wrapTex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0" fontId="15" fillId="0" borderId="24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164" fontId="16" fillId="0" borderId="24" xfId="53" applyNumberFormat="1" applyFont="1" applyFill="1" applyBorder="1" applyAlignment="1">
      <alignment horizontal="center" vertical="center" wrapText="1"/>
      <protection/>
    </xf>
    <xf numFmtId="164" fontId="16" fillId="0" borderId="24" xfId="0" applyNumberFormat="1" applyFont="1" applyBorder="1" applyAlignment="1">
      <alignment horizontal="center" vertical="center" wrapText="1"/>
    </xf>
    <xf numFmtId="164" fontId="17" fillId="0" borderId="15" xfId="53" applyNumberFormat="1" applyFont="1" applyBorder="1" applyAlignment="1">
      <alignment horizontal="center" vertical="center" wrapText="1"/>
      <protection/>
    </xf>
    <xf numFmtId="164" fontId="17" fillId="0" borderId="15" xfId="0" applyNumberFormat="1" applyFont="1" applyBorder="1" applyAlignment="1">
      <alignment horizontal="center" vertical="center" wrapText="1"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164" fontId="17" fillId="0" borderId="24" xfId="0" applyNumberFormat="1" applyFont="1" applyFill="1" applyBorder="1" applyAlignment="1">
      <alignment horizontal="center" vertical="center" wrapText="1"/>
    </xf>
    <xf numFmtId="164" fontId="17" fillId="0" borderId="25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left" vertical="top"/>
    </xf>
    <xf numFmtId="0" fontId="26" fillId="0" borderId="28" xfId="0" applyFont="1" applyFill="1" applyBorder="1" applyAlignment="1">
      <alignment vertical="top" wrapText="1"/>
    </xf>
    <xf numFmtId="0" fontId="26" fillId="0" borderId="21" xfId="0" applyFont="1" applyFill="1" applyBorder="1" applyAlignment="1">
      <alignment vertical="top" wrapText="1"/>
    </xf>
    <xf numFmtId="0" fontId="25" fillId="0" borderId="21" xfId="0" applyFont="1" applyFill="1" applyBorder="1" applyAlignment="1">
      <alignment vertical="top"/>
    </xf>
    <xf numFmtId="0" fontId="26" fillId="0" borderId="21" xfId="0" applyFont="1" applyFill="1" applyBorder="1" applyAlignment="1">
      <alignment horizontal="justify" vertical="top" wrapText="1"/>
    </xf>
    <xf numFmtId="165" fontId="26" fillId="0" borderId="10" xfId="0" applyNumberFormat="1" applyFont="1" applyFill="1" applyBorder="1" applyAlignment="1">
      <alignment horizontal="justify" vertical="top" wrapText="1"/>
    </xf>
    <xf numFmtId="0" fontId="26" fillId="0" borderId="21" xfId="0" applyFont="1" applyFill="1" applyBorder="1" applyAlignment="1">
      <alignment vertical="top"/>
    </xf>
    <xf numFmtId="165" fontId="23" fillId="0" borderId="20" xfId="0" applyNumberFormat="1" applyFont="1" applyFill="1" applyBorder="1" applyAlignment="1">
      <alignment horizontal="right" vertical="top"/>
    </xf>
    <xf numFmtId="165" fontId="23" fillId="0" borderId="17" xfId="0" applyNumberFormat="1" applyFont="1" applyFill="1" applyBorder="1" applyAlignment="1">
      <alignment horizontal="right" vertical="top"/>
    </xf>
    <xf numFmtId="49" fontId="26" fillId="0" borderId="21" xfId="0" applyNumberFormat="1" applyFont="1" applyFill="1" applyBorder="1" applyAlignment="1">
      <alignment vertical="top" wrapText="1"/>
    </xf>
    <xf numFmtId="49" fontId="26" fillId="0" borderId="26" xfId="0" applyNumberFormat="1" applyFont="1" applyFill="1" applyBorder="1" applyAlignment="1">
      <alignment vertical="top" wrapText="1"/>
    </xf>
    <xf numFmtId="0" fontId="22" fillId="0" borderId="26" xfId="0" applyFont="1" applyFill="1" applyBorder="1" applyAlignment="1">
      <alignment vertical="top"/>
    </xf>
    <xf numFmtId="165" fontId="22" fillId="0" borderId="26" xfId="0" applyNumberFormat="1" applyFont="1" applyFill="1" applyBorder="1" applyAlignment="1">
      <alignment horizontal="right" vertical="top"/>
    </xf>
    <xf numFmtId="165" fontId="23" fillId="0" borderId="26" xfId="0" applyNumberFormat="1" applyFont="1" applyFill="1" applyBorder="1" applyAlignment="1">
      <alignment horizontal="right" vertical="top"/>
    </xf>
    <xf numFmtId="165" fontId="23" fillId="0" borderId="26" xfId="0" applyNumberFormat="1" applyFont="1" applyFill="1" applyBorder="1" applyAlignment="1">
      <alignment vertical="top"/>
    </xf>
    <xf numFmtId="165" fontId="22" fillId="0" borderId="27" xfId="0" applyNumberFormat="1" applyFont="1" applyFill="1" applyBorder="1" applyAlignment="1">
      <alignment vertical="top"/>
    </xf>
    <xf numFmtId="165" fontId="23" fillId="0" borderId="16" xfId="0" applyNumberFormat="1" applyFont="1" applyFill="1" applyBorder="1" applyAlignment="1">
      <alignment vertical="top"/>
    </xf>
    <xf numFmtId="165" fontId="22" fillId="0" borderId="10" xfId="0" applyNumberFormat="1" applyFont="1" applyFill="1" applyBorder="1" applyAlignment="1">
      <alignment horizontal="center" vertical="top"/>
    </xf>
    <xf numFmtId="165" fontId="26" fillId="0" borderId="14" xfId="0" applyNumberFormat="1" applyFont="1" applyFill="1" applyBorder="1" applyAlignment="1">
      <alignment vertical="top" wrapText="1"/>
    </xf>
    <xf numFmtId="165" fontId="26" fillId="0" borderId="14" xfId="0" applyNumberFormat="1" applyFont="1" applyFill="1" applyBorder="1" applyAlignment="1">
      <alignment vertical="top" wrapText="1" shrinkToFit="1"/>
    </xf>
    <xf numFmtId="49" fontId="26" fillId="0" borderId="10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vertical="top"/>
    </xf>
    <xf numFmtId="49" fontId="26" fillId="0" borderId="28" xfId="0" applyNumberFormat="1" applyFont="1" applyFill="1" applyBorder="1" applyAlignment="1">
      <alignment horizontal="center" vertical="top" wrapText="1"/>
    </xf>
    <xf numFmtId="49" fontId="26" fillId="0" borderId="14" xfId="0" applyNumberFormat="1" applyFont="1" applyFill="1" applyBorder="1" applyAlignment="1">
      <alignment horizontal="center" vertical="top" wrapText="1"/>
    </xf>
    <xf numFmtId="49" fontId="26" fillId="0" borderId="29" xfId="0" applyNumberFormat="1" applyFont="1" applyFill="1" applyBorder="1" applyAlignment="1">
      <alignment horizontal="center" vertical="top" wrapText="1"/>
    </xf>
    <xf numFmtId="165" fontId="22" fillId="0" borderId="17" xfId="0" applyNumberFormat="1" applyFont="1" applyFill="1" applyBorder="1" applyAlignment="1">
      <alignment vertical="top"/>
    </xf>
    <xf numFmtId="165" fontId="26" fillId="0" borderId="14" xfId="0" applyNumberFormat="1" applyFont="1" applyFill="1" applyBorder="1" applyAlignment="1">
      <alignment horizontal="right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4">
      <selection activeCell="I121" sqref="I121:J121"/>
    </sheetView>
  </sheetViews>
  <sheetFormatPr defaultColWidth="9.00390625" defaultRowHeight="12.75"/>
  <cols>
    <col min="2" max="2" width="52.00390625" style="0" customWidth="1"/>
    <col min="3" max="3" width="11.75390625" style="0" customWidth="1"/>
    <col min="4" max="4" width="11.25390625" style="0" customWidth="1"/>
    <col min="5" max="5" width="10.875" style="0" customWidth="1"/>
    <col min="6" max="6" width="11.75390625" style="0" customWidth="1"/>
    <col min="7" max="7" width="10.625" style="0" customWidth="1"/>
    <col min="9" max="9" width="11.75390625" style="0" customWidth="1"/>
    <col min="10" max="10" width="10.75390625" style="0" customWidth="1"/>
  </cols>
  <sheetData>
    <row r="1" spans="1:11" ht="14.25">
      <c r="A1" s="188" t="s">
        <v>170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>
      <c r="A3" s="189" t="s">
        <v>98</v>
      </c>
      <c r="B3" s="191" t="s">
        <v>97</v>
      </c>
      <c r="C3" s="193" t="s">
        <v>113</v>
      </c>
      <c r="D3" s="193"/>
      <c r="E3" s="193"/>
      <c r="F3" s="194" t="s">
        <v>112</v>
      </c>
      <c r="G3" s="194"/>
      <c r="H3" s="194"/>
      <c r="I3" s="195" t="s">
        <v>111</v>
      </c>
      <c r="J3" s="195"/>
      <c r="K3" s="196"/>
    </row>
    <row r="4" spans="1:11" ht="12.75">
      <c r="A4" s="190"/>
      <c r="B4" s="192"/>
      <c r="C4" s="202" t="s">
        <v>78</v>
      </c>
      <c r="D4" s="202" t="s">
        <v>171</v>
      </c>
      <c r="E4" s="202" t="s">
        <v>77</v>
      </c>
      <c r="F4" s="202" t="s">
        <v>78</v>
      </c>
      <c r="G4" s="197" t="s">
        <v>171</v>
      </c>
      <c r="H4" s="197" t="s">
        <v>77</v>
      </c>
      <c r="I4" s="199" t="s">
        <v>78</v>
      </c>
      <c r="J4" s="201" t="s">
        <v>173</v>
      </c>
      <c r="K4" s="203" t="s">
        <v>77</v>
      </c>
    </row>
    <row r="5" spans="1:11" ht="19.5" customHeight="1">
      <c r="A5" s="190"/>
      <c r="B5" s="192"/>
      <c r="C5" s="198"/>
      <c r="D5" s="202"/>
      <c r="E5" s="207"/>
      <c r="F5" s="198"/>
      <c r="G5" s="197"/>
      <c r="H5" s="198"/>
      <c r="I5" s="200"/>
      <c r="J5" s="201"/>
      <c r="K5" s="204"/>
    </row>
    <row r="6" spans="1:11" ht="12.75">
      <c r="A6" s="190"/>
      <c r="B6" s="205" t="s">
        <v>0</v>
      </c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2.75">
      <c r="A7" s="190"/>
      <c r="B7" s="205"/>
      <c r="C7" s="205"/>
      <c r="D7" s="205"/>
      <c r="E7" s="205"/>
      <c r="F7" s="205"/>
      <c r="G7" s="205"/>
      <c r="H7" s="205"/>
      <c r="I7" s="205"/>
      <c r="J7" s="205"/>
      <c r="K7" s="206"/>
    </row>
    <row r="8" spans="1:11" ht="12.75">
      <c r="A8" s="190"/>
      <c r="B8" s="205"/>
      <c r="C8" s="205"/>
      <c r="D8" s="205"/>
      <c r="E8" s="205"/>
      <c r="F8" s="205"/>
      <c r="G8" s="205"/>
      <c r="H8" s="205"/>
      <c r="I8" s="205"/>
      <c r="J8" s="205"/>
      <c r="K8" s="206"/>
    </row>
    <row r="9" spans="1:11" ht="12.75">
      <c r="A9" s="13" t="s">
        <v>1</v>
      </c>
      <c r="B9" s="4" t="s">
        <v>2</v>
      </c>
      <c r="C9" s="24">
        <f>SUM(C10:C17)</f>
        <v>241075.8</v>
      </c>
      <c r="D9" s="24">
        <f>SUM(D10:D17)</f>
        <v>20199.8</v>
      </c>
      <c r="E9" s="24">
        <f>D9/C9*100</f>
        <v>8.379024356654629</v>
      </c>
      <c r="F9" s="24">
        <f>F10+F11+F12+F13+F14+F16+F17+F15</f>
        <v>170540.7</v>
      </c>
      <c r="G9" s="24">
        <f>SUM(G10:G17)</f>
        <v>7172.1</v>
      </c>
      <c r="H9" s="35">
        <f>G9/F9*100</f>
        <v>4.205506368860923</v>
      </c>
      <c r="I9" s="24">
        <f>SUM(I10:I17)</f>
        <v>410942.5</v>
      </c>
      <c r="J9" s="24">
        <f>SUM(J10:J17)</f>
        <v>27371.9</v>
      </c>
      <c r="K9" s="36">
        <f>J9/I9*100</f>
        <v>6.660761542064887</v>
      </c>
    </row>
    <row r="10" spans="1:11" ht="12.75">
      <c r="A10" s="14" t="s">
        <v>3</v>
      </c>
      <c r="B10" s="3" t="s">
        <v>4</v>
      </c>
      <c r="C10" s="22">
        <v>14331</v>
      </c>
      <c r="D10" s="22">
        <v>2746</v>
      </c>
      <c r="E10" s="22">
        <f>D10/C10*100</f>
        <v>19.16125880957365</v>
      </c>
      <c r="F10" s="25">
        <v>33428.3</v>
      </c>
      <c r="G10" s="23">
        <v>1588.9</v>
      </c>
      <c r="H10" s="25">
        <f>G10/F10*100</f>
        <v>4.753158252139654</v>
      </c>
      <c r="I10" s="40">
        <f aca="true" t="shared" si="0" ref="I10:J80">C10+F10</f>
        <v>47759.3</v>
      </c>
      <c r="J10" s="46">
        <f t="shared" si="0"/>
        <v>4334.9</v>
      </c>
      <c r="K10" s="37">
        <f aca="true" t="shared" si="1" ref="K10:K82">J10/I10*100</f>
        <v>9.076556817206281</v>
      </c>
    </row>
    <row r="11" spans="1:11" ht="22.5">
      <c r="A11" s="14" t="s">
        <v>5</v>
      </c>
      <c r="B11" s="3" t="s">
        <v>89</v>
      </c>
      <c r="C11" s="22">
        <v>24414</v>
      </c>
      <c r="D11" s="22">
        <v>2898.3</v>
      </c>
      <c r="E11" s="22">
        <f aca="true" t="shared" si="2" ref="E11:E19">D11/C11*100</f>
        <v>11.871467190956011</v>
      </c>
      <c r="F11" s="25">
        <v>0</v>
      </c>
      <c r="G11" s="23">
        <v>0</v>
      </c>
      <c r="H11" s="25">
        <v>0</v>
      </c>
      <c r="I11" s="40">
        <f t="shared" si="0"/>
        <v>24414</v>
      </c>
      <c r="J11" s="46">
        <f t="shared" si="0"/>
        <v>2898.3</v>
      </c>
      <c r="K11" s="37">
        <f t="shared" si="1"/>
        <v>11.871467190956011</v>
      </c>
    </row>
    <row r="12" spans="1:11" ht="12.75">
      <c r="A12" s="14" t="s">
        <v>6</v>
      </c>
      <c r="B12" s="3" t="s">
        <v>7</v>
      </c>
      <c r="C12" s="22">
        <v>113281.4</v>
      </c>
      <c r="D12" s="22">
        <v>11209.4</v>
      </c>
      <c r="E12" s="22">
        <f t="shared" si="2"/>
        <v>9.89518138017362</v>
      </c>
      <c r="F12" s="25">
        <v>109532.1</v>
      </c>
      <c r="G12" s="23">
        <v>5229.6</v>
      </c>
      <c r="H12" s="25">
        <f aca="true" t="shared" si="3" ref="H12:H19">G12/F12*100</f>
        <v>4.774490765720734</v>
      </c>
      <c r="I12" s="40">
        <f t="shared" si="0"/>
        <v>222813.5</v>
      </c>
      <c r="J12" s="46">
        <f t="shared" si="0"/>
        <v>16439</v>
      </c>
      <c r="K12" s="37">
        <f t="shared" si="1"/>
        <v>7.377919201484649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28851.6</v>
      </c>
      <c r="D14" s="22">
        <v>2873</v>
      </c>
      <c r="E14" s="22">
        <f t="shared" si="2"/>
        <v>9.957853290632062</v>
      </c>
      <c r="F14" s="25">
        <v>594</v>
      </c>
      <c r="G14" s="23">
        <v>0</v>
      </c>
      <c r="H14" s="25">
        <f t="shared" si="3"/>
        <v>0</v>
      </c>
      <c r="I14" s="40">
        <f>C14+F14-594</f>
        <v>28851.6</v>
      </c>
      <c r="J14" s="46">
        <f>D14+G14</f>
        <v>2873</v>
      </c>
      <c r="K14" s="37">
        <f t="shared" si="1"/>
        <v>9.957853290632062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8625</v>
      </c>
      <c r="G15" s="23">
        <v>0</v>
      </c>
      <c r="H15" s="25"/>
      <c r="I15" s="40">
        <f>C15+F15</f>
        <v>8625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1340.5</v>
      </c>
      <c r="G16" s="23">
        <v>0</v>
      </c>
      <c r="H16" s="25">
        <f t="shared" si="3"/>
        <v>0</v>
      </c>
      <c r="I16" s="40">
        <f t="shared" si="0"/>
        <v>5876.5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55661.8</v>
      </c>
      <c r="D17" s="22">
        <v>473.1</v>
      </c>
      <c r="E17" s="22">
        <f t="shared" si="2"/>
        <v>0.8499545469244616</v>
      </c>
      <c r="F17" s="25">
        <v>17020.8</v>
      </c>
      <c r="G17" s="23">
        <v>353.6</v>
      </c>
      <c r="H17" s="25">
        <f t="shared" si="3"/>
        <v>2.0774581688287275</v>
      </c>
      <c r="I17" s="40">
        <f>C17+F17-80</f>
        <v>72602.6</v>
      </c>
      <c r="J17" s="46">
        <f>D17+G17</f>
        <v>826.7</v>
      </c>
      <c r="K17" s="37">
        <f t="shared" si="1"/>
        <v>1.1386644555429144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0</v>
      </c>
      <c r="E18" s="24">
        <f t="shared" si="4"/>
        <v>0</v>
      </c>
      <c r="F18" s="24">
        <f t="shared" si="4"/>
        <v>3567.9</v>
      </c>
      <c r="G18" s="24">
        <f t="shared" si="4"/>
        <v>8</v>
      </c>
      <c r="H18" s="38">
        <f t="shared" si="4"/>
        <v>0.22422153087250205</v>
      </c>
      <c r="I18" s="24">
        <f t="shared" si="4"/>
        <v>3567.9</v>
      </c>
      <c r="J18" s="24">
        <f t="shared" si="4"/>
        <v>8</v>
      </c>
      <c r="K18" s="39">
        <f t="shared" si="1"/>
        <v>0.22422153087250205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0</v>
      </c>
      <c r="E19" s="22">
        <f t="shared" si="2"/>
        <v>0</v>
      </c>
      <c r="F19" s="25">
        <v>3567.9</v>
      </c>
      <c r="G19" s="23">
        <v>8</v>
      </c>
      <c r="H19" s="25">
        <f t="shared" si="3"/>
        <v>0.22422153087250205</v>
      </c>
      <c r="I19" s="40">
        <f>C19+F19-3567.9</f>
        <v>3567.9</v>
      </c>
      <c r="J19" s="46">
        <f>D19+G19</f>
        <v>8</v>
      </c>
      <c r="K19" s="37">
        <f t="shared" si="1"/>
        <v>0.22422153087250205</v>
      </c>
    </row>
    <row r="20" spans="1:11" ht="12.75">
      <c r="A20" s="186" t="s">
        <v>20</v>
      </c>
      <c r="B20" s="187" t="s">
        <v>102</v>
      </c>
      <c r="C20" s="183">
        <f>C23+C24+C22</f>
        <v>25046.9</v>
      </c>
      <c r="D20" s="183">
        <f>D23+D24+D22</f>
        <v>0</v>
      </c>
      <c r="E20" s="183">
        <f>D20/C20*100</f>
        <v>0</v>
      </c>
      <c r="F20" s="183">
        <f>F23+F24+F22</f>
        <v>9535.5</v>
      </c>
      <c r="G20" s="183">
        <f>G23+G24+G22</f>
        <v>0</v>
      </c>
      <c r="H20" s="183">
        <f>G20/F20*100</f>
        <v>0</v>
      </c>
      <c r="I20" s="183">
        <f>I23+I24+I22</f>
        <v>32921.4</v>
      </c>
      <c r="J20" s="183">
        <f>SUM(J22:J24)</f>
        <v>0</v>
      </c>
      <c r="K20" s="183">
        <f>J20/I20*100</f>
        <v>0</v>
      </c>
    </row>
    <row r="21" spans="1:11" ht="12.75">
      <c r="A21" s="186"/>
      <c r="B21" s="187"/>
      <c r="C21" s="183"/>
      <c r="D21" s="183"/>
      <c r="E21" s="183"/>
      <c r="F21" s="183"/>
      <c r="G21" s="183"/>
      <c r="H21" s="183"/>
      <c r="I21" s="183"/>
      <c r="J21" s="183"/>
      <c r="K21" s="183"/>
    </row>
    <row r="22" spans="1:11" ht="12.75">
      <c r="A22" s="15" t="s">
        <v>116</v>
      </c>
      <c r="B22" s="3" t="s">
        <v>103</v>
      </c>
      <c r="C22" s="22">
        <v>5428.2</v>
      </c>
      <c r="D22" s="22">
        <v>0</v>
      </c>
      <c r="E22" s="22">
        <f aca="true" t="shared" si="5" ref="E22:E9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10083</v>
      </c>
      <c r="D23" s="22">
        <v>0</v>
      </c>
      <c r="E23" s="22">
        <f t="shared" si="5"/>
        <v>0</v>
      </c>
      <c r="F23" s="25">
        <v>8774.5</v>
      </c>
      <c r="G23" s="23">
        <v>0</v>
      </c>
      <c r="H23" s="25">
        <f>G23/F23*100</f>
        <v>0</v>
      </c>
      <c r="I23" s="40">
        <f>C23+F23-900</f>
        <v>17957.5</v>
      </c>
      <c r="J23" s="46">
        <f>D23+G23</f>
        <v>0</v>
      </c>
      <c r="K23" s="37">
        <f>J23/I23*100</f>
        <v>0</v>
      </c>
    </row>
    <row r="24" spans="1:11" ht="22.5">
      <c r="A24" s="15" t="s">
        <v>107</v>
      </c>
      <c r="B24" s="3" t="s">
        <v>108</v>
      </c>
      <c r="C24" s="22">
        <v>9535.7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9535.7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SUM(C26:C44)</f>
        <v>176387.6</v>
      </c>
      <c r="D25" s="24">
        <f>SUM(D26:D44)</f>
        <v>2159.1</v>
      </c>
      <c r="E25" s="24">
        <f>D25/C25*100</f>
        <v>1.2240656372670187</v>
      </c>
      <c r="F25" s="24">
        <f>SUM(F26:F44)</f>
        <v>77760.7</v>
      </c>
      <c r="G25" s="24">
        <f>SUM(G26:G44)</f>
        <v>137.6</v>
      </c>
      <c r="H25" s="35">
        <f>G25/F25*100</f>
        <v>0.17695313956793085</v>
      </c>
      <c r="I25" s="24">
        <f>SUM(I26:I44)</f>
        <v>217828.6</v>
      </c>
      <c r="J25" s="24">
        <f>SUM(J26:J44)</f>
        <v>2296.7</v>
      </c>
      <c r="K25" s="36">
        <f t="shared" si="1"/>
        <v>1.0543610894069924</v>
      </c>
    </row>
    <row r="26" spans="1:11" ht="12.75">
      <c r="A26" s="15" t="s">
        <v>24</v>
      </c>
      <c r="B26" s="16" t="s">
        <v>99</v>
      </c>
      <c r="C26" s="22">
        <v>10341.5</v>
      </c>
      <c r="D26" s="22">
        <v>0</v>
      </c>
      <c r="E26" s="22">
        <f t="shared" si="5"/>
        <v>0</v>
      </c>
      <c r="F26" s="56">
        <v>497.9</v>
      </c>
      <c r="G26" s="28">
        <v>-5</v>
      </c>
      <c r="H26" s="25">
        <f>G26/F26*100</f>
        <v>-1.004217714400482</v>
      </c>
      <c r="I26" s="40">
        <f>C26+F26-297.9</f>
        <v>10541.5</v>
      </c>
      <c r="J26" s="40">
        <f>D26+G26</f>
        <v>-5</v>
      </c>
      <c r="K26" s="37">
        <f t="shared" si="1"/>
        <v>-0.047431579945928</v>
      </c>
    </row>
    <row r="27" spans="1:11" ht="12.75">
      <c r="A27" s="14" t="s">
        <v>25</v>
      </c>
      <c r="B27" s="3" t="s">
        <v>26</v>
      </c>
      <c r="C27" s="22">
        <v>38525</v>
      </c>
      <c r="D27" s="22">
        <v>2103.9</v>
      </c>
      <c r="E27" s="22">
        <f t="shared" si="5"/>
        <v>5.461129136924075</v>
      </c>
      <c r="F27" s="25">
        <v>0</v>
      </c>
      <c r="G27" s="23">
        <v>0</v>
      </c>
      <c r="H27" s="25">
        <v>0</v>
      </c>
      <c r="I27" s="40">
        <f t="shared" si="0"/>
        <v>38525</v>
      </c>
      <c r="J27" s="46">
        <f t="shared" si="0"/>
        <v>2103.9</v>
      </c>
      <c r="K27" s="37">
        <f t="shared" si="1"/>
        <v>5.461129136924075</v>
      </c>
    </row>
    <row r="28" spans="1:11" ht="12.75">
      <c r="A28" s="14" t="s">
        <v>27</v>
      </c>
      <c r="B28" s="3" t="s">
        <v>121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119</v>
      </c>
      <c r="C29" s="56">
        <v>13896</v>
      </c>
      <c r="D29" s="22">
        <v>0</v>
      </c>
      <c r="E29" s="22">
        <f t="shared" si="5"/>
        <v>0</v>
      </c>
      <c r="F29" s="28">
        <v>12286</v>
      </c>
      <c r="G29" s="26">
        <v>99</v>
      </c>
      <c r="H29" s="25">
        <f>G29/F29*100</f>
        <v>0.8057952140647892</v>
      </c>
      <c r="I29" s="40">
        <f t="shared" si="0"/>
        <v>26182</v>
      </c>
      <c r="J29" s="46">
        <f t="shared" si="0"/>
        <v>99</v>
      </c>
      <c r="K29" s="37">
        <f t="shared" si="1"/>
        <v>0.3781223741501795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0</v>
      </c>
      <c r="E31" s="22">
        <f t="shared" si="5"/>
        <v>0</v>
      </c>
      <c r="F31" s="26">
        <v>36278.2</v>
      </c>
      <c r="G31" s="26">
        <v>0</v>
      </c>
      <c r="H31" s="25">
        <f>G31/F31*100</f>
        <v>0</v>
      </c>
      <c r="I31" s="40">
        <f>C31+F31-36021.8</f>
        <v>40938.399999999994</v>
      </c>
      <c r="J31" s="46">
        <f>D31+G31</f>
        <v>0</v>
      </c>
      <c r="K31" s="37">
        <f t="shared" si="1"/>
        <v>0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0</v>
      </c>
      <c r="E32" s="22">
        <f t="shared" si="5"/>
        <v>0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0</v>
      </c>
      <c r="K32" s="37">
        <f t="shared" si="1"/>
        <v>0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25927.6</v>
      </c>
      <c r="G33" s="28">
        <v>0</v>
      </c>
      <c r="H33" s="25">
        <f>G33/F33*100</f>
        <v>0</v>
      </c>
      <c r="I33" s="40">
        <f>C33+F33</f>
        <v>25927.6</v>
      </c>
      <c r="J33" s="46">
        <f>D33+G33</f>
        <v>0</v>
      </c>
      <c r="K33" s="37">
        <f>J33/I33*100</f>
        <v>0</v>
      </c>
    </row>
    <row r="34" spans="1:11" ht="33.75">
      <c r="A34" s="15" t="s">
        <v>74</v>
      </c>
      <c r="B34" s="3" t="s">
        <v>160</v>
      </c>
      <c r="C34" s="56">
        <v>0</v>
      </c>
      <c r="D34" s="22">
        <v>0</v>
      </c>
      <c r="E34" s="22"/>
      <c r="F34" s="28"/>
      <c r="G34" s="28"/>
      <c r="H34" s="25"/>
      <c r="I34" s="40"/>
      <c r="J34" s="46"/>
      <c r="K34" s="37"/>
    </row>
    <row r="35" spans="1:11" ht="12.75">
      <c r="A35" s="14" t="s">
        <v>67</v>
      </c>
      <c r="B35" s="3" t="s">
        <v>68</v>
      </c>
      <c r="C35" s="56">
        <v>4031</v>
      </c>
      <c r="D35" s="22">
        <v>43.5</v>
      </c>
      <c r="E35" s="22">
        <f t="shared" si="5"/>
        <v>1.079136690647482</v>
      </c>
      <c r="F35" s="28">
        <v>2271</v>
      </c>
      <c r="G35" s="26">
        <v>43.6</v>
      </c>
      <c r="H35" s="25">
        <f>G35/F35*100</f>
        <v>1.919859092910612</v>
      </c>
      <c r="I35" s="40">
        <f t="shared" si="0"/>
        <v>6302</v>
      </c>
      <c r="J35" s="46">
        <f t="shared" si="0"/>
        <v>87.1</v>
      </c>
      <c r="K35" s="37">
        <f t="shared" si="1"/>
        <v>1.3821009203427481</v>
      </c>
    </row>
    <row r="36" spans="1:11" ht="12.75">
      <c r="A36" s="14" t="s">
        <v>28</v>
      </c>
      <c r="B36" s="3" t="s">
        <v>75</v>
      </c>
      <c r="C36" s="56">
        <v>3500</v>
      </c>
      <c r="D36" s="56">
        <v>0</v>
      </c>
      <c r="E36" s="56">
        <f t="shared" si="5"/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4000</v>
      </c>
      <c r="J36" s="46">
        <f t="shared" si="0"/>
        <v>0</v>
      </c>
      <c r="K36" s="37">
        <f t="shared" si="1"/>
        <v>0</v>
      </c>
    </row>
    <row r="37" spans="1:11" ht="56.25">
      <c r="A37" s="14" t="s">
        <v>28</v>
      </c>
      <c r="B37" s="2" t="s">
        <v>105</v>
      </c>
      <c r="C37" s="56">
        <v>26459.3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26459.3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152</v>
      </c>
      <c r="C38" s="56">
        <v>2738.3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2738.3</v>
      </c>
      <c r="J38" s="46">
        <f t="shared" si="0"/>
        <v>0</v>
      </c>
      <c r="K38" s="37">
        <f t="shared" si="1"/>
        <v>0</v>
      </c>
    </row>
    <row r="39" spans="1:11" ht="22.5">
      <c r="A39" s="14" t="s">
        <v>28</v>
      </c>
      <c r="B39" s="2" t="s">
        <v>142</v>
      </c>
      <c r="C39" s="56">
        <v>4000</v>
      </c>
      <c r="D39" s="28">
        <v>0</v>
      </c>
      <c r="E39" s="56">
        <f t="shared" si="5"/>
        <v>0</v>
      </c>
      <c r="F39" s="28">
        <v>0</v>
      </c>
      <c r="G39" s="28">
        <v>0</v>
      </c>
      <c r="H39" s="25">
        <v>0</v>
      </c>
      <c r="I39" s="40">
        <f t="shared" si="0"/>
        <v>4000</v>
      </c>
      <c r="J39" s="46">
        <f t="shared" si="0"/>
        <v>0</v>
      </c>
      <c r="K39" s="37">
        <f t="shared" si="1"/>
        <v>0</v>
      </c>
    </row>
    <row r="40" spans="1:11" ht="22.5">
      <c r="A40" s="15" t="s">
        <v>28</v>
      </c>
      <c r="B40" s="2" t="s">
        <v>109</v>
      </c>
      <c r="C40" s="56">
        <v>2154.5</v>
      </c>
      <c r="D40" s="28">
        <v>0</v>
      </c>
      <c r="E40" s="56">
        <f t="shared" si="5"/>
        <v>0</v>
      </c>
      <c r="F40" s="28">
        <v>0</v>
      </c>
      <c r="G40" s="28">
        <v>0</v>
      </c>
      <c r="H40" s="25">
        <v>0</v>
      </c>
      <c r="I40" s="40">
        <f t="shared" si="0"/>
        <v>2154.5</v>
      </c>
      <c r="J40" s="46">
        <f t="shared" si="0"/>
        <v>0</v>
      </c>
      <c r="K40" s="37">
        <f t="shared" si="1"/>
        <v>0</v>
      </c>
    </row>
    <row r="41" spans="1:11" ht="22.5">
      <c r="A41" s="15" t="s">
        <v>28</v>
      </c>
      <c r="B41" s="2" t="s">
        <v>118</v>
      </c>
      <c r="C41" s="56">
        <v>1588.6</v>
      </c>
      <c r="D41" s="28">
        <v>11.7</v>
      </c>
      <c r="E41" s="56">
        <f>D41/C41*100</f>
        <v>0.7364975450081833</v>
      </c>
      <c r="F41" s="28">
        <v>0</v>
      </c>
      <c r="G41" s="28">
        <v>0</v>
      </c>
      <c r="H41" s="25">
        <v>0</v>
      </c>
      <c r="I41" s="40">
        <f t="shared" si="0"/>
        <v>1588.6</v>
      </c>
      <c r="J41" s="46">
        <f t="shared" si="0"/>
        <v>11.7</v>
      </c>
      <c r="K41" s="37">
        <f>J41/I41*100</f>
        <v>0.7364975450081833</v>
      </c>
    </row>
    <row r="42" spans="1:11" ht="33.75">
      <c r="A42" s="15" t="s">
        <v>28</v>
      </c>
      <c r="B42" s="2" t="s">
        <v>140</v>
      </c>
      <c r="C42" s="56">
        <v>1856.7</v>
      </c>
      <c r="D42" s="28">
        <v>0</v>
      </c>
      <c r="E42" s="56">
        <f>D42/C42*100</f>
        <v>0</v>
      </c>
      <c r="F42" s="28">
        <v>0</v>
      </c>
      <c r="G42" s="28">
        <v>0</v>
      </c>
      <c r="H42" s="25"/>
      <c r="I42" s="40">
        <f t="shared" si="0"/>
        <v>1856.7</v>
      </c>
      <c r="J42" s="46">
        <f t="shared" si="0"/>
        <v>0</v>
      </c>
      <c r="K42" s="37">
        <f>J42/I42*100</f>
        <v>0</v>
      </c>
    </row>
    <row r="43" spans="1:11" ht="22.5">
      <c r="A43" s="15" t="s">
        <v>28</v>
      </c>
      <c r="B43" s="2" t="s">
        <v>164</v>
      </c>
      <c r="C43" s="56">
        <v>7700</v>
      </c>
      <c r="D43" s="28">
        <v>0</v>
      </c>
      <c r="E43" s="56">
        <f>D43/C43*100</f>
        <v>0</v>
      </c>
      <c r="F43" s="28">
        <v>0</v>
      </c>
      <c r="G43" s="28">
        <v>0</v>
      </c>
      <c r="H43" s="25"/>
      <c r="I43" s="40">
        <f t="shared" si="0"/>
        <v>7700</v>
      </c>
      <c r="J43" s="46">
        <f t="shared" si="0"/>
        <v>0</v>
      </c>
      <c r="K43" s="37">
        <f>J43/I43*100</f>
        <v>0</v>
      </c>
    </row>
    <row r="44" spans="1:11" ht="33.75">
      <c r="A44" s="15" t="s">
        <v>28</v>
      </c>
      <c r="B44" s="2" t="s">
        <v>162</v>
      </c>
      <c r="C44" s="56">
        <v>2241.5</v>
      </c>
      <c r="D44" s="28">
        <v>0</v>
      </c>
      <c r="E44" s="56">
        <f>D44/C44*100</f>
        <v>0</v>
      </c>
      <c r="F44" s="28">
        <v>0</v>
      </c>
      <c r="G44" s="28">
        <v>0</v>
      </c>
      <c r="H44" s="25"/>
      <c r="I44" s="40">
        <f>C44+F44</f>
        <v>2241.5</v>
      </c>
      <c r="J44" s="46">
        <f>D44+G44</f>
        <v>0</v>
      </c>
      <c r="K44" s="37">
        <f>J44/I44*100</f>
        <v>0</v>
      </c>
    </row>
    <row r="45" spans="1:11" ht="12.75">
      <c r="A45" s="13" t="s">
        <v>29</v>
      </c>
      <c r="B45" s="4" t="s">
        <v>30</v>
      </c>
      <c r="C45" s="24">
        <f>SUM(C46:C70)</f>
        <v>393628.4</v>
      </c>
      <c r="D45" s="24">
        <f>SUM(D46:D70)</f>
        <v>230</v>
      </c>
      <c r="E45" s="24">
        <f>D45/C45*100</f>
        <v>0.05843074331018798</v>
      </c>
      <c r="F45" s="27">
        <f>SUM(F46:F69)</f>
        <v>104029.1</v>
      </c>
      <c r="G45" s="27">
        <f>SUM(G46:G69)</f>
        <v>1670.6</v>
      </c>
      <c r="H45" s="27">
        <f>G45/F45*100</f>
        <v>1.6058968115652252</v>
      </c>
      <c r="I45" s="24">
        <f>SUM(I46:I70)</f>
        <v>460938.4</v>
      </c>
      <c r="J45" s="24">
        <f>SUM(J46:J70)</f>
        <v>1670.6</v>
      </c>
      <c r="K45" s="36">
        <f t="shared" si="1"/>
        <v>0.3624345465684785</v>
      </c>
    </row>
    <row r="46" spans="1:11" ht="12.75">
      <c r="A46" s="14" t="s">
        <v>31</v>
      </c>
      <c r="B46" s="3" t="s">
        <v>71</v>
      </c>
      <c r="C46" s="56">
        <v>0</v>
      </c>
      <c r="D46" s="56"/>
      <c r="E46" s="56"/>
      <c r="F46" s="28">
        <v>23642.8</v>
      </c>
      <c r="G46" s="28">
        <v>0</v>
      </c>
      <c r="H46" s="25">
        <f>G46/F46*100</f>
        <v>0</v>
      </c>
      <c r="I46" s="40">
        <f t="shared" si="0"/>
        <v>23642.8</v>
      </c>
      <c r="J46" s="46">
        <f t="shared" si="0"/>
        <v>0</v>
      </c>
      <c r="K46" s="37">
        <f t="shared" si="1"/>
        <v>0</v>
      </c>
    </row>
    <row r="47" spans="1:11" ht="45">
      <c r="A47" s="14" t="s">
        <v>31</v>
      </c>
      <c r="B47" s="3" t="s">
        <v>129</v>
      </c>
      <c r="C47" s="56">
        <v>122309.6</v>
      </c>
      <c r="D47" s="56">
        <v>0</v>
      </c>
      <c r="E47" s="22">
        <f t="shared" si="5"/>
        <v>0</v>
      </c>
      <c r="F47" s="25">
        <v>0</v>
      </c>
      <c r="G47" s="23">
        <v>0</v>
      </c>
      <c r="H47" s="25">
        <v>0</v>
      </c>
      <c r="I47" s="40">
        <f>C47+F47</f>
        <v>122309.6</v>
      </c>
      <c r="J47" s="46">
        <f>D47+G47</f>
        <v>0</v>
      </c>
      <c r="K47" s="37">
        <f t="shared" si="1"/>
        <v>0</v>
      </c>
    </row>
    <row r="48" spans="1:11" ht="33.75">
      <c r="A48" s="14" t="s">
        <v>31</v>
      </c>
      <c r="B48" s="3" t="s">
        <v>143</v>
      </c>
      <c r="C48" s="56">
        <f>4200+7450.2</f>
        <v>11650.2</v>
      </c>
      <c r="D48" s="56">
        <v>0</v>
      </c>
      <c r="E48" s="22">
        <f t="shared" si="5"/>
        <v>0</v>
      </c>
      <c r="F48" s="25">
        <v>0</v>
      </c>
      <c r="G48" s="23">
        <v>0</v>
      </c>
      <c r="H48" s="25">
        <v>0</v>
      </c>
      <c r="I48" s="40">
        <f t="shared" si="0"/>
        <v>11650.2</v>
      </c>
      <c r="J48" s="46">
        <f t="shared" si="0"/>
        <v>0</v>
      </c>
      <c r="K48" s="37">
        <f t="shared" si="1"/>
        <v>0</v>
      </c>
    </row>
    <row r="49" spans="1:11" ht="22.5">
      <c r="A49" s="15" t="s">
        <v>31</v>
      </c>
      <c r="B49" s="3" t="s">
        <v>161</v>
      </c>
      <c r="C49" s="56">
        <v>23965.3</v>
      </c>
      <c r="D49" s="56">
        <v>0</v>
      </c>
      <c r="E49" s="22">
        <f t="shared" si="5"/>
        <v>0</v>
      </c>
      <c r="F49" s="25">
        <v>26494.5</v>
      </c>
      <c r="G49" s="23"/>
      <c r="H49" s="25">
        <f aca="true" t="shared" si="6" ref="H49:H54">G49/F49*100</f>
        <v>0</v>
      </c>
      <c r="I49" s="40">
        <f>C49+F49-23965.3</f>
        <v>26494.500000000004</v>
      </c>
      <c r="J49" s="46">
        <f>D49+G49</f>
        <v>0</v>
      </c>
      <c r="K49" s="37">
        <f t="shared" si="1"/>
        <v>0</v>
      </c>
    </row>
    <row r="50" spans="1:11" ht="33.75">
      <c r="A50" s="15" t="s">
        <v>31</v>
      </c>
      <c r="B50" s="3" t="s">
        <v>141</v>
      </c>
      <c r="C50" s="56">
        <v>200</v>
      </c>
      <c r="D50" s="56"/>
      <c r="E50" s="22">
        <v>0</v>
      </c>
      <c r="F50" s="25">
        <v>200</v>
      </c>
      <c r="G50" s="23"/>
      <c r="H50" s="25">
        <f t="shared" si="6"/>
        <v>0</v>
      </c>
      <c r="I50" s="40">
        <f>C50+F50-200</f>
        <v>200</v>
      </c>
      <c r="J50" s="46">
        <f t="shared" si="0"/>
        <v>0</v>
      </c>
      <c r="K50" s="37">
        <f t="shared" si="1"/>
        <v>0</v>
      </c>
    </row>
    <row r="51" spans="1:11" ht="45">
      <c r="A51" s="15" t="s">
        <v>31</v>
      </c>
      <c r="B51" s="2" t="s">
        <v>136</v>
      </c>
      <c r="C51" s="56">
        <v>107.7</v>
      </c>
      <c r="D51" s="56"/>
      <c r="E51" s="22">
        <v>0</v>
      </c>
      <c r="F51" s="25"/>
      <c r="G51" s="23"/>
      <c r="H51" s="25"/>
      <c r="I51" s="40">
        <f>C51+F51</f>
        <v>107.7</v>
      </c>
      <c r="J51" s="46"/>
      <c r="K51" s="37">
        <f t="shared" si="1"/>
        <v>0</v>
      </c>
    </row>
    <row r="52" spans="1:11" ht="33.75">
      <c r="A52" s="14" t="s">
        <v>32</v>
      </c>
      <c r="B52" s="3" t="s">
        <v>70</v>
      </c>
      <c r="C52" s="56">
        <v>5786.2</v>
      </c>
      <c r="D52" s="56">
        <v>0</v>
      </c>
      <c r="E52" s="22">
        <f t="shared" si="5"/>
        <v>0</v>
      </c>
      <c r="F52" s="25">
        <v>3000</v>
      </c>
      <c r="G52" s="23">
        <v>1000</v>
      </c>
      <c r="H52" s="25">
        <f t="shared" si="6"/>
        <v>33.33333333333333</v>
      </c>
      <c r="I52" s="40">
        <f t="shared" si="0"/>
        <v>8786.2</v>
      </c>
      <c r="J52" s="46">
        <f t="shared" si="0"/>
        <v>1000</v>
      </c>
      <c r="K52" s="37">
        <f t="shared" si="1"/>
        <v>11.381484600851334</v>
      </c>
    </row>
    <row r="53" spans="1:11" ht="33.75">
      <c r="A53" s="14" t="s">
        <v>32</v>
      </c>
      <c r="B53" s="3" t="s">
        <v>106</v>
      </c>
      <c r="C53" s="56">
        <v>10419.8</v>
      </c>
      <c r="D53" s="57">
        <v>0</v>
      </c>
      <c r="E53" s="22">
        <f t="shared" si="5"/>
        <v>0</v>
      </c>
      <c r="F53" s="26">
        <v>0</v>
      </c>
      <c r="G53" s="26"/>
      <c r="H53" s="25"/>
      <c r="I53" s="40">
        <f t="shared" si="0"/>
        <v>10419.8</v>
      </c>
      <c r="J53" s="46">
        <f t="shared" si="0"/>
        <v>0</v>
      </c>
      <c r="K53" s="37">
        <f t="shared" si="1"/>
        <v>0</v>
      </c>
    </row>
    <row r="54" spans="1:11" ht="12.75">
      <c r="A54" s="14" t="s">
        <v>32</v>
      </c>
      <c r="B54" s="3" t="s">
        <v>69</v>
      </c>
      <c r="C54" s="56">
        <v>962</v>
      </c>
      <c r="D54" s="57">
        <v>230</v>
      </c>
      <c r="E54" s="22">
        <f>D54/C54*100</f>
        <v>23.90852390852391</v>
      </c>
      <c r="F54" s="25">
        <v>11420</v>
      </c>
      <c r="G54" s="26">
        <v>99</v>
      </c>
      <c r="H54" s="25">
        <f t="shared" si="6"/>
        <v>0.8669001751313484</v>
      </c>
      <c r="I54" s="40">
        <f>C54+F54-230</f>
        <v>12152</v>
      </c>
      <c r="J54" s="46">
        <f>D54+G54-230</f>
        <v>99</v>
      </c>
      <c r="K54" s="37">
        <f>J54/I54*100</f>
        <v>0.814680710994075</v>
      </c>
    </row>
    <row r="55" spans="1:11" ht="33.75">
      <c r="A55" s="14" t="s">
        <v>32</v>
      </c>
      <c r="B55" s="3" t="s">
        <v>130</v>
      </c>
      <c r="C55" s="56">
        <v>22438.5</v>
      </c>
      <c r="D55" s="57">
        <v>0</v>
      </c>
      <c r="E55" s="22">
        <f>D55/C55*100</f>
        <v>0</v>
      </c>
      <c r="F55" s="25">
        <v>0</v>
      </c>
      <c r="G55" s="26"/>
      <c r="H55" s="25">
        <v>0</v>
      </c>
      <c r="I55" s="40">
        <f>C55+F55</f>
        <v>22438.5</v>
      </c>
      <c r="J55" s="46">
        <f>D55+G55</f>
        <v>0</v>
      </c>
      <c r="K55" s="37">
        <f>J55/I55*100</f>
        <v>0</v>
      </c>
    </row>
    <row r="56" spans="1:11" ht="33.75">
      <c r="A56" s="15" t="s">
        <v>32</v>
      </c>
      <c r="B56" s="3" t="s">
        <v>144</v>
      </c>
      <c r="C56" s="56">
        <v>137.3</v>
      </c>
      <c r="D56" s="57">
        <v>0</v>
      </c>
      <c r="E56" s="22">
        <f t="shared" si="5"/>
        <v>0</v>
      </c>
      <c r="F56" s="25">
        <v>0</v>
      </c>
      <c r="G56" s="26"/>
      <c r="H56" s="25">
        <v>0</v>
      </c>
      <c r="I56" s="50">
        <f>C56+F56</f>
        <v>137.3</v>
      </c>
      <c r="J56" s="40">
        <f>D56+G56</f>
        <v>0</v>
      </c>
      <c r="K56" s="46">
        <f>J56/I56*100</f>
        <v>0</v>
      </c>
    </row>
    <row r="57" spans="1:11" ht="33.75">
      <c r="A57" s="14" t="s">
        <v>32</v>
      </c>
      <c r="B57" s="2" t="s">
        <v>127</v>
      </c>
      <c r="C57" s="56">
        <f>39616.6-C60</f>
        <v>33187.6</v>
      </c>
      <c r="D57" s="57">
        <v>0</v>
      </c>
      <c r="E57" s="22">
        <f t="shared" si="5"/>
        <v>0</v>
      </c>
      <c r="F57" s="25"/>
      <c r="G57" s="26"/>
      <c r="H57" s="25">
        <v>0</v>
      </c>
      <c r="I57" s="40">
        <f t="shared" si="0"/>
        <v>33187.6</v>
      </c>
      <c r="J57" s="46">
        <f t="shared" si="0"/>
        <v>0</v>
      </c>
      <c r="K57" s="37">
        <f t="shared" si="1"/>
        <v>0</v>
      </c>
    </row>
    <row r="58" spans="1:11" ht="33.75">
      <c r="A58" s="14" t="s">
        <v>32</v>
      </c>
      <c r="B58" s="2" t="s">
        <v>128</v>
      </c>
      <c r="C58" s="56">
        <v>125135</v>
      </c>
      <c r="D58" s="56"/>
      <c r="E58" s="22">
        <f t="shared" si="5"/>
        <v>0</v>
      </c>
      <c r="F58" s="25">
        <v>0</v>
      </c>
      <c r="G58" s="26"/>
      <c r="H58" s="25">
        <v>0</v>
      </c>
      <c r="I58" s="40">
        <f t="shared" si="0"/>
        <v>125135</v>
      </c>
      <c r="J58" s="46">
        <f t="shared" si="0"/>
        <v>0</v>
      </c>
      <c r="K58" s="37">
        <f t="shared" si="1"/>
        <v>0</v>
      </c>
    </row>
    <row r="59" spans="1:11" ht="45">
      <c r="A59" s="15" t="s">
        <v>32</v>
      </c>
      <c r="B59" s="2" t="s">
        <v>135</v>
      </c>
      <c r="C59" s="56">
        <v>13819.4</v>
      </c>
      <c r="D59" s="57"/>
      <c r="E59" s="22">
        <f t="shared" si="5"/>
        <v>0</v>
      </c>
      <c r="F59" s="25">
        <v>5734.1</v>
      </c>
      <c r="G59" s="26"/>
      <c r="H59" s="25">
        <f>G59/F59*100</f>
        <v>0</v>
      </c>
      <c r="I59" s="40">
        <f>C59+F59-5734.1</f>
        <v>13819.4</v>
      </c>
      <c r="J59" s="46">
        <f>D59+G59</f>
        <v>0</v>
      </c>
      <c r="K59" s="37">
        <f t="shared" si="1"/>
        <v>0</v>
      </c>
    </row>
    <row r="60" spans="1:11" ht="56.25">
      <c r="A60" s="15" t="s">
        <v>32</v>
      </c>
      <c r="B60" s="2" t="s">
        <v>165</v>
      </c>
      <c r="C60" s="56">
        <v>6429</v>
      </c>
      <c r="D60" s="57">
        <v>0</v>
      </c>
      <c r="E60" s="22">
        <f t="shared" si="5"/>
        <v>0</v>
      </c>
      <c r="F60" s="25">
        <f>12163.1-F59</f>
        <v>6429</v>
      </c>
      <c r="G60" s="26"/>
      <c r="H60" s="25">
        <f>G60/F60*100</f>
        <v>0</v>
      </c>
      <c r="I60" s="40">
        <f>C60+F60-6429</f>
        <v>6429</v>
      </c>
      <c r="J60" s="46">
        <f>D60+G60</f>
        <v>0</v>
      </c>
      <c r="K60" s="37">
        <f t="shared" si="1"/>
        <v>0</v>
      </c>
    </row>
    <row r="61" spans="1:11" ht="45">
      <c r="A61" s="15" t="s">
        <v>32</v>
      </c>
      <c r="B61" s="2" t="s">
        <v>136</v>
      </c>
      <c r="C61" s="56">
        <v>248.1</v>
      </c>
      <c r="D61" s="57"/>
      <c r="E61" s="22">
        <f t="shared" si="5"/>
        <v>0</v>
      </c>
      <c r="F61" s="25"/>
      <c r="G61" s="26"/>
      <c r="H61" s="25"/>
      <c r="I61" s="40">
        <f>C61+F61</f>
        <v>248.1</v>
      </c>
      <c r="J61" s="46">
        <f>D61+G61</f>
        <v>0</v>
      </c>
      <c r="K61" s="37">
        <f t="shared" si="1"/>
        <v>0</v>
      </c>
    </row>
    <row r="62" spans="1:11" ht="22.5">
      <c r="A62" s="14" t="s">
        <v>32</v>
      </c>
      <c r="B62" s="3" t="s">
        <v>145</v>
      </c>
      <c r="C62" s="56">
        <v>2733</v>
      </c>
      <c r="D62" s="56">
        <v>0</v>
      </c>
      <c r="E62" s="22">
        <f t="shared" si="5"/>
        <v>0</v>
      </c>
      <c r="F62" s="25">
        <v>0</v>
      </c>
      <c r="G62" s="26"/>
      <c r="H62" s="25">
        <v>0</v>
      </c>
      <c r="I62" s="40">
        <f t="shared" si="0"/>
        <v>2733</v>
      </c>
      <c r="J62" s="46">
        <f t="shared" si="0"/>
        <v>0</v>
      </c>
      <c r="K62" s="37">
        <f t="shared" si="1"/>
        <v>0</v>
      </c>
    </row>
    <row r="63" spans="1:11" ht="22.5">
      <c r="A63" s="14" t="s">
        <v>32</v>
      </c>
      <c r="B63" s="3" t="s">
        <v>146</v>
      </c>
      <c r="C63" s="56">
        <v>3550</v>
      </c>
      <c r="D63" s="56"/>
      <c r="E63" s="22">
        <f t="shared" si="5"/>
        <v>0</v>
      </c>
      <c r="F63" s="25">
        <v>0</v>
      </c>
      <c r="G63" s="26"/>
      <c r="H63" s="25">
        <v>0</v>
      </c>
      <c r="I63" s="40">
        <f t="shared" si="0"/>
        <v>3550</v>
      </c>
      <c r="J63" s="46">
        <f t="shared" si="0"/>
        <v>0</v>
      </c>
      <c r="K63" s="37">
        <f t="shared" si="1"/>
        <v>0</v>
      </c>
    </row>
    <row r="64" spans="1:11" ht="22.5">
      <c r="A64" s="14" t="s">
        <v>32</v>
      </c>
      <c r="B64" s="3" t="s">
        <v>147</v>
      </c>
      <c r="C64" s="56">
        <v>613</v>
      </c>
      <c r="D64" s="56">
        <v>0</v>
      </c>
      <c r="E64" s="22">
        <f t="shared" si="5"/>
        <v>0</v>
      </c>
      <c r="F64" s="25">
        <v>0</v>
      </c>
      <c r="G64" s="26"/>
      <c r="H64" s="25">
        <v>0</v>
      </c>
      <c r="I64" s="40">
        <f t="shared" si="0"/>
        <v>613</v>
      </c>
      <c r="J64" s="46">
        <f t="shared" si="0"/>
        <v>0</v>
      </c>
      <c r="K64" s="37">
        <f t="shared" si="1"/>
        <v>0</v>
      </c>
    </row>
    <row r="65" spans="1:11" ht="22.5">
      <c r="A65" s="14" t="s">
        <v>32</v>
      </c>
      <c r="B65" s="3" t="s">
        <v>148</v>
      </c>
      <c r="C65" s="56">
        <v>2141</v>
      </c>
      <c r="D65" s="56">
        <v>0</v>
      </c>
      <c r="E65" s="22">
        <f t="shared" si="5"/>
        <v>0</v>
      </c>
      <c r="F65" s="25">
        <v>0</v>
      </c>
      <c r="G65" s="26"/>
      <c r="H65" s="25">
        <v>0</v>
      </c>
      <c r="I65" s="40">
        <f>C65+F65</f>
        <v>2141</v>
      </c>
      <c r="J65" s="46">
        <f>D65+G65</f>
        <v>0</v>
      </c>
      <c r="K65" s="37">
        <f t="shared" si="1"/>
        <v>0</v>
      </c>
    </row>
    <row r="66" spans="1:11" ht="33.75">
      <c r="A66" s="15" t="s">
        <v>32</v>
      </c>
      <c r="B66" s="3" t="s">
        <v>149</v>
      </c>
      <c r="C66" s="56">
        <v>985</v>
      </c>
      <c r="D66" s="56">
        <v>0</v>
      </c>
      <c r="E66" s="22">
        <f t="shared" si="5"/>
        <v>0</v>
      </c>
      <c r="F66" s="25">
        <v>0</v>
      </c>
      <c r="G66" s="26"/>
      <c r="H66" s="25">
        <v>0</v>
      </c>
      <c r="I66" s="40">
        <f t="shared" si="0"/>
        <v>985</v>
      </c>
      <c r="J66" s="46">
        <f t="shared" si="0"/>
        <v>0</v>
      </c>
      <c r="K66" s="37">
        <f t="shared" si="1"/>
        <v>0</v>
      </c>
    </row>
    <row r="67" spans="1:11" ht="33.75">
      <c r="A67" s="14" t="s">
        <v>33</v>
      </c>
      <c r="B67" s="3" t="s">
        <v>166</v>
      </c>
      <c r="C67" s="56">
        <v>2650</v>
      </c>
      <c r="D67" s="56">
        <v>0</v>
      </c>
      <c r="E67" s="22">
        <f t="shared" si="5"/>
        <v>0</v>
      </c>
      <c r="F67" s="28">
        <v>0</v>
      </c>
      <c r="G67" s="28"/>
      <c r="H67" s="25">
        <v>0</v>
      </c>
      <c r="I67" s="40">
        <f t="shared" si="0"/>
        <v>2650</v>
      </c>
      <c r="J67" s="46">
        <f t="shared" si="0"/>
        <v>0</v>
      </c>
      <c r="K67" s="37">
        <f t="shared" si="1"/>
        <v>0</v>
      </c>
    </row>
    <row r="68" spans="1:11" ht="22.5">
      <c r="A68" s="15" t="s">
        <v>33</v>
      </c>
      <c r="B68" s="3" t="s">
        <v>159</v>
      </c>
      <c r="C68" s="56">
        <v>160.7</v>
      </c>
      <c r="D68" s="56">
        <v>0</v>
      </c>
      <c r="E68" s="22">
        <f t="shared" si="5"/>
        <v>0</v>
      </c>
      <c r="F68" s="28">
        <v>196.5</v>
      </c>
      <c r="G68" s="28"/>
      <c r="H68" s="25">
        <f>G68/F68*100</f>
        <v>0</v>
      </c>
      <c r="I68" s="40">
        <f>C68+F68-160.7</f>
        <v>196.5</v>
      </c>
      <c r="J68" s="46">
        <f>D68+G68</f>
        <v>0</v>
      </c>
      <c r="K68" s="37">
        <f t="shared" si="1"/>
        <v>0</v>
      </c>
    </row>
    <row r="69" spans="1:11" ht="22.5">
      <c r="A69" s="14" t="s">
        <v>33</v>
      </c>
      <c r="B69" s="3" t="s">
        <v>100</v>
      </c>
      <c r="C69" s="56">
        <v>4000</v>
      </c>
      <c r="D69" s="56">
        <v>0</v>
      </c>
      <c r="E69" s="22">
        <f t="shared" si="5"/>
        <v>0</v>
      </c>
      <c r="F69" s="28">
        <f>27108.7-F68</f>
        <v>26912.2</v>
      </c>
      <c r="G69" s="28">
        <v>571.6</v>
      </c>
      <c r="H69" s="25">
        <f>G69/F69*100</f>
        <v>2.1239437875758953</v>
      </c>
      <c r="I69" s="40">
        <f>C69+F69</f>
        <v>30912.2</v>
      </c>
      <c r="J69" s="46">
        <f>D69+G69</f>
        <v>571.6</v>
      </c>
      <c r="K69" s="37">
        <f t="shared" si="1"/>
        <v>1.849108119124488</v>
      </c>
    </row>
    <row r="70" spans="1:11" ht="12.75">
      <c r="A70" s="15" t="s">
        <v>138</v>
      </c>
      <c r="B70" s="3" t="s">
        <v>139</v>
      </c>
      <c r="C70" s="56">
        <v>0</v>
      </c>
      <c r="D70" s="22">
        <v>0</v>
      </c>
      <c r="E70" s="22"/>
      <c r="F70" s="28"/>
      <c r="G70" s="28"/>
      <c r="H70" s="25"/>
      <c r="I70" s="40">
        <f t="shared" si="0"/>
        <v>0</v>
      </c>
      <c r="J70" s="46">
        <f t="shared" si="0"/>
        <v>0</v>
      </c>
      <c r="K70" s="37"/>
    </row>
    <row r="71" spans="1:11" ht="12.75">
      <c r="A71" s="17" t="s">
        <v>34</v>
      </c>
      <c r="B71" s="18" t="s">
        <v>35</v>
      </c>
      <c r="C71" s="27">
        <f aca="true" t="shared" si="7" ref="C71:H71">C72</f>
        <v>350</v>
      </c>
      <c r="D71" s="27">
        <f t="shared" si="7"/>
        <v>0</v>
      </c>
      <c r="E71" s="24">
        <f>D71/C71*100</f>
        <v>0</v>
      </c>
      <c r="F71" s="27">
        <f t="shared" si="7"/>
        <v>0</v>
      </c>
      <c r="G71" s="27">
        <f t="shared" si="7"/>
        <v>0</v>
      </c>
      <c r="H71" s="35">
        <f t="shared" si="7"/>
        <v>0</v>
      </c>
      <c r="I71" s="27">
        <f t="shared" si="0"/>
        <v>350</v>
      </c>
      <c r="J71" s="27">
        <f t="shared" si="0"/>
        <v>0</v>
      </c>
      <c r="K71" s="36">
        <f t="shared" si="1"/>
        <v>0</v>
      </c>
    </row>
    <row r="72" spans="1:11" ht="12.75">
      <c r="A72" s="15" t="s">
        <v>36</v>
      </c>
      <c r="B72" s="19" t="s">
        <v>37</v>
      </c>
      <c r="C72" s="28">
        <v>350</v>
      </c>
      <c r="D72" s="25">
        <v>0</v>
      </c>
      <c r="E72" s="22">
        <f t="shared" si="5"/>
        <v>0</v>
      </c>
      <c r="F72" s="25">
        <v>0</v>
      </c>
      <c r="G72" s="23">
        <v>0</v>
      </c>
      <c r="H72" s="25">
        <v>0</v>
      </c>
      <c r="I72" s="40">
        <f t="shared" si="0"/>
        <v>350</v>
      </c>
      <c r="J72" s="46">
        <f t="shared" si="0"/>
        <v>0</v>
      </c>
      <c r="K72" s="37">
        <f t="shared" si="1"/>
        <v>0</v>
      </c>
    </row>
    <row r="73" spans="1:11" ht="12.75">
      <c r="A73" s="13" t="s">
        <v>38</v>
      </c>
      <c r="B73" s="4" t="s">
        <v>39</v>
      </c>
      <c r="C73" s="24">
        <f>SUM(C74:C80)</f>
        <v>2180418</v>
      </c>
      <c r="D73" s="24">
        <f>SUM(D74:D80)</f>
        <v>131616.2</v>
      </c>
      <c r="E73" s="24">
        <f>D73/C73*100</f>
        <v>6.036282951250632</v>
      </c>
      <c r="F73" s="27">
        <f>F74+F75+F76+F79+F80</f>
        <v>5067</v>
      </c>
      <c r="G73" s="27">
        <f>SUM(G74:G80)</f>
        <v>26.8</v>
      </c>
      <c r="H73" s="35">
        <f>G73/F73*100</f>
        <v>0.528912571541346</v>
      </c>
      <c r="I73" s="24">
        <f>SUM(I74:I80)</f>
        <v>2185485</v>
      </c>
      <c r="J73" s="24">
        <f>SUM(J74:J80)</f>
        <v>131643</v>
      </c>
      <c r="K73" s="36">
        <f t="shared" si="1"/>
        <v>6.023514231394862</v>
      </c>
    </row>
    <row r="74" spans="1:11" ht="12.75">
      <c r="A74" s="14" t="s">
        <v>40</v>
      </c>
      <c r="B74" s="3" t="s">
        <v>41</v>
      </c>
      <c r="C74" s="22">
        <v>353355.3</v>
      </c>
      <c r="D74" s="22">
        <v>81194.3</v>
      </c>
      <c r="E74" s="22">
        <f t="shared" si="5"/>
        <v>22.97809032438455</v>
      </c>
      <c r="F74" s="25">
        <v>0</v>
      </c>
      <c r="G74" s="23">
        <v>0</v>
      </c>
      <c r="H74" s="25">
        <v>0</v>
      </c>
      <c r="I74" s="40">
        <f t="shared" si="0"/>
        <v>353355.3</v>
      </c>
      <c r="J74" s="46">
        <f t="shared" si="0"/>
        <v>81194.3</v>
      </c>
      <c r="K74" s="37">
        <f t="shared" si="1"/>
        <v>22.97809032438455</v>
      </c>
    </row>
    <row r="75" spans="1:11" ht="12.75">
      <c r="A75" s="14" t="s">
        <v>42</v>
      </c>
      <c r="B75" s="3" t="s">
        <v>43</v>
      </c>
      <c r="C75" s="22">
        <f>1777622.9-C76-C77-C78</f>
        <v>1073980.6</v>
      </c>
      <c r="D75" s="22">
        <f>48013.9-D76-D77-D78</f>
        <v>47235.8</v>
      </c>
      <c r="E75" s="22">
        <f t="shared" si="5"/>
        <v>4.398198626679103</v>
      </c>
      <c r="F75" s="25">
        <v>0</v>
      </c>
      <c r="G75" s="23">
        <v>0</v>
      </c>
      <c r="H75" s="25">
        <v>0</v>
      </c>
      <c r="I75" s="40">
        <f t="shared" si="0"/>
        <v>1073980.6</v>
      </c>
      <c r="J75" s="46">
        <f t="shared" si="0"/>
        <v>47235.8</v>
      </c>
      <c r="K75" s="37">
        <f t="shared" si="1"/>
        <v>4.398198626679103</v>
      </c>
    </row>
    <row r="76" spans="1:11" ht="12.75">
      <c r="A76" s="14" t="s">
        <v>42</v>
      </c>
      <c r="B76" s="3" t="s">
        <v>76</v>
      </c>
      <c r="C76" s="22">
        <v>41126.4</v>
      </c>
      <c r="D76" s="22">
        <v>778.1</v>
      </c>
      <c r="E76" s="22">
        <f t="shared" si="5"/>
        <v>1.8919720666044197</v>
      </c>
      <c r="F76" s="25">
        <v>0</v>
      </c>
      <c r="G76" s="23">
        <v>0</v>
      </c>
      <c r="H76" s="25">
        <v>0</v>
      </c>
      <c r="I76" s="40">
        <f t="shared" si="0"/>
        <v>41126.4</v>
      </c>
      <c r="J76" s="46">
        <f t="shared" si="0"/>
        <v>778.1</v>
      </c>
      <c r="K76" s="37">
        <f t="shared" si="1"/>
        <v>1.8919720666044197</v>
      </c>
    </row>
    <row r="77" spans="1:11" ht="22.5">
      <c r="A77" s="14" t="s">
        <v>42</v>
      </c>
      <c r="B77" s="3" t="s">
        <v>167</v>
      </c>
      <c r="C77" s="22">
        <v>120954.5</v>
      </c>
      <c r="D77" s="22">
        <v>0</v>
      </c>
      <c r="E77" s="22">
        <f t="shared" si="5"/>
        <v>0</v>
      </c>
      <c r="F77" s="25">
        <v>0</v>
      </c>
      <c r="G77" s="23">
        <v>0</v>
      </c>
      <c r="H77" s="25">
        <v>0</v>
      </c>
      <c r="I77" s="40">
        <f t="shared" si="0"/>
        <v>120954.5</v>
      </c>
      <c r="J77" s="46">
        <f t="shared" si="0"/>
        <v>0</v>
      </c>
      <c r="K77" s="37">
        <f t="shared" si="1"/>
        <v>0</v>
      </c>
    </row>
    <row r="78" spans="1:11" ht="33.75">
      <c r="A78" s="14" t="s">
        <v>42</v>
      </c>
      <c r="B78" s="3" t="s">
        <v>133</v>
      </c>
      <c r="C78" s="22">
        <f>457278.8+84282.6</f>
        <v>541561.4</v>
      </c>
      <c r="D78" s="22">
        <v>0</v>
      </c>
      <c r="E78" s="22">
        <f>D78/C78*100</f>
        <v>0</v>
      </c>
      <c r="F78" s="25">
        <v>0</v>
      </c>
      <c r="G78" s="23">
        <v>0</v>
      </c>
      <c r="H78" s="25">
        <v>0</v>
      </c>
      <c r="I78" s="40">
        <f>C78+F78</f>
        <v>541561.4</v>
      </c>
      <c r="J78" s="46">
        <f>D78+G78</f>
        <v>0</v>
      </c>
      <c r="K78" s="37">
        <f>J78/I78*100</f>
        <v>0</v>
      </c>
    </row>
    <row r="79" spans="1:11" ht="12.75">
      <c r="A79" s="14" t="s">
        <v>44</v>
      </c>
      <c r="B79" s="3" t="s">
        <v>45</v>
      </c>
      <c r="C79" s="22">
        <v>14493.8</v>
      </c>
      <c r="D79" s="22">
        <v>0</v>
      </c>
      <c r="E79" s="22">
        <f t="shared" si="5"/>
        <v>0</v>
      </c>
      <c r="F79" s="25">
        <v>5067</v>
      </c>
      <c r="G79" s="23">
        <v>26.8</v>
      </c>
      <c r="H79" s="25">
        <f>G79/F79*100</f>
        <v>0.528912571541346</v>
      </c>
      <c r="I79" s="40">
        <f t="shared" si="0"/>
        <v>19560.8</v>
      </c>
      <c r="J79" s="46">
        <f t="shared" si="0"/>
        <v>26.8</v>
      </c>
      <c r="K79" s="37">
        <f t="shared" si="1"/>
        <v>0.13700871130015135</v>
      </c>
    </row>
    <row r="80" spans="1:11" ht="12.75">
      <c r="A80" s="14" t="s">
        <v>46</v>
      </c>
      <c r="B80" s="3" t="s">
        <v>47</v>
      </c>
      <c r="C80" s="22">
        <v>34946</v>
      </c>
      <c r="D80" s="22">
        <v>2408</v>
      </c>
      <c r="E80" s="22">
        <f t="shared" si="5"/>
        <v>6.8906312596577575</v>
      </c>
      <c r="F80" s="25">
        <v>0</v>
      </c>
      <c r="G80" s="23">
        <v>0</v>
      </c>
      <c r="H80" s="25">
        <v>0</v>
      </c>
      <c r="I80" s="40">
        <f t="shared" si="0"/>
        <v>34946</v>
      </c>
      <c r="J80" s="46">
        <f t="shared" si="0"/>
        <v>2408</v>
      </c>
      <c r="K80" s="37">
        <f t="shared" si="1"/>
        <v>6.8906312596577575</v>
      </c>
    </row>
    <row r="81" spans="1:11" ht="12.75">
      <c r="A81" s="13" t="s">
        <v>48</v>
      </c>
      <c r="B81" s="4" t="s">
        <v>49</v>
      </c>
      <c r="C81" s="24">
        <f>SUM(C82:C87)</f>
        <v>241521.8</v>
      </c>
      <c r="D81" s="24">
        <f>SUM(D82:D87)</f>
        <v>8609.4</v>
      </c>
      <c r="E81" s="24">
        <f>D81/C81*100</f>
        <v>3.564647166425557</v>
      </c>
      <c r="F81" s="27">
        <f>SUM(F82:F87)</f>
        <v>76480</v>
      </c>
      <c r="G81" s="27">
        <f>SUM(G82:G87)</f>
        <v>1471.3999999999999</v>
      </c>
      <c r="H81" s="35">
        <f>G81/F81*100</f>
        <v>1.9239016736401673</v>
      </c>
      <c r="I81" s="27">
        <f>SUM(I82:I87)</f>
        <v>316213.5</v>
      </c>
      <c r="J81" s="27">
        <f>SUM(J82:J87)</f>
        <v>8292.5</v>
      </c>
      <c r="K81" s="36">
        <f t="shared" si="1"/>
        <v>2.622437055976421</v>
      </c>
    </row>
    <row r="82" spans="1:11" ht="12.75">
      <c r="A82" s="14" t="s">
        <v>50</v>
      </c>
      <c r="B82" s="3" t="s">
        <v>90</v>
      </c>
      <c r="C82" s="22">
        <f>233269.4-C83-C85-C84</f>
        <v>46127.00000000001</v>
      </c>
      <c r="D82" s="22">
        <f>8003.8-D83-D85-D84</f>
        <v>7978.900000000001</v>
      </c>
      <c r="E82" s="22">
        <f t="shared" si="5"/>
        <v>17.29767814945693</v>
      </c>
      <c r="F82" s="25">
        <v>75817</v>
      </c>
      <c r="G82" s="23">
        <v>1465.8</v>
      </c>
      <c r="H82" s="25">
        <f>G82/F82*100</f>
        <v>1.9333394885052164</v>
      </c>
      <c r="I82" s="40">
        <f>C82+F82-1788.3</f>
        <v>120155.7</v>
      </c>
      <c r="J82" s="46">
        <f>D82+G82-1788.3</f>
        <v>7656.400000000001</v>
      </c>
      <c r="K82" s="37">
        <f t="shared" si="1"/>
        <v>6.37206557824556</v>
      </c>
    </row>
    <row r="83" spans="1:11" ht="45">
      <c r="A83" s="48" t="s">
        <v>50</v>
      </c>
      <c r="B83" s="49" t="s">
        <v>163</v>
      </c>
      <c r="C83" s="22">
        <f>75800+26582.1+74506.7</f>
        <v>176888.8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aca="true" t="shared" si="8" ref="I83:J98">C83+F83</f>
        <v>176888.8</v>
      </c>
      <c r="J83" s="46">
        <f t="shared" si="8"/>
        <v>0</v>
      </c>
      <c r="K83" s="37">
        <f>J83/I83*100</f>
        <v>0</v>
      </c>
    </row>
    <row r="84" spans="1:11" ht="12.75">
      <c r="A84" s="48" t="s">
        <v>50</v>
      </c>
      <c r="B84" s="49" t="s">
        <v>137</v>
      </c>
      <c r="C84" s="22">
        <v>1855.6</v>
      </c>
      <c r="D84" s="22">
        <v>0</v>
      </c>
      <c r="E84" s="22">
        <f t="shared" si="5"/>
        <v>0</v>
      </c>
      <c r="F84" s="25">
        <v>0</v>
      </c>
      <c r="G84" s="23">
        <v>0</v>
      </c>
      <c r="H84" s="25"/>
      <c r="I84" s="40">
        <f t="shared" si="8"/>
        <v>1855.6</v>
      </c>
      <c r="J84" s="46">
        <f t="shared" si="8"/>
        <v>0</v>
      </c>
      <c r="K84" s="37">
        <f>J84/I84*100</f>
        <v>0</v>
      </c>
    </row>
    <row r="85" spans="1:11" ht="22.5">
      <c r="A85" s="48" t="s">
        <v>50</v>
      </c>
      <c r="B85" s="49" t="s">
        <v>153</v>
      </c>
      <c r="C85" s="22">
        <v>8398</v>
      </c>
      <c r="D85" s="22">
        <v>24.9</v>
      </c>
      <c r="E85" s="22">
        <f t="shared" si="5"/>
        <v>0.2964991664682067</v>
      </c>
      <c r="F85" s="25">
        <v>0</v>
      </c>
      <c r="G85" s="23">
        <v>0</v>
      </c>
      <c r="H85" s="25">
        <v>0</v>
      </c>
      <c r="I85" s="40">
        <f t="shared" si="8"/>
        <v>8398</v>
      </c>
      <c r="J85" s="46">
        <f t="shared" si="8"/>
        <v>24.9</v>
      </c>
      <c r="K85" s="37">
        <f>J85/I85*100</f>
        <v>0.2964991664682067</v>
      </c>
    </row>
    <row r="86" spans="1:11" ht="12.75">
      <c r="A86" s="14" t="s">
        <v>51</v>
      </c>
      <c r="B86" s="3" t="s">
        <v>52</v>
      </c>
      <c r="C86" s="22">
        <v>619</v>
      </c>
      <c r="D86" s="22">
        <v>150</v>
      </c>
      <c r="E86" s="22">
        <f t="shared" si="5"/>
        <v>24.232633279483036</v>
      </c>
      <c r="F86" s="25">
        <v>663</v>
      </c>
      <c r="G86" s="23">
        <v>5.6</v>
      </c>
      <c r="H86" s="25">
        <f>G86/F86*100</f>
        <v>0.8446455505279035</v>
      </c>
      <c r="I86" s="40">
        <f t="shared" si="8"/>
        <v>1282</v>
      </c>
      <c r="J86" s="46">
        <f t="shared" si="8"/>
        <v>155.6</v>
      </c>
      <c r="K86" s="37">
        <f aca="true" t="shared" si="9" ref="K86:K118">J86/I86*100</f>
        <v>12.137285491419657</v>
      </c>
    </row>
    <row r="87" spans="1:11" ht="12.75">
      <c r="A87" s="14" t="s">
        <v>53</v>
      </c>
      <c r="B87" s="3" t="s">
        <v>91</v>
      </c>
      <c r="C87" s="22">
        <v>7633.4</v>
      </c>
      <c r="D87" s="22">
        <v>455.6</v>
      </c>
      <c r="E87" s="22">
        <f t="shared" si="5"/>
        <v>5.9685068252679025</v>
      </c>
      <c r="F87" s="25">
        <v>0</v>
      </c>
      <c r="G87" s="23">
        <v>0</v>
      </c>
      <c r="H87" s="25"/>
      <c r="I87" s="40">
        <f>C87+F87</f>
        <v>7633.4</v>
      </c>
      <c r="J87" s="46">
        <f>D87+G87</f>
        <v>455.6</v>
      </c>
      <c r="K87" s="37">
        <f t="shared" si="9"/>
        <v>5.9685068252679025</v>
      </c>
    </row>
    <row r="88" spans="1:11" ht="12.75">
      <c r="A88" s="13" t="s">
        <v>54</v>
      </c>
      <c r="B88" s="4" t="s">
        <v>92</v>
      </c>
      <c r="C88" s="24">
        <f>SUM(C89:C92)</f>
        <v>256288.2</v>
      </c>
      <c r="D88" s="24">
        <f>SUM(D89:D92)</f>
        <v>527.1</v>
      </c>
      <c r="E88" s="24">
        <f>D88/C88*100</f>
        <v>0.2056669015584799</v>
      </c>
      <c r="F88" s="27">
        <f>SUM(F89:F91)</f>
        <v>0</v>
      </c>
      <c r="G88" s="27">
        <f>SUM(G89:G91)</f>
        <v>0</v>
      </c>
      <c r="H88" s="35"/>
      <c r="I88" s="27">
        <f>C88+F88</f>
        <v>256288.2</v>
      </c>
      <c r="J88" s="27">
        <f t="shared" si="8"/>
        <v>527.1</v>
      </c>
      <c r="K88" s="36">
        <f t="shared" si="9"/>
        <v>0.2056669015584799</v>
      </c>
    </row>
    <row r="89" spans="1:11" ht="12.75">
      <c r="A89" s="14" t="s">
        <v>55</v>
      </c>
      <c r="B89" s="3" t="s">
        <v>56</v>
      </c>
      <c r="C89" s="22">
        <v>81313.3</v>
      </c>
      <c r="D89" s="22">
        <v>500</v>
      </c>
      <c r="E89" s="22">
        <f t="shared" si="5"/>
        <v>0.6149055566555532</v>
      </c>
      <c r="F89" s="25">
        <v>0</v>
      </c>
      <c r="G89" s="23">
        <v>0</v>
      </c>
      <c r="H89" s="25">
        <v>0</v>
      </c>
      <c r="I89" s="40">
        <f t="shared" si="8"/>
        <v>81313.3</v>
      </c>
      <c r="J89" s="46">
        <f t="shared" si="8"/>
        <v>500</v>
      </c>
      <c r="K89" s="37">
        <f t="shared" si="9"/>
        <v>0.6149055566555532</v>
      </c>
    </row>
    <row r="90" spans="1:11" ht="12.75">
      <c r="A90" s="14" t="s">
        <v>57</v>
      </c>
      <c r="B90" s="3" t="s">
        <v>58</v>
      </c>
      <c r="C90" s="22">
        <v>12279.4</v>
      </c>
      <c r="D90" s="22">
        <v>0</v>
      </c>
      <c r="E90" s="22">
        <f t="shared" si="5"/>
        <v>0</v>
      </c>
      <c r="F90" s="25">
        <v>0</v>
      </c>
      <c r="G90" s="23">
        <v>0</v>
      </c>
      <c r="H90" s="25">
        <v>0</v>
      </c>
      <c r="I90" s="40">
        <f t="shared" si="8"/>
        <v>12279.4</v>
      </c>
      <c r="J90" s="46">
        <f t="shared" si="8"/>
        <v>0</v>
      </c>
      <c r="K90" s="37">
        <f t="shared" si="9"/>
        <v>0</v>
      </c>
    </row>
    <row r="91" spans="1:11" ht="12.75">
      <c r="A91" s="15" t="s">
        <v>104</v>
      </c>
      <c r="B91" s="3" t="s">
        <v>88</v>
      </c>
      <c r="C91" s="22">
        <f>162695.5-C92</f>
        <v>15316.5</v>
      </c>
      <c r="D91" s="25">
        <v>27.1</v>
      </c>
      <c r="E91" s="22">
        <f t="shared" si="5"/>
        <v>0.17693337250677374</v>
      </c>
      <c r="F91" s="25">
        <v>0</v>
      </c>
      <c r="G91" s="23">
        <v>0</v>
      </c>
      <c r="H91" s="25">
        <v>0</v>
      </c>
      <c r="I91" s="40">
        <f t="shared" si="8"/>
        <v>15316.5</v>
      </c>
      <c r="J91" s="46">
        <f t="shared" si="8"/>
        <v>27.1</v>
      </c>
      <c r="K91" s="37">
        <f t="shared" si="9"/>
        <v>0.17693337250677374</v>
      </c>
    </row>
    <row r="92" spans="1:11" ht="22.5">
      <c r="A92" s="15" t="s">
        <v>104</v>
      </c>
      <c r="B92" s="49" t="s">
        <v>132</v>
      </c>
      <c r="C92" s="22">
        <v>147379</v>
      </c>
      <c r="D92" s="25">
        <v>0</v>
      </c>
      <c r="E92" s="22">
        <f t="shared" si="5"/>
        <v>0</v>
      </c>
      <c r="F92" s="25">
        <v>0</v>
      </c>
      <c r="G92" s="23">
        <v>0</v>
      </c>
      <c r="H92" s="25">
        <v>0</v>
      </c>
      <c r="I92" s="40">
        <f t="shared" si="8"/>
        <v>147379</v>
      </c>
      <c r="J92" s="46">
        <f t="shared" si="8"/>
        <v>0</v>
      </c>
      <c r="K92" s="37">
        <f t="shared" si="9"/>
        <v>0</v>
      </c>
    </row>
    <row r="93" spans="1:11" ht="12.75">
      <c r="A93" s="13">
        <v>10</v>
      </c>
      <c r="B93" s="4" t="s">
        <v>60</v>
      </c>
      <c r="C93" s="24">
        <f>SUM(C94:C105)</f>
        <v>146026</v>
      </c>
      <c r="D93" s="24">
        <f>SUM(D94:D105)</f>
        <v>830.4</v>
      </c>
      <c r="E93" s="24">
        <f>D93/C93*100</f>
        <v>0.5686658540259953</v>
      </c>
      <c r="F93" s="24">
        <f>SUM(F94:F103)</f>
        <v>120</v>
      </c>
      <c r="G93" s="24">
        <f>SUM(G94:G103)</f>
        <v>0</v>
      </c>
      <c r="H93" s="35">
        <f>G93/F93*100</f>
        <v>0</v>
      </c>
      <c r="I93" s="24">
        <f>SUM(I94:I105)</f>
        <v>146146</v>
      </c>
      <c r="J93" s="24">
        <f>SUM(J94:J105)</f>
        <v>830.4</v>
      </c>
      <c r="K93" s="36">
        <f t="shared" si="9"/>
        <v>0.5681989243633079</v>
      </c>
    </row>
    <row r="94" spans="1:11" ht="12.75">
      <c r="A94" s="15">
        <v>1001</v>
      </c>
      <c r="B94" s="3" t="s">
        <v>61</v>
      </c>
      <c r="C94" s="22">
        <v>3420</v>
      </c>
      <c r="D94" s="22">
        <v>285.1</v>
      </c>
      <c r="E94" s="22">
        <f t="shared" si="5"/>
        <v>8.336257309941521</v>
      </c>
      <c r="F94" s="25">
        <v>120</v>
      </c>
      <c r="G94" s="23">
        <v>0</v>
      </c>
      <c r="H94" s="25">
        <f>G94/F94*100</f>
        <v>0</v>
      </c>
      <c r="I94" s="40">
        <f t="shared" si="8"/>
        <v>3540</v>
      </c>
      <c r="J94" s="46">
        <f t="shared" si="8"/>
        <v>285.1</v>
      </c>
      <c r="K94" s="37">
        <f t="shared" si="9"/>
        <v>8.053672316384182</v>
      </c>
    </row>
    <row r="95" spans="1:11" ht="22.5">
      <c r="A95" s="15">
        <v>1003</v>
      </c>
      <c r="B95" s="3" t="s">
        <v>79</v>
      </c>
      <c r="C95" s="22">
        <v>2746.8</v>
      </c>
      <c r="D95" s="22">
        <v>0</v>
      </c>
      <c r="E95" s="22">
        <f t="shared" si="5"/>
        <v>0</v>
      </c>
      <c r="F95" s="25">
        <v>0</v>
      </c>
      <c r="G95" s="23">
        <v>0</v>
      </c>
      <c r="H95" s="25">
        <v>0</v>
      </c>
      <c r="I95" s="40">
        <f t="shared" si="8"/>
        <v>2746.8</v>
      </c>
      <c r="J95" s="46">
        <f t="shared" si="8"/>
        <v>0</v>
      </c>
      <c r="K95" s="37">
        <f t="shared" si="9"/>
        <v>0</v>
      </c>
    </row>
    <row r="96" spans="1:11" ht="22.5">
      <c r="A96" s="15">
        <v>1003</v>
      </c>
      <c r="B96" s="3" t="s">
        <v>94</v>
      </c>
      <c r="C96" s="22">
        <v>13827.1</v>
      </c>
      <c r="D96" s="22">
        <v>0</v>
      </c>
      <c r="E96" s="22">
        <f aca="true" t="shared" si="10" ref="E96:E116">D96/C96*100</f>
        <v>0</v>
      </c>
      <c r="F96" s="25">
        <v>0</v>
      </c>
      <c r="G96" s="23">
        <v>0</v>
      </c>
      <c r="H96" s="25">
        <v>0</v>
      </c>
      <c r="I96" s="40">
        <f t="shared" si="8"/>
        <v>13827.1</v>
      </c>
      <c r="J96" s="46">
        <f t="shared" si="8"/>
        <v>0</v>
      </c>
      <c r="K96" s="37">
        <f t="shared" si="9"/>
        <v>0</v>
      </c>
    </row>
    <row r="97" spans="1:11" ht="22.5">
      <c r="A97" s="15">
        <v>1003</v>
      </c>
      <c r="B97" s="3" t="s">
        <v>93</v>
      </c>
      <c r="C97" s="22">
        <v>11451</v>
      </c>
      <c r="D97" s="22">
        <v>0</v>
      </c>
      <c r="E97" s="22">
        <f t="shared" si="10"/>
        <v>0</v>
      </c>
      <c r="F97" s="25">
        <v>0</v>
      </c>
      <c r="G97" s="23">
        <v>0</v>
      </c>
      <c r="H97" s="25">
        <v>0</v>
      </c>
      <c r="I97" s="40">
        <f t="shared" si="8"/>
        <v>11451</v>
      </c>
      <c r="J97" s="46">
        <f t="shared" si="8"/>
        <v>0</v>
      </c>
      <c r="K97" s="37">
        <f t="shared" si="9"/>
        <v>0</v>
      </c>
    </row>
    <row r="98" spans="1:11" ht="12.75">
      <c r="A98" s="15" t="s">
        <v>168</v>
      </c>
      <c r="B98" s="3" t="s">
        <v>62</v>
      </c>
      <c r="C98" s="22">
        <v>734.6</v>
      </c>
      <c r="D98" s="22"/>
      <c r="E98" s="22"/>
      <c r="F98" s="25"/>
      <c r="G98" s="23"/>
      <c r="H98" s="25"/>
      <c r="I98" s="40">
        <f t="shared" si="8"/>
        <v>734.6</v>
      </c>
      <c r="J98" s="46"/>
      <c r="K98" s="37">
        <f t="shared" si="9"/>
        <v>0</v>
      </c>
    </row>
    <row r="99" spans="1:11" ht="22.5">
      <c r="A99" s="15" t="s">
        <v>168</v>
      </c>
      <c r="B99" s="3" t="s">
        <v>164</v>
      </c>
      <c r="C99" s="22">
        <v>1346</v>
      </c>
      <c r="D99" s="22"/>
      <c r="E99" s="22"/>
      <c r="F99" s="25"/>
      <c r="G99" s="23"/>
      <c r="H99" s="25"/>
      <c r="I99" s="40">
        <f aca="true" t="shared" si="11" ref="I99:I105">C99+F99</f>
        <v>1346</v>
      </c>
      <c r="J99" s="46"/>
      <c r="K99" s="37">
        <f t="shared" si="9"/>
        <v>0</v>
      </c>
    </row>
    <row r="100" spans="1:11" ht="45">
      <c r="A100" s="15">
        <v>1004</v>
      </c>
      <c r="B100" s="3" t="s">
        <v>122</v>
      </c>
      <c r="C100" s="56">
        <v>12774</v>
      </c>
      <c r="D100" s="22">
        <v>0</v>
      </c>
      <c r="E100" s="22">
        <f t="shared" si="10"/>
        <v>0</v>
      </c>
      <c r="F100" s="25">
        <v>0</v>
      </c>
      <c r="G100" s="23">
        <v>0</v>
      </c>
      <c r="H100" s="25">
        <v>0</v>
      </c>
      <c r="I100" s="40">
        <f t="shared" si="11"/>
        <v>12774</v>
      </c>
      <c r="J100" s="46">
        <f aca="true" t="shared" si="12" ref="J100:J105">D100+G100</f>
        <v>0</v>
      </c>
      <c r="K100" s="37">
        <f t="shared" si="9"/>
        <v>0</v>
      </c>
    </row>
    <row r="101" spans="1:11" ht="22.5">
      <c r="A101" s="15">
        <v>1004</v>
      </c>
      <c r="B101" s="3" t="s">
        <v>131</v>
      </c>
      <c r="C101" s="56">
        <v>887</v>
      </c>
      <c r="D101" s="22">
        <v>0</v>
      </c>
      <c r="E101" s="22">
        <f t="shared" si="10"/>
        <v>0</v>
      </c>
      <c r="F101" s="25">
        <v>0</v>
      </c>
      <c r="G101" s="25">
        <v>0</v>
      </c>
      <c r="H101" s="25">
        <v>0</v>
      </c>
      <c r="I101" s="40">
        <f t="shared" si="11"/>
        <v>887</v>
      </c>
      <c r="J101" s="40">
        <f t="shared" si="12"/>
        <v>0</v>
      </c>
      <c r="K101" s="37">
        <f t="shared" si="9"/>
        <v>0</v>
      </c>
    </row>
    <row r="102" spans="1:11" ht="12.75">
      <c r="A102" s="15">
        <v>1004</v>
      </c>
      <c r="B102" s="3" t="s">
        <v>72</v>
      </c>
      <c r="C102" s="56">
        <v>60733.5</v>
      </c>
      <c r="D102" s="22">
        <v>0</v>
      </c>
      <c r="E102" s="22">
        <f t="shared" si="10"/>
        <v>0</v>
      </c>
      <c r="F102" s="25">
        <v>0</v>
      </c>
      <c r="G102" s="23">
        <v>0</v>
      </c>
      <c r="H102" s="25">
        <v>0</v>
      </c>
      <c r="I102" s="40">
        <f t="shared" si="11"/>
        <v>60733.5</v>
      </c>
      <c r="J102" s="46">
        <f t="shared" si="12"/>
        <v>0</v>
      </c>
      <c r="K102" s="37">
        <f t="shared" si="9"/>
        <v>0</v>
      </c>
    </row>
    <row r="103" spans="1:11" ht="12.75">
      <c r="A103" s="15">
        <v>1004</v>
      </c>
      <c r="B103" s="3" t="s">
        <v>73</v>
      </c>
      <c r="C103" s="56">
        <v>5995.3</v>
      </c>
      <c r="D103" s="22">
        <v>0</v>
      </c>
      <c r="E103" s="22">
        <f t="shared" si="10"/>
        <v>0</v>
      </c>
      <c r="F103" s="25">
        <v>0</v>
      </c>
      <c r="G103" s="23">
        <v>0</v>
      </c>
      <c r="H103" s="25">
        <v>0</v>
      </c>
      <c r="I103" s="40">
        <f t="shared" si="11"/>
        <v>5995.3</v>
      </c>
      <c r="J103" s="46">
        <f t="shared" si="12"/>
        <v>0</v>
      </c>
      <c r="K103" s="37">
        <f t="shared" si="9"/>
        <v>0</v>
      </c>
    </row>
    <row r="104" spans="1:11" ht="45">
      <c r="A104" s="15" t="s">
        <v>110</v>
      </c>
      <c r="B104" s="3" t="s">
        <v>134</v>
      </c>
      <c r="C104" s="56">
        <v>18715.6</v>
      </c>
      <c r="D104" s="22">
        <v>0</v>
      </c>
      <c r="E104" s="22">
        <f>D104/C104*100</f>
        <v>0</v>
      </c>
      <c r="F104" s="25">
        <v>0</v>
      </c>
      <c r="G104" s="23">
        <v>0</v>
      </c>
      <c r="H104" s="25">
        <v>0</v>
      </c>
      <c r="I104" s="40">
        <f t="shared" si="11"/>
        <v>18715.6</v>
      </c>
      <c r="J104" s="46">
        <f t="shared" si="12"/>
        <v>0</v>
      </c>
      <c r="K104" s="37">
        <f>J104/I104*100</f>
        <v>0</v>
      </c>
    </row>
    <row r="105" spans="1:11" ht="12.75">
      <c r="A105" s="15">
        <v>1006</v>
      </c>
      <c r="B105" s="3" t="s">
        <v>63</v>
      </c>
      <c r="C105" s="22">
        <v>13395.1</v>
      </c>
      <c r="D105" s="22">
        <v>545.3</v>
      </c>
      <c r="E105" s="22">
        <f t="shared" si="10"/>
        <v>4.070891594687609</v>
      </c>
      <c r="F105" s="25">
        <v>0</v>
      </c>
      <c r="G105" s="23">
        <v>0</v>
      </c>
      <c r="H105" s="25">
        <v>0</v>
      </c>
      <c r="I105" s="40">
        <f t="shared" si="11"/>
        <v>13395.1</v>
      </c>
      <c r="J105" s="46">
        <f t="shared" si="12"/>
        <v>545.3</v>
      </c>
      <c r="K105" s="37">
        <f t="shared" si="9"/>
        <v>4.070891594687609</v>
      </c>
    </row>
    <row r="106" spans="1:11" ht="12.75">
      <c r="A106" s="17">
        <v>1100</v>
      </c>
      <c r="B106" s="4" t="s">
        <v>59</v>
      </c>
      <c r="C106" s="24">
        <f>SUM(C107:C108)</f>
        <v>29262.5</v>
      </c>
      <c r="D106" s="24">
        <f>SUM(D107:D108)</f>
        <v>567.2</v>
      </c>
      <c r="E106" s="24">
        <f>D106/C106*100</f>
        <v>1.9383169585647162</v>
      </c>
      <c r="F106" s="27">
        <f>F107+F108</f>
        <v>10198</v>
      </c>
      <c r="G106" s="27">
        <f>G107+G108</f>
        <v>157.4</v>
      </c>
      <c r="H106" s="35">
        <f>G106/F106*100</f>
        <v>1.543439890174544</v>
      </c>
      <c r="I106" s="27">
        <f>SUM(I107:I108)</f>
        <v>39250.5</v>
      </c>
      <c r="J106" s="27">
        <f>SUM(J107:J108)</f>
        <v>724.6</v>
      </c>
      <c r="K106" s="36">
        <f t="shared" si="9"/>
        <v>1.8460911325970368</v>
      </c>
    </row>
    <row r="107" spans="1:11" ht="12.75">
      <c r="A107" s="15">
        <v>1101</v>
      </c>
      <c r="B107" s="3" t="s">
        <v>83</v>
      </c>
      <c r="C107" s="22">
        <v>10850</v>
      </c>
      <c r="D107" s="22">
        <v>333.8</v>
      </c>
      <c r="E107" s="22">
        <f t="shared" si="10"/>
        <v>3.0764976958525345</v>
      </c>
      <c r="F107" s="25">
        <v>9988</v>
      </c>
      <c r="G107" s="23">
        <v>157.4</v>
      </c>
      <c r="H107" s="25">
        <f>G107/F107*100</f>
        <v>1.5758910692831398</v>
      </c>
      <c r="I107" s="40">
        <f>C107+F107</f>
        <v>20838</v>
      </c>
      <c r="J107" s="40">
        <f>D107+G107</f>
        <v>491.20000000000005</v>
      </c>
      <c r="K107" s="37">
        <f t="shared" si="9"/>
        <v>2.357231980036472</v>
      </c>
    </row>
    <row r="108" spans="1:11" ht="12.75">
      <c r="A108" s="15">
        <v>1102</v>
      </c>
      <c r="B108" s="3" t="s">
        <v>84</v>
      </c>
      <c r="C108" s="22">
        <v>18412.5</v>
      </c>
      <c r="D108" s="22">
        <v>233.4</v>
      </c>
      <c r="E108" s="22">
        <f t="shared" si="10"/>
        <v>1.2676171079429734</v>
      </c>
      <c r="F108" s="25">
        <v>210</v>
      </c>
      <c r="G108" s="23">
        <v>0</v>
      </c>
      <c r="H108" s="25">
        <f>G108/F108*100</f>
        <v>0</v>
      </c>
      <c r="I108" s="40">
        <f>C108+F108-210</f>
        <v>18412.5</v>
      </c>
      <c r="J108" s="40">
        <f>D108+G108</f>
        <v>233.4</v>
      </c>
      <c r="K108" s="37">
        <f t="shared" si="9"/>
        <v>1.2676171079429734</v>
      </c>
    </row>
    <row r="109" spans="1:11" ht="12.75">
      <c r="A109" s="17">
        <v>1200</v>
      </c>
      <c r="B109" s="4" t="s">
        <v>85</v>
      </c>
      <c r="C109" s="24">
        <f>C111+C110</f>
        <v>9200</v>
      </c>
      <c r="D109" s="24">
        <f>D111+D110</f>
        <v>2925</v>
      </c>
      <c r="E109" s="24">
        <f>E111</f>
        <v>25</v>
      </c>
      <c r="F109" s="24">
        <f>F111+F110</f>
        <v>0</v>
      </c>
      <c r="G109" s="24">
        <f>G111+G110</f>
        <v>0</v>
      </c>
      <c r="H109" s="38">
        <f>H111</f>
        <v>0</v>
      </c>
      <c r="I109" s="24">
        <f aca="true" t="shared" si="13" ref="I109:J113">C109+F109</f>
        <v>9200</v>
      </c>
      <c r="J109" s="24">
        <f t="shared" si="13"/>
        <v>2925</v>
      </c>
      <c r="K109" s="39">
        <f t="shared" si="9"/>
        <v>31.793478260869566</v>
      </c>
    </row>
    <row r="110" spans="1:11" ht="12.75">
      <c r="A110" s="15" t="s">
        <v>114</v>
      </c>
      <c r="B110" s="3" t="s">
        <v>115</v>
      </c>
      <c r="C110" s="22">
        <v>3500</v>
      </c>
      <c r="D110" s="22">
        <v>1500</v>
      </c>
      <c r="E110" s="22">
        <f>D110/C110*100</f>
        <v>42.857142857142854</v>
      </c>
      <c r="F110" s="25">
        <v>0</v>
      </c>
      <c r="G110" s="23">
        <v>0</v>
      </c>
      <c r="H110" s="25">
        <v>0</v>
      </c>
      <c r="I110" s="40">
        <f t="shared" si="13"/>
        <v>3500</v>
      </c>
      <c r="J110" s="40">
        <f t="shared" si="13"/>
        <v>1500</v>
      </c>
      <c r="K110" s="37">
        <f>J110/I110*100</f>
        <v>42.857142857142854</v>
      </c>
    </row>
    <row r="111" spans="1:11" ht="12.75">
      <c r="A111" s="15">
        <v>1202</v>
      </c>
      <c r="B111" s="3" t="s">
        <v>101</v>
      </c>
      <c r="C111" s="22">
        <v>5700</v>
      </c>
      <c r="D111" s="22">
        <v>1425</v>
      </c>
      <c r="E111" s="22">
        <f t="shared" si="10"/>
        <v>25</v>
      </c>
      <c r="F111" s="25">
        <v>0</v>
      </c>
      <c r="G111" s="23">
        <v>0</v>
      </c>
      <c r="H111" s="25">
        <v>0</v>
      </c>
      <c r="I111" s="40">
        <f t="shared" si="13"/>
        <v>5700</v>
      </c>
      <c r="J111" s="40">
        <f t="shared" si="13"/>
        <v>1425</v>
      </c>
      <c r="K111" s="37">
        <f t="shared" si="9"/>
        <v>25</v>
      </c>
    </row>
    <row r="112" spans="1:11" ht="12.75">
      <c r="A112" s="17">
        <v>1300</v>
      </c>
      <c r="B112" s="4" t="s">
        <v>86</v>
      </c>
      <c r="C112" s="24">
        <f aca="true" t="shared" si="14" ref="C112:H112">C113</f>
        <v>1000</v>
      </c>
      <c r="D112" s="24">
        <f t="shared" si="14"/>
        <v>94.3</v>
      </c>
      <c r="E112" s="24">
        <f t="shared" si="14"/>
        <v>9.43</v>
      </c>
      <c r="F112" s="24">
        <f t="shared" si="14"/>
        <v>0</v>
      </c>
      <c r="G112" s="24">
        <f t="shared" si="14"/>
        <v>0</v>
      </c>
      <c r="H112" s="38">
        <f t="shared" si="14"/>
        <v>0</v>
      </c>
      <c r="I112" s="24">
        <f t="shared" si="13"/>
        <v>1000</v>
      </c>
      <c r="J112" s="24">
        <f t="shared" si="13"/>
        <v>94.3</v>
      </c>
      <c r="K112" s="39">
        <f t="shared" si="9"/>
        <v>9.43</v>
      </c>
    </row>
    <row r="113" spans="1:11" ht="22.5">
      <c r="A113" s="15">
        <v>1301</v>
      </c>
      <c r="B113" s="3" t="s">
        <v>87</v>
      </c>
      <c r="C113" s="22">
        <v>1000</v>
      </c>
      <c r="D113" s="22">
        <v>94.3</v>
      </c>
      <c r="E113" s="22">
        <f t="shared" si="10"/>
        <v>9.43</v>
      </c>
      <c r="F113" s="25"/>
      <c r="G113" s="23">
        <v>0</v>
      </c>
      <c r="H113" s="25">
        <v>0</v>
      </c>
      <c r="I113" s="40">
        <f t="shared" si="13"/>
        <v>1000</v>
      </c>
      <c r="J113" s="40">
        <f t="shared" si="13"/>
        <v>94.3</v>
      </c>
      <c r="K113" s="37">
        <f t="shared" si="9"/>
        <v>9.43</v>
      </c>
    </row>
    <row r="114" spans="1:11" ht="12.75">
      <c r="A114" s="17">
        <v>1400</v>
      </c>
      <c r="B114" s="4" t="s">
        <v>64</v>
      </c>
      <c r="C114" s="24">
        <f>SUM(C115:C116)</f>
        <v>277801.2</v>
      </c>
      <c r="D114" s="24">
        <f>SUM(D115:D116)</f>
        <v>16731.7</v>
      </c>
      <c r="E114" s="24">
        <f>D114/C114*100</f>
        <v>6.022904148722179</v>
      </c>
      <c r="F114" s="27">
        <f>F115+F116+F117</f>
        <v>26826.1</v>
      </c>
      <c r="G114" s="27">
        <f>SUM(G115:G117)</f>
        <v>0</v>
      </c>
      <c r="H114" s="27">
        <f>G114/F114*100</f>
        <v>0</v>
      </c>
      <c r="I114" s="27">
        <v>0</v>
      </c>
      <c r="J114" s="27">
        <v>0</v>
      </c>
      <c r="K114" s="36">
        <v>0</v>
      </c>
    </row>
    <row r="115" spans="1:11" ht="22.5">
      <c r="A115" s="15">
        <v>1401</v>
      </c>
      <c r="B115" s="3" t="s">
        <v>81</v>
      </c>
      <c r="C115" s="22">
        <v>104609.8</v>
      </c>
      <c r="D115" s="22">
        <v>6974</v>
      </c>
      <c r="E115" s="22">
        <f t="shared" si="10"/>
        <v>6.666679412445105</v>
      </c>
      <c r="F115" s="25">
        <v>0</v>
      </c>
      <c r="G115" s="23">
        <v>0</v>
      </c>
      <c r="H115" s="25">
        <v>0</v>
      </c>
      <c r="I115" s="40">
        <v>0</v>
      </c>
      <c r="J115" s="46">
        <v>0</v>
      </c>
      <c r="K115" s="37">
        <v>0</v>
      </c>
    </row>
    <row r="116" spans="1:11" ht="12.75">
      <c r="A116" s="15">
        <v>1402</v>
      </c>
      <c r="B116" s="3" t="s">
        <v>82</v>
      </c>
      <c r="C116" s="22">
        <v>173191.4</v>
      </c>
      <c r="D116" s="22">
        <v>9757.7</v>
      </c>
      <c r="E116" s="22">
        <f t="shared" si="10"/>
        <v>5.63405573255947</v>
      </c>
      <c r="F116" s="25">
        <v>0</v>
      </c>
      <c r="G116" s="23">
        <v>0</v>
      </c>
      <c r="H116" s="25">
        <v>0</v>
      </c>
      <c r="I116" s="40">
        <v>0</v>
      </c>
      <c r="J116" s="46">
        <v>0</v>
      </c>
      <c r="K116" s="37">
        <v>0</v>
      </c>
    </row>
    <row r="117" spans="1:11" ht="12.75">
      <c r="A117" s="15">
        <v>1403</v>
      </c>
      <c r="B117" s="3" t="s">
        <v>95</v>
      </c>
      <c r="C117" s="22"/>
      <c r="D117" s="22"/>
      <c r="E117" s="22">
        <v>0</v>
      </c>
      <c r="F117" s="25">
        <v>26826.1</v>
      </c>
      <c r="G117" s="23">
        <v>0</v>
      </c>
      <c r="H117" s="25">
        <f>G117/F117*100</f>
        <v>0</v>
      </c>
      <c r="I117" s="40">
        <v>0</v>
      </c>
      <c r="J117" s="46">
        <v>0</v>
      </c>
      <c r="K117" s="37">
        <v>0</v>
      </c>
    </row>
    <row r="118" spans="1:11" ht="13.5" thickBot="1">
      <c r="A118" s="184" t="s">
        <v>65</v>
      </c>
      <c r="B118" s="185"/>
      <c r="C118" s="29">
        <f>C9+C18+C20+C25+C45+C71+C73+C81+C88+C93+C106+C109+C112+C114</f>
        <v>3981574.3000000003</v>
      </c>
      <c r="D118" s="29">
        <f>D114+D112+D109+D106+D93+D88+D81+D73+D71+D45+D25+D20+D18+D9</f>
        <v>184490.2</v>
      </c>
      <c r="E118" s="29">
        <f>D118/C118*100</f>
        <v>4.633599327783485</v>
      </c>
      <c r="F118" s="29">
        <f>F9+F18+F20+F25+F45+F71+F73+F81+F88+F93+F106+F109+F112+F114</f>
        <v>484125</v>
      </c>
      <c r="G118" s="29">
        <f>G114+G112+G109+G93+G88+G81+G73+G45+G25+G21+G18+G9+G20+G106</f>
        <v>10643.9</v>
      </c>
      <c r="H118" s="47">
        <f>G118/F118*100</f>
        <v>2.198585076168345</v>
      </c>
      <c r="I118" s="29">
        <f>I114+I112+I109+I106+I93+I88+I81+I73+I71+I45+I25+I20+I18+I9</f>
        <v>4080132</v>
      </c>
      <c r="J118" s="29">
        <f>J114+J112+J109+J106+J93+J88+J81+J73+J71+J45+J25+J20+J18+J9</f>
        <v>176384.1</v>
      </c>
      <c r="K118" s="30">
        <f t="shared" si="9"/>
        <v>4.32299984412269</v>
      </c>
    </row>
    <row r="119" spans="1:11" ht="12.75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>
      <c r="A120" s="10"/>
      <c r="B120" s="6"/>
      <c r="C120" s="54"/>
      <c r="D120" s="32"/>
      <c r="E120" s="41"/>
      <c r="F120" s="21"/>
      <c r="G120" s="33"/>
      <c r="H120" s="33"/>
      <c r="I120" s="44"/>
      <c r="J120" s="44"/>
      <c r="K120" s="45"/>
    </row>
    <row r="121" spans="1:11" ht="12.75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>
      <c r="A122" s="10"/>
      <c r="B122" s="6"/>
      <c r="C122" s="54"/>
      <c r="D122" s="32"/>
      <c r="E122" s="41"/>
      <c r="F122" s="21"/>
      <c r="G122" s="33"/>
      <c r="H122" s="33"/>
      <c r="I122" s="44"/>
      <c r="J122" s="44"/>
      <c r="K122" s="45"/>
    </row>
    <row r="123" spans="1:11" ht="12.75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>
      <c r="A124" s="180" t="s">
        <v>124</v>
      </c>
      <c r="B124" s="180"/>
      <c r="C124" s="180"/>
      <c r="D124" s="21"/>
      <c r="E124" s="33"/>
      <c r="F124" s="33"/>
      <c r="G124" s="33"/>
      <c r="H124" s="33"/>
      <c r="I124" s="45"/>
      <c r="J124" s="45"/>
      <c r="K124" s="45"/>
    </row>
    <row r="125" spans="1:11" ht="12.75">
      <c r="A125" s="180" t="s">
        <v>125</v>
      </c>
      <c r="B125" s="180"/>
      <c r="C125" s="180"/>
      <c r="D125" s="42"/>
      <c r="E125" s="181" t="s">
        <v>66</v>
      </c>
      <c r="F125" s="181"/>
      <c r="G125" s="33"/>
      <c r="H125" s="33"/>
      <c r="I125" s="44"/>
      <c r="J125" s="45"/>
      <c r="K125" s="45"/>
    </row>
    <row r="126" spans="1:11" ht="12.75">
      <c r="A126" s="11"/>
      <c r="B126" s="5"/>
      <c r="C126" s="53"/>
      <c r="D126" s="31"/>
      <c r="E126" s="43"/>
      <c r="F126" s="55"/>
      <c r="G126" s="33"/>
      <c r="H126" s="33"/>
      <c r="I126" s="44"/>
      <c r="J126" s="45"/>
      <c r="K126" s="45"/>
    </row>
    <row r="127" spans="1:11" ht="12.75">
      <c r="A127" s="180" t="s">
        <v>151</v>
      </c>
      <c r="B127" s="180"/>
      <c r="C127" s="180"/>
      <c r="D127" s="34"/>
      <c r="E127" s="181" t="s">
        <v>123</v>
      </c>
      <c r="F127" s="181"/>
      <c r="G127" s="33"/>
      <c r="H127" s="33"/>
      <c r="I127" s="44"/>
      <c r="J127" s="45"/>
      <c r="K127" s="45"/>
    </row>
    <row r="128" spans="1:11" ht="12.75">
      <c r="A128" s="11"/>
      <c r="B128" s="6"/>
      <c r="C128" s="54"/>
      <c r="D128" s="32"/>
      <c r="E128" s="43"/>
      <c r="F128" s="55"/>
      <c r="G128" s="33"/>
      <c r="H128" s="33"/>
      <c r="I128" s="44"/>
      <c r="J128" s="45"/>
      <c r="K128" s="45"/>
    </row>
    <row r="129" spans="1:11" ht="12.75">
      <c r="A129" s="180" t="s">
        <v>154</v>
      </c>
      <c r="B129" s="180"/>
      <c r="C129" s="180"/>
      <c r="D129" s="34"/>
      <c r="E129" s="182" t="s">
        <v>155</v>
      </c>
      <c r="F129" s="182"/>
      <c r="G129" s="33"/>
      <c r="H129" s="33"/>
      <c r="I129" s="44"/>
      <c r="J129" s="45"/>
      <c r="K129" s="45"/>
    </row>
    <row r="130" spans="1:11" ht="12.75">
      <c r="A130" s="12"/>
      <c r="B130" s="7"/>
      <c r="C130" s="51"/>
      <c r="D130" s="21"/>
      <c r="E130" s="21"/>
      <c r="F130" s="33"/>
      <c r="G130" s="33"/>
      <c r="H130" s="33"/>
      <c r="I130" s="45"/>
      <c r="J130" s="45"/>
      <c r="K130" s="45"/>
    </row>
    <row r="131" spans="3:5" ht="12.75">
      <c r="C131" s="58" t="s">
        <v>156</v>
      </c>
      <c r="D131" t="s">
        <v>157</v>
      </c>
      <c r="E131" s="59" t="s">
        <v>158</v>
      </c>
    </row>
    <row r="134" ht="12.75">
      <c r="B134" s="7" t="s">
        <v>172</v>
      </c>
    </row>
  </sheetData>
  <sheetProtection/>
  <mergeCells count="35"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K20:K21"/>
    <mergeCell ref="A118:B118"/>
    <mergeCell ref="A20:A21"/>
    <mergeCell ref="B20:B21"/>
    <mergeCell ref="C20:C21"/>
    <mergeCell ref="D20:D21"/>
    <mergeCell ref="E20:E21"/>
    <mergeCell ref="F20:F21"/>
    <mergeCell ref="A124:C124"/>
    <mergeCell ref="A125:C125"/>
    <mergeCell ref="E125:F125"/>
    <mergeCell ref="A127:C127"/>
    <mergeCell ref="E127:F127"/>
    <mergeCell ref="A129:C129"/>
    <mergeCell ref="E129:F1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2"/>
  <sheetViews>
    <sheetView tabSelected="1" zoomScalePageLayoutView="0" workbookViewId="0" topLeftCell="A1">
      <selection activeCell="A1" sqref="A1:S222"/>
    </sheetView>
  </sheetViews>
  <sheetFormatPr defaultColWidth="9.00390625" defaultRowHeight="12.75"/>
  <cols>
    <col min="1" max="1" width="23.75390625" style="0" customWidth="1"/>
    <col min="2" max="2" width="0.12890625" style="0" hidden="1" customWidth="1"/>
    <col min="3" max="3" width="48.00390625" style="0" customWidth="1"/>
    <col min="4" max="4" width="11.75390625" style="0" customWidth="1"/>
    <col min="5" max="5" width="13.125" style="0" hidden="1" customWidth="1"/>
    <col min="6" max="6" width="10.875" style="0" customWidth="1"/>
    <col min="7" max="7" width="0.12890625" style="0" hidden="1" customWidth="1"/>
    <col min="8" max="8" width="8.125" style="0" hidden="1" customWidth="1"/>
    <col min="9" max="9" width="9.25390625" style="0" hidden="1" customWidth="1"/>
    <col min="10" max="10" width="11.25390625" style="0" customWidth="1"/>
    <col min="11" max="11" width="11.875" style="0" hidden="1" customWidth="1"/>
    <col min="12" max="12" width="9.00390625" style="0" hidden="1" customWidth="1"/>
    <col min="13" max="15" width="9.125" style="0" hidden="1" customWidth="1"/>
    <col min="16" max="16" width="11.125" style="0" customWidth="1"/>
    <col min="17" max="17" width="10.75390625" style="0" customWidth="1"/>
  </cols>
  <sheetData>
    <row r="1" spans="1:19" ht="21" customHeight="1">
      <c r="A1" s="218" t="s">
        <v>324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ht="12.7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107"/>
      <c r="O2" s="107"/>
      <c r="P2" s="107"/>
      <c r="Q2" s="107"/>
      <c r="R2" s="107"/>
      <c r="S2" s="107"/>
    </row>
    <row r="3" spans="1:19" ht="12.75">
      <c r="A3" s="146"/>
      <c r="B3" s="146"/>
      <c r="C3" s="147"/>
      <c r="D3" s="147"/>
      <c r="E3" s="147"/>
      <c r="F3" s="147"/>
      <c r="G3" s="147"/>
      <c r="H3" s="147"/>
      <c r="I3" s="148"/>
      <c r="J3" s="148"/>
      <c r="K3" s="149" t="s">
        <v>209</v>
      </c>
      <c r="L3" s="148"/>
      <c r="M3" s="148"/>
      <c r="N3" s="107"/>
      <c r="O3" s="107"/>
      <c r="P3" s="107"/>
      <c r="Q3" s="107"/>
      <c r="R3" s="107"/>
      <c r="S3" s="107"/>
    </row>
    <row r="4" spans="1:19" ht="12.75" customHeight="1">
      <c r="A4" s="150" t="s">
        <v>210</v>
      </c>
      <c r="B4" s="150"/>
      <c r="C4" s="151"/>
      <c r="D4" s="214" t="s">
        <v>325</v>
      </c>
      <c r="E4" s="214" t="s">
        <v>326</v>
      </c>
      <c r="F4" s="214" t="s">
        <v>316</v>
      </c>
      <c r="G4" s="211" t="s">
        <v>211</v>
      </c>
      <c r="H4" s="211" t="s">
        <v>212</v>
      </c>
      <c r="I4" s="211" t="s">
        <v>213</v>
      </c>
      <c r="J4" s="211" t="s">
        <v>214</v>
      </c>
      <c r="K4" s="214" t="s">
        <v>327</v>
      </c>
      <c r="L4" s="214" t="s">
        <v>296</v>
      </c>
      <c r="M4" s="214" t="s">
        <v>297</v>
      </c>
      <c r="N4" s="214" t="s">
        <v>298</v>
      </c>
      <c r="O4" s="214" t="s">
        <v>299</v>
      </c>
      <c r="P4" s="214" t="s">
        <v>300</v>
      </c>
      <c r="Q4" s="214" t="s">
        <v>317</v>
      </c>
      <c r="R4" s="214" t="s">
        <v>328</v>
      </c>
      <c r="S4" s="214" t="s">
        <v>329</v>
      </c>
    </row>
    <row r="5" spans="1:19" ht="12.75">
      <c r="A5" s="152" t="s">
        <v>215</v>
      </c>
      <c r="B5" s="152"/>
      <c r="C5" s="153" t="s">
        <v>216</v>
      </c>
      <c r="D5" s="215"/>
      <c r="E5" s="215"/>
      <c r="F5" s="215"/>
      <c r="G5" s="212"/>
      <c r="H5" s="212"/>
      <c r="I5" s="212"/>
      <c r="J5" s="212"/>
      <c r="K5" s="215"/>
      <c r="L5" s="215"/>
      <c r="M5" s="215"/>
      <c r="N5" s="215"/>
      <c r="O5" s="215"/>
      <c r="P5" s="215"/>
      <c r="Q5" s="215"/>
      <c r="R5" s="215"/>
      <c r="S5" s="215"/>
    </row>
    <row r="6" spans="1:19" ht="22.5" customHeight="1">
      <c r="A6" s="152"/>
      <c r="B6" s="152"/>
      <c r="C6" s="153"/>
      <c r="D6" s="216"/>
      <c r="E6" s="216"/>
      <c r="F6" s="216"/>
      <c r="G6" s="213"/>
      <c r="H6" s="213"/>
      <c r="I6" s="213"/>
      <c r="J6" s="213"/>
      <c r="K6" s="216"/>
      <c r="L6" s="216"/>
      <c r="M6" s="216"/>
      <c r="N6" s="216"/>
      <c r="O6" s="216"/>
      <c r="P6" s="216"/>
      <c r="Q6" s="216"/>
      <c r="R6" s="216"/>
      <c r="S6" s="216"/>
    </row>
    <row r="7" spans="1:19" ht="12.75">
      <c r="A7" s="248" t="s">
        <v>217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107"/>
    </row>
    <row r="8" spans="1:19" ht="12.75">
      <c r="A8" s="132" t="s">
        <v>218</v>
      </c>
      <c r="B8" s="132"/>
      <c r="C8" s="249" t="s">
        <v>219</v>
      </c>
      <c r="D8" s="154">
        <f aca="true" t="shared" si="0" ref="D8:K8">D9+D11+D12+D13+D15+D16+D18+D20+D14+D21+D17+D19+D10</f>
        <v>649949.9</v>
      </c>
      <c r="E8" s="154">
        <f t="shared" si="0"/>
        <v>704176.5</v>
      </c>
      <c r="F8" s="154">
        <f t="shared" si="0"/>
        <v>498521.30000000005</v>
      </c>
      <c r="G8" s="154">
        <f t="shared" si="0"/>
        <v>141020.8</v>
      </c>
      <c r="H8" s="154">
        <f t="shared" si="0"/>
        <v>187354.1</v>
      </c>
      <c r="I8" s="154">
        <f t="shared" si="0"/>
        <v>170146.40000000005</v>
      </c>
      <c r="J8" s="154">
        <f t="shared" si="0"/>
        <v>194233.10000000003</v>
      </c>
      <c r="K8" s="154">
        <f t="shared" si="0"/>
        <v>605465.2</v>
      </c>
      <c r="L8" s="154" t="e">
        <f>L9+L11+L12+L13+L15+L16+L18+L20+L14+L21+L17+L19</f>
        <v>#REF!</v>
      </c>
      <c r="M8" s="154">
        <f aca="true" t="shared" si="1" ref="M8:M20">K8/I8*100</f>
        <v>355.8495507398333</v>
      </c>
      <c r="N8" s="155"/>
      <c r="O8" s="155"/>
      <c r="P8" s="154">
        <f>K8*100/J8</f>
        <v>311.72091677474117</v>
      </c>
      <c r="Q8" s="154">
        <f>K8*100/F8</f>
        <v>121.45222280371969</v>
      </c>
      <c r="R8" s="129">
        <f>K8*100/E8</f>
        <v>85.98202297293362</v>
      </c>
      <c r="S8" s="129">
        <f>K8*100/D8</f>
        <v>93.15567246029269</v>
      </c>
    </row>
    <row r="9" spans="1:19" ht="12.75">
      <c r="A9" s="112" t="s">
        <v>220</v>
      </c>
      <c r="B9" s="112"/>
      <c r="C9" s="250" t="s">
        <v>221</v>
      </c>
      <c r="D9" s="160">
        <v>475656.4</v>
      </c>
      <c r="E9" s="156">
        <v>482612.5</v>
      </c>
      <c r="F9" s="156">
        <f>G9+H9+I9</f>
        <v>350652.30000000005</v>
      </c>
      <c r="G9" s="156">
        <v>110296.7</v>
      </c>
      <c r="H9" s="156">
        <v>128225.5</v>
      </c>
      <c r="I9" s="157">
        <v>112130.1</v>
      </c>
      <c r="J9" s="158">
        <v>130940.2</v>
      </c>
      <c r="K9" s="158">
        <v>395591.6</v>
      </c>
      <c r="L9" s="157" t="e">
        <f>K9/#REF!*100</f>
        <v>#REF!</v>
      </c>
      <c r="M9" s="157">
        <f t="shared" si="1"/>
        <v>352.79697422904286</v>
      </c>
      <c r="N9" s="159"/>
      <c r="O9" s="159"/>
      <c r="P9" s="157">
        <f aca="true" t="shared" si="2" ref="P9:P77">K9*100/J9</f>
        <v>302.116233211802</v>
      </c>
      <c r="Q9" s="157">
        <f aca="true" t="shared" si="3" ref="Q9:Q74">K9*100/F9</f>
        <v>112.81591479650923</v>
      </c>
      <c r="R9" s="158">
        <f aca="true" t="shared" si="4" ref="R9:R74">K9*100/E9</f>
        <v>81.96878448030252</v>
      </c>
      <c r="S9" s="162">
        <f aca="true" t="shared" si="5" ref="S9:S72">K9*100/D9</f>
        <v>83.16751335627987</v>
      </c>
    </row>
    <row r="10" spans="1:19" ht="12.75">
      <c r="A10" s="112" t="s">
        <v>222</v>
      </c>
      <c r="B10" s="112"/>
      <c r="C10" s="251" t="s">
        <v>223</v>
      </c>
      <c r="D10" s="160">
        <v>33926</v>
      </c>
      <c r="E10" s="160">
        <f aca="true" t="shared" si="6" ref="E10:E21">G10+H10+I10+J10</f>
        <v>33926</v>
      </c>
      <c r="F10" s="156">
        <f aca="true" t="shared" si="7" ref="F10:F21">G10+H10+I10</f>
        <v>25444.5</v>
      </c>
      <c r="G10" s="160">
        <v>8482</v>
      </c>
      <c r="H10" s="160">
        <v>8481.3</v>
      </c>
      <c r="I10" s="161">
        <v>8481.2</v>
      </c>
      <c r="J10" s="162">
        <v>8481.5</v>
      </c>
      <c r="K10" s="162">
        <v>30433.3</v>
      </c>
      <c r="L10" s="157"/>
      <c r="M10" s="157"/>
      <c r="N10" s="159"/>
      <c r="O10" s="159"/>
      <c r="P10" s="161"/>
      <c r="Q10" s="157">
        <f t="shared" si="3"/>
        <v>119.60659474542632</v>
      </c>
      <c r="R10" s="162">
        <f t="shared" si="4"/>
        <v>89.70494605906974</v>
      </c>
      <c r="S10" s="162">
        <f t="shared" si="5"/>
        <v>89.70494605906974</v>
      </c>
    </row>
    <row r="11" spans="1:19" ht="12.75">
      <c r="A11" s="112" t="s">
        <v>224</v>
      </c>
      <c r="B11" s="112"/>
      <c r="C11" s="251" t="s">
        <v>225</v>
      </c>
      <c r="D11" s="160">
        <v>31247.1</v>
      </c>
      <c r="E11" s="160">
        <f t="shared" si="6"/>
        <v>35675</v>
      </c>
      <c r="F11" s="156">
        <f t="shared" si="7"/>
        <v>25143.5</v>
      </c>
      <c r="G11" s="160">
        <v>8100.2</v>
      </c>
      <c r="H11" s="160">
        <v>9852.6</v>
      </c>
      <c r="I11" s="161">
        <v>7190.7</v>
      </c>
      <c r="J11" s="162">
        <v>10531.5</v>
      </c>
      <c r="K11" s="162">
        <v>35798.2</v>
      </c>
      <c r="L11" s="157" t="e">
        <f>K11/#REF!*100</f>
        <v>#REF!</v>
      </c>
      <c r="M11" s="157">
        <f t="shared" si="1"/>
        <v>497.8402658990084</v>
      </c>
      <c r="N11" s="159"/>
      <c r="O11" s="159"/>
      <c r="P11" s="161">
        <f t="shared" si="2"/>
        <v>339.91549162037694</v>
      </c>
      <c r="Q11" s="157">
        <f t="shared" si="3"/>
        <v>142.37556426114102</v>
      </c>
      <c r="R11" s="162">
        <f t="shared" si="4"/>
        <v>100.34533987386123</v>
      </c>
      <c r="S11" s="162">
        <f t="shared" si="5"/>
        <v>114.56487162008634</v>
      </c>
    </row>
    <row r="12" spans="1:19" ht="12.75">
      <c r="A12" s="112" t="s">
        <v>226</v>
      </c>
      <c r="B12" s="112"/>
      <c r="C12" s="251" t="s">
        <v>227</v>
      </c>
      <c r="D12" s="160">
        <v>3100</v>
      </c>
      <c r="E12" s="160">
        <v>3500</v>
      </c>
      <c r="F12" s="156">
        <f t="shared" si="7"/>
        <v>2584.1</v>
      </c>
      <c r="G12" s="160">
        <v>934</v>
      </c>
      <c r="H12" s="160">
        <v>875</v>
      </c>
      <c r="I12" s="161">
        <v>775.1</v>
      </c>
      <c r="J12" s="162">
        <v>775</v>
      </c>
      <c r="K12" s="162">
        <v>3574.8</v>
      </c>
      <c r="L12" s="157" t="e">
        <f>K12/#REF!*100</f>
        <v>#REF!</v>
      </c>
      <c r="M12" s="157">
        <f t="shared" si="1"/>
        <v>461.2050058057025</v>
      </c>
      <c r="N12" s="159"/>
      <c r="O12" s="159"/>
      <c r="P12" s="161">
        <f t="shared" si="2"/>
        <v>461.26451612903224</v>
      </c>
      <c r="Q12" s="157">
        <f t="shared" si="3"/>
        <v>138.3382996014086</v>
      </c>
      <c r="R12" s="162">
        <f t="shared" si="4"/>
        <v>102.13714285714286</v>
      </c>
      <c r="S12" s="162">
        <f t="shared" si="5"/>
        <v>115.31612903225806</v>
      </c>
    </row>
    <row r="13" spans="1:19" ht="12.75">
      <c r="A13" s="112" t="s">
        <v>228</v>
      </c>
      <c r="B13" s="112"/>
      <c r="C13" s="251" t="s">
        <v>229</v>
      </c>
      <c r="D13" s="160">
        <v>1819</v>
      </c>
      <c r="E13" s="160">
        <v>2819</v>
      </c>
      <c r="F13" s="156">
        <f t="shared" si="7"/>
        <v>1964</v>
      </c>
      <c r="G13" s="160">
        <v>453</v>
      </c>
      <c r="H13" s="160">
        <f>456+300</f>
        <v>756</v>
      </c>
      <c r="I13" s="161">
        <v>755</v>
      </c>
      <c r="J13" s="162">
        <v>555</v>
      </c>
      <c r="K13" s="162">
        <v>2845.6</v>
      </c>
      <c r="L13" s="157" t="e">
        <f>K13/#REF!*100</f>
        <v>#REF!</v>
      </c>
      <c r="M13" s="157">
        <f t="shared" si="1"/>
        <v>376.9006622516556</v>
      </c>
      <c r="N13" s="159"/>
      <c r="O13" s="159"/>
      <c r="P13" s="161">
        <f t="shared" si="2"/>
        <v>512.7207207207207</v>
      </c>
      <c r="Q13" s="157">
        <f t="shared" si="3"/>
        <v>144.88798370672097</v>
      </c>
      <c r="R13" s="162">
        <f t="shared" si="4"/>
        <v>100.94359702021994</v>
      </c>
      <c r="S13" s="162">
        <f t="shared" si="5"/>
        <v>156.43760307861461</v>
      </c>
    </row>
    <row r="14" spans="1:19" ht="24">
      <c r="A14" s="112" t="s">
        <v>230</v>
      </c>
      <c r="B14" s="112"/>
      <c r="C14" s="251" t="s">
        <v>231</v>
      </c>
      <c r="D14" s="160"/>
      <c r="E14" s="160">
        <f t="shared" si="6"/>
        <v>0</v>
      </c>
      <c r="F14" s="156">
        <f t="shared" si="7"/>
        <v>0</v>
      </c>
      <c r="G14" s="160"/>
      <c r="H14" s="160"/>
      <c r="I14" s="161"/>
      <c r="J14" s="162"/>
      <c r="K14" s="162"/>
      <c r="L14" s="157" t="e">
        <f>K14/#REF!*100</f>
        <v>#REF!</v>
      </c>
      <c r="M14" s="157"/>
      <c r="N14" s="159"/>
      <c r="O14" s="159"/>
      <c r="P14" s="161" t="e">
        <f t="shared" si="2"/>
        <v>#DIV/0!</v>
      </c>
      <c r="Q14" s="157"/>
      <c r="R14" s="162"/>
      <c r="S14" s="162" t="e">
        <f t="shared" si="5"/>
        <v>#DIV/0!</v>
      </c>
    </row>
    <row r="15" spans="1:19" ht="24">
      <c r="A15" s="113" t="s">
        <v>232</v>
      </c>
      <c r="B15" s="113"/>
      <c r="C15" s="251" t="s">
        <v>233</v>
      </c>
      <c r="D15" s="160">
        <v>71746</v>
      </c>
      <c r="E15" s="160">
        <v>89178.1</v>
      </c>
      <c r="F15" s="156">
        <f t="shared" si="7"/>
        <v>52646.899999999994</v>
      </c>
      <c r="G15" s="160">
        <v>5930.3</v>
      </c>
      <c r="H15" s="160">
        <v>22107.1</v>
      </c>
      <c r="I15" s="161">
        <v>24609.5</v>
      </c>
      <c r="J15" s="162">
        <v>29552.7</v>
      </c>
      <c r="K15" s="162">
        <v>82131</v>
      </c>
      <c r="L15" s="157" t="e">
        <f>K15/#REF!*100</f>
        <v>#REF!</v>
      </c>
      <c r="M15" s="157">
        <f t="shared" si="1"/>
        <v>333.736971494748</v>
      </c>
      <c r="N15" s="159"/>
      <c r="O15" s="159"/>
      <c r="P15" s="161">
        <f t="shared" si="2"/>
        <v>277.9136931650915</v>
      </c>
      <c r="Q15" s="157">
        <f t="shared" si="3"/>
        <v>156.0034873848223</v>
      </c>
      <c r="R15" s="162">
        <f t="shared" si="4"/>
        <v>92.09772354423339</v>
      </c>
      <c r="S15" s="162">
        <f t="shared" si="5"/>
        <v>114.47467454631617</v>
      </c>
    </row>
    <row r="16" spans="1:19" ht="12.75">
      <c r="A16" s="114" t="s">
        <v>234</v>
      </c>
      <c r="B16" s="114"/>
      <c r="C16" s="251" t="s">
        <v>235</v>
      </c>
      <c r="D16" s="160">
        <v>9202.4</v>
      </c>
      <c r="E16" s="160">
        <v>20451.9</v>
      </c>
      <c r="F16" s="156">
        <f t="shared" si="7"/>
        <v>17300.5</v>
      </c>
      <c r="G16" s="160">
        <f>2300.6</f>
        <v>2300.6</v>
      </c>
      <c r="H16" s="160">
        <f>2300.6+8396.9</f>
        <v>10697.5</v>
      </c>
      <c r="I16" s="161">
        <v>4302.4</v>
      </c>
      <c r="J16" s="162">
        <v>3732.7</v>
      </c>
      <c r="K16" s="162">
        <v>23120.1</v>
      </c>
      <c r="L16" s="157" t="e">
        <f>K16/#REF!*100</f>
        <v>#REF!</v>
      </c>
      <c r="M16" s="157">
        <f t="shared" si="1"/>
        <v>537.376812941614</v>
      </c>
      <c r="N16" s="159"/>
      <c r="O16" s="159"/>
      <c r="P16" s="161">
        <f t="shared" si="2"/>
        <v>619.3934685348407</v>
      </c>
      <c r="Q16" s="157">
        <f t="shared" si="3"/>
        <v>133.63833415219213</v>
      </c>
      <c r="R16" s="162">
        <f t="shared" si="4"/>
        <v>113.04622064453669</v>
      </c>
      <c r="S16" s="162">
        <f t="shared" si="5"/>
        <v>251.23989394071114</v>
      </c>
    </row>
    <row r="17" spans="1:19" ht="24">
      <c r="A17" s="115" t="s">
        <v>236</v>
      </c>
      <c r="B17" s="115"/>
      <c r="C17" s="251" t="s">
        <v>237</v>
      </c>
      <c r="D17" s="160">
        <v>6751</v>
      </c>
      <c r="E17" s="160">
        <f t="shared" si="6"/>
        <v>8251</v>
      </c>
      <c r="F17" s="156">
        <f t="shared" si="7"/>
        <v>5908.5</v>
      </c>
      <c r="G17" s="160">
        <v>1619.5</v>
      </c>
      <c r="H17" s="160">
        <v>1669.5</v>
      </c>
      <c r="I17" s="161">
        <v>2619.5</v>
      </c>
      <c r="J17" s="162">
        <v>2342.5</v>
      </c>
      <c r="K17" s="162">
        <v>7435.4</v>
      </c>
      <c r="L17" s="157" t="e">
        <f>K17/#REF!*100</f>
        <v>#REF!</v>
      </c>
      <c r="M17" s="157">
        <f t="shared" si="1"/>
        <v>283.8480626073678</v>
      </c>
      <c r="N17" s="159"/>
      <c r="O17" s="159"/>
      <c r="P17" s="161">
        <f t="shared" si="2"/>
        <v>317.41302027748134</v>
      </c>
      <c r="Q17" s="157">
        <f t="shared" si="3"/>
        <v>125.84243039688585</v>
      </c>
      <c r="R17" s="162">
        <f t="shared" si="4"/>
        <v>90.11513755908375</v>
      </c>
      <c r="S17" s="162">
        <f t="shared" si="5"/>
        <v>110.13775736927863</v>
      </c>
    </row>
    <row r="18" spans="1:19" ht="24">
      <c r="A18" s="115" t="s">
        <v>238</v>
      </c>
      <c r="B18" s="115"/>
      <c r="C18" s="251" t="s">
        <v>239</v>
      </c>
      <c r="D18" s="160">
        <v>15360</v>
      </c>
      <c r="E18" s="160">
        <v>22480</v>
      </c>
      <c r="F18" s="156">
        <f t="shared" si="7"/>
        <v>13463</v>
      </c>
      <c r="G18" s="160">
        <v>2264.1</v>
      </c>
      <c r="H18" s="160">
        <v>4023.7</v>
      </c>
      <c r="I18" s="161">
        <v>7175.2</v>
      </c>
      <c r="J18" s="162">
        <v>5773</v>
      </c>
      <c r="K18" s="162">
        <v>20044.5</v>
      </c>
      <c r="L18" s="157" t="e">
        <f>K18/#REF!*100</f>
        <v>#REF!</v>
      </c>
      <c r="M18" s="157">
        <f t="shared" si="1"/>
        <v>279.3580666740997</v>
      </c>
      <c r="N18" s="159"/>
      <c r="O18" s="159"/>
      <c r="P18" s="161">
        <f t="shared" si="2"/>
        <v>347.21115537848607</v>
      </c>
      <c r="Q18" s="157">
        <f t="shared" si="3"/>
        <v>148.88583525217263</v>
      </c>
      <c r="R18" s="162">
        <f t="shared" si="4"/>
        <v>89.16592526690391</v>
      </c>
      <c r="S18" s="162">
        <f t="shared" si="5"/>
        <v>130.498046875</v>
      </c>
    </row>
    <row r="19" spans="1:19" ht="12.75">
      <c r="A19" s="115" t="s">
        <v>240</v>
      </c>
      <c r="B19" s="115"/>
      <c r="C19" s="251" t="s">
        <v>241</v>
      </c>
      <c r="D19" s="160">
        <v>7</v>
      </c>
      <c r="E19" s="160">
        <f t="shared" si="6"/>
        <v>3</v>
      </c>
      <c r="F19" s="156">
        <f t="shared" si="7"/>
        <v>2</v>
      </c>
      <c r="G19" s="160">
        <v>2</v>
      </c>
      <c r="H19" s="160"/>
      <c r="I19" s="161"/>
      <c r="J19" s="162">
        <v>1</v>
      </c>
      <c r="K19" s="162">
        <v>2.2</v>
      </c>
      <c r="L19" s="157" t="e">
        <f>K19/#REF!*100</f>
        <v>#REF!</v>
      </c>
      <c r="M19" s="157" t="e">
        <f t="shared" si="1"/>
        <v>#DIV/0!</v>
      </c>
      <c r="N19" s="159"/>
      <c r="O19" s="159"/>
      <c r="P19" s="161">
        <f t="shared" si="2"/>
        <v>220.00000000000003</v>
      </c>
      <c r="Q19" s="157">
        <f t="shared" si="3"/>
        <v>110.00000000000001</v>
      </c>
      <c r="R19" s="162">
        <f t="shared" si="4"/>
        <v>73.33333333333334</v>
      </c>
      <c r="S19" s="162">
        <f t="shared" si="5"/>
        <v>31.428571428571434</v>
      </c>
    </row>
    <row r="20" spans="1:19" ht="12.75">
      <c r="A20" s="110" t="s">
        <v>242</v>
      </c>
      <c r="B20" s="110"/>
      <c r="C20" s="251" t="s">
        <v>243</v>
      </c>
      <c r="D20" s="160">
        <v>1135</v>
      </c>
      <c r="E20" s="160">
        <v>5280</v>
      </c>
      <c r="F20" s="156">
        <f t="shared" si="7"/>
        <v>3412</v>
      </c>
      <c r="G20" s="160">
        <v>638.4</v>
      </c>
      <c r="H20" s="160">
        <v>665.9</v>
      </c>
      <c r="I20" s="161">
        <v>2107.7</v>
      </c>
      <c r="J20" s="162">
        <v>1548</v>
      </c>
      <c r="K20" s="162">
        <v>4231.6</v>
      </c>
      <c r="L20" s="157" t="e">
        <f>K20/#REF!*100</f>
        <v>#REF!</v>
      </c>
      <c r="M20" s="157">
        <f t="shared" si="1"/>
        <v>200.76861033353896</v>
      </c>
      <c r="N20" s="159"/>
      <c r="O20" s="159"/>
      <c r="P20" s="161">
        <f t="shared" si="2"/>
        <v>273.359173126615</v>
      </c>
      <c r="Q20" s="157">
        <f t="shared" si="3"/>
        <v>124.02110199296602</v>
      </c>
      <c r="R20" s="162">
        <f t="shared" si="4"/>
        <v>80.1439393939394</v>
      </c>
      <c r="S20" s="162">
        <f t="shared" si="5"/>
        <v>372.8281938325992</v>
      </c>
    </row>
    <row r="21" spans="1:19" ht="12.75">
      <c r="A21" s="116" t="s">
        <v>244</v>
      </c>
      <c r="B21" s="117"/>
      <c r="C21" s="118" t="s">
        <v>245</v>
      </c>
      <c r="D21" s="160"/>
      <c r="E21" s="160">
        <f t="shared" si="6"/>
        <v>0</v>
      </c>
      <c r="F21" s="156">
        <f t="shared" si="7"/>
        <v>0</v>
      </c>
      <c r="G21" s="160"/>
      <c r="H21" s="160"/>
      <c r="I21" s="161"/>
      <c r="J21" s="162"/>
      <c r="K21" s="162">
        <v>256.9</v>
      </c>
      <c r="L21" s="157"/>
      <c r="M21" s="157"/>
      <c r="N21" s="159"/>
      <c r="O21" s="159"/>
      <c r="P21" s="161"/>
      <c r="Q21" s="157"/>
      <c r="R21" s="162"/>
      <c r="S21" s="162"/>
    </row>
    <row r="22" spans="1:19" ht="12.75">
      <c r="A22" s="108" t="s">
        <v>246</v>
      </c>
      <c r="B22" s="108"/>
      <c r="C22" s="252" t="s">
        <v>247</v>
      </c>
      <c r="D22" s="163">
        <f aca="true" t="shared" si="8" ref="D22:K22">D23+D24+D26+D25</f>
        <v>2684963.7</v>
      </c>
      <c r="E22" s="163">
        <f t="shared" si="8"/>
        <v>3370746.4</v>
      </c>
      <c r="F22" s="163">
        <f>F23+F24+F26+F25</f>
        <v>2546545.5</v>
      </c>
      <c r="G22" s="163">
        <f t="shared" si="8"/>
        <v>669271</v>
      </c>
      <c r="H22" s="163">
        <f t="shared" si="8"/>
        <v>824711.2999999999</v>
      </c>
      <c r="I22" s="163">
        <f t="shared" si="8"/>
        <v>1052563.2</v>
      </c>
      <c r="J22" s="163">
        <f t="shared" si="8"/>
        <v>817918.9</v>
      </c>
      <c r="K22" s="163">
        <f t="shared" si="8"/>
        <v>2807382.7</v>
      </c>
      <c r="L22" s="128" t="e">
        <f>K22/#REF!*100</f>
        <v>#REF!</v>
      </c>
      <c r="M22" s="128">
        <f aca="true" t="shared" si="9" ref="M22:M27">K22/I22*100</f>
        <v>266.7186825456182</v>
      </c>
      <c r="N22" s="159"/>
      <c r="O22" s="159"/>
      <c r="P22" s="154">
        <f t="shared" si="2"/>
        <v>343.2348488340348</v>
      </c>
      <c r="Q22" s="128">
        <f t="shared" si="3"/>
        <v>110.24278576605052</v>
      </c>
      <c r="R22" s="129">
        <f t="shared" si="4"/>
        <v>83.28667798918364</v>
      </c>
      <c r="S22" s="129">
        <f t="shared" si="5"/>
        <v>104.5594284943219</v>
      </c>
    </row>
    <row r="23" spans="1:19" ht="24">
      <c r="A23" s="120" t="s">
        <v>248</v>
      </c>
      <c r="B23" s="112"/>
      <c r="C23" s="253" t="s">
        <v>249</v>
      </c>
      <c r="D23" s="254">
        <v>2664963.7</v>
      </c>
      <c r="E23" s="160">
        <v>3334385</v>
      </c>
      <c r="F23" s="156">
        <f>G23+H23+I23</f>
        <v>2520184.1</v>
      </c>
      <c r="G23" s="160">
        <v>668686.1</v>
      </c>
      <c r="H23" s="160">
        <v>803924.1</v>
      </c>
      <c r="I23" s="162">
        <f>1047354.1+219.8</f>
        <v>1047573.9</v>
      </c>
      <c r="J23" s="162">
        <v>807918.9</v>
      </c>
      <c r="K23" s="162">
        <v>2764288.1</v>
      </c>
      <c r="L23" s="157" t="e">
        <f>K23/#REF!*100</f>
        <v>#REF!</v>
      </c>
      <c r="M23" s="157">
        <f t="shared" si="9"/>
        <v>263.8752359141441</v>
      </c>
      <c r="N23" s="159"/>
      <c r="O23" s="159"/>
      <c r="P23" s="161">
        <f t="shared" si="2"/>
        <v>342.1492058175641</v>
      </c>
      <c r="Q23" s="157">
        <f t="shared" si="3"/>
        <v>109.68595905354692</v>
      </c>
      <c r="R23" s="162">
        <f t="shared" si="4"/>
        <v>82.90248726526781</v>
      </c>
      <c r="S23" s="162">
        <f t="shared" si="5"/>
        <v>103.72704513761293</v>
      </c>
    </row>
    <row r="24" spans="1:19" ht="12.75">
      <c r="A24" s="120" t="s">
        <v>250</v>
      </c>
      <c r="B24" s="120"/>
      <c r="C24" s="255" t="s">
        <v>251</v>
      </c>
      <c r="D24" s="164">
        <v>20000</v>
      </c>
      <c r="E24" s="160">
        <v>52000</v>
      </c>
      <c r="F24" s="156">
        <f>G24+H24+I24</f>
        <v>42000</v>
      </c>
      <c r="G24" s="164">
        <v>8800</v>
      </c>
      <c r="H24" s="164">
        <v>22600</v>
      </c>
      <c r="I24" s="162">
        <v>10600</v>
      </c>
      <c r="J24" s="162">
        <v>10000</v>
      </c>
      <c r="K24" s="162">
        <v>60165.7</v>
      </c>
      <c r="L24" s="157" t="e">
        <f>K24/#REF!*100</f>
        <v>#REF!</v>
      </c>
      <c r="M24" s="157">
        <f t="shared" si="9"/>
        <v>567.6009433962264</v>
      </c>
      <c r="N24" s="159"/>
      <c r="O24" s="159"/>
      <c r="P24" s="161">
        <f t="shared" si="2"/>
        <v>601.657</v>
      </c>
      <c r="Q24" s="157">
        <f t="shared" si="3"/>
        <v>143.25166666666667</v>
      </c>
      <c r="R24" s="162">
        <f t="shared" si="4"/>
        <v>115.70326923076924</v>
      </c>
      <c r="S24" s="162">
        <f t="shared" si="5"/>
        <v>300.8285</v>
      </c>
    </row>
    <row r="25" spans="1:19" ht="70.5" customHeight="1">
      <c r="A25" s="120" t="s">
        <v>252</v>
      </c>
      <c r="B25" s="123" t="s">
        <v>253</v>
      </c>
      <c r="C25" s="118" t="s">
        <v>253</v>
      </c>
      <c r="D25" s="160"/>
      <c r="E25" s="160">
        <v>94</v>
      </c>
      <c r="F25" s="156">
        <f>G25+H25+I25</f>
        <v>94</v>
      </c>
      <c r="G25" s="160"/>
      <c r="H25" s="160"/>
      <c r="I25" s="162">
        <v>94</v>
      </c>
      <c r="J25" s="162"/>
      <c r="K25" s="162">
        <v>94</v>
      </c>
      <c r="L25" s="157" t="e">
        <f>K25/#REF!*100</f>
        <v>#REF!</v>
      </c>
      <c r="M25" s="157"/>
      <c r="N25" s="159"/>
      <c r="O25" s="159"/>
      <c r="P25" s="161" t="e">
        <f t="shared" si="2"/>
        <v>#DIV/0!</v>
      </c>
      <c r="Q25" s="157">
        <f>K25*100/F25</f>
        <v>100</v>
      </c>
      <c r="R25" s="162">
        <f>K25*100/E25</f>
        <v>100</v>
      </c>
      <c r="S25" s="162"/>
    </row>
    <row r="26" spans="1:19" ht="36">
      <c r="A26" s="120" t="s">
        <v>254</v>
      </c>
      <c r="B26" s="124"/>
      <c r="C26" s="125" t="s">
        <v>255</v>
      </c>
      <c r="D26" s="165"/>
      <c r="E26" s="160">
        <v>-15732.6</v>
      </c>
      <c r="F26" s="156">
        <f>G26+H26+I26</f>
        <v>-15732.599999999999</v>
      </c>
      <c r="G26" s="165">
        <v>-8215.1</v>
      </c>
      <c r="H26" s="165">
        <v>-1812.8</v>
      </c>
      <c r="I26" s="162">
        <f>-5610.7-94</f>
        <v>-5704.7</v>
      </c>
      <c r="J26" s="162"/>
      <c r="K26" s="162">
        <v>-17165.1</v>
      </c>
      <c r="L26" s="157" t="e">
        <f>K26/#REF!*100</f>
        <v>#REF!</v>
      </c>
      <c r="M26" s="157"/>
      <c r="N26" s="159"/>
      <c r="O26" s="159"/>
      <c r="P26" s="161" t="e">
        <f t="shared" si="2"/>
        <v>#DIV/0!</v>
      </c>
      <c r="Q26" s="157">
        <f>K26*100/F26</f>
        <v>109.10529728080546</v>
      </c>
      <c r="R26" s="162">
        <f>K26*100/E26</f>
        <v>109.10529728080544</v>
      </c>
      <c r="S26" s="162"/>
    </row>
    <row r="27" spans="1:19" ht="12.75">
      <c r="A27" s="113"/>
      <c r="B27" s="133"/>
      <c r="C27" s="134" t="s">
        <v>256</v>
      </c>
      <c r="D27" s="170">
        <f aca="true" t="shared" si="10" ref="D27:K27">D22+D8</f>
        <v>3334913.6</v>
      </c>
      <c r="E27" s="170">
        <f t="shared" si="10"/>
        <v>4074922.9</v>
      </c>
      <c r="F27" s="170">
        <f t="shared" si="10"/>
        <v>3045066.8</v>
      </c>
      <c r="G27" s="170">
        <f t="shared" si="10"/>
        <v>810291.8</v>
      </c>
      <c r="H27" s="170">
        <f t="shared" si="10"/>
        <v>1012065.3999999999</v>
      </c>
      <c r="I27" s="170">
        <f t="shared" si="10"/>
        <v>1222709.6</v>
      </c>
      <c r="J27" s="170">
        <f t="shared" si="10"/>
        <v>1012152</v>
      </c>
      <c r="K27" s="170">
        <f t="shared" si="10"/>
        <v>3412847.9000000004</v>
      </c>
      <c r="L27" s="256" t="e">
        <f>K27/#REF!*100</f>
        <v>#REF!</v>
      </c>
      <c r="M27" s="256">
        <f t="shared" si="9"/>
        <v>279.12170641336263</v>
      </c>
      <c r="N27" s="159"/>
      <c r="O27" s="166" t="e">
        <f>J27+#REF!+#REF!</f>
        <v>#REF!</v>
      </c>
      <c r="P27" s="257">
        <f t="shared" si="2"/>
        <v>337.1872900512967</v>
      </c>
      <c r="Q27" s="256">
        <f t="shared" si="3"/>
        <v>112.0779320834604</v>
      </c>
      <c r="R27" s="170">
        <f t="shared" si="4"/>
        <v>83.75245332862619</v>
      </c>
      <c r="S27" s="170">
        <f t="shared" si="5"/>
        <v>102.33692111243903</v>
      </c>
    </row>
    <row r="28" spans="1:19" ht="12.75">
      <c r="A28" s="258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60"/>
      <c r="O28" s="260"/>
      <c r="P28" s="261"/>
      <c r="Q28" s="262"/>
      <c r="R28" s="263"/>
      <c r="S28" s="264"/>
    </row>
    <row r="29" spans="1:19" ht="12.75">
      <c r="A29" s="208" t="s">
        <v>257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10"/>
    </row>
    <row r="30" spans="1:19" ht="12.75">
      <c r="A30" s="108" t="s">
        <v>218</v>
      </c>
      <c r="B30" s="108"/>
      <c r="C30" s="109" t="s">
        <v>219</v>
      </c>
      <c r="D30" s="128">
        <f aca="true" t="shared" si="11" ref="D30:J30">D31+D32+D34+D36+D33+D35+D38</f>
        <v>16146.5</v>
      </c>
      <c r="E30" s="128">
        <f t="shared" si="11"/>
        <v>16146.5</v>
      </c>
      <c r="F30" s="128">
        <f>F31+F32+F34+F36+F33+F35+F38</f>
        <v>12109.8</v>
      </c>
      <c r="G30" s="128">
        <f t="shared" si="11"/>
        <v>4036.6</v>
      </c>
      <c r="H30" s="128">
        <f t="shared" si="11"/>
        <v>4036.6</v>
      </c>
      <c r="I30" s="128">
        <f t="shared" si="11"/>
        <v>4036.6</v>
      </c>
      <c r="J30" s="128">
        <f t="shared" si="11"/>
        <v>4036.7</v>
      </c>
      <c r="K30" s="128">
        <f>K31+K32+K34+K36+K33+K35+K38+K37</f>
        <v>12280.900000000001</v>
      </c>
      <c r="L30" s="128" t="e">
        <f>K30/#REF!*100</f>
        <v>#REF!</v>
      </c>
      <c r="M30" s="128">
        <f aca="true" t="shared" si="12" ref="M30:M37">K30/I30*100</f>
        <v>304.2387157508795</v>
      </c>
      <c r="N30" s="159"/>
      <c r="O30" s="159"/>
      <c r="P30" s="128">
        <f t="shared" si="2"/>
        <v>304.23117893328714</v>
      </c>
      <c r="Q30" s="128">
        <f t="shared" si="3"/>
        <v>101.41290525029318</v>
      </c>
      <c r="R30" s="265">
        <f t="shared" si="4"/>
        <v>76.05920787786829</v>
      </c>
      <c r="S30" s="129">
        <f t="shared" si="5"/>
        <v>76.05920787786829</v>
      </c>
    </row>
    <row r="31" spans="1:19" ht="12.75">
      <c r="A31" s="112" t="s">
        <v>220</v>
      </c>
      <c r="B31" s="112"/>
      <c r="C31" s="130" t="s">
        <v>221</v>
      </c>
      <c r="D31" s="171">
        <v>14100</v>
      </c>
      <c r="E31" s="160">
        <v>13855</v>
      </c>
      <c r="F31" s="156">
        <f>G31+H31+I31</f>
        <v>10575</v>
      </c>
      <c r="G31" s="156">
        <v>3525</v>
      </c>
      <c r="H31" s="156">
        <v>3525</v>
      </c>
      <c r="I31" s="161">
        <v>3525</v>
      </c>
      <c r="J31" s="162">
        <v>3525</v>
      </c>
      <c r="K31" s="158">
        <v>9850.6</v>
      </c>
      <c r="L31" s="157" t="e">
        <f>K31/#REF!*100</f>
        <v>#REF!</v>
      </c>
      <c r="M31" s="157">
        <f t="shared" si="12"/>
        <v>279.4496453900709</v>
      </c>
      <c r="N31" s="159"/>
      <c r="O31" s="159"/>
      <c r="P31" s="161">
        <f t="shared" si="2"/>
        <v>279.44964539007094</v>
      </c>
      <c r="Q31" s="157">
        <f>K31*100/F31</f>
        <v>93.14988179669031</v>
      </c>
      <c r="R31" s="162">
        <f t="shared" si="4"/>
        <v>71.09779862865392</v>
      </c>
      <c r="S31" s="162">
        <f t="shared" si="5"/>
        <v>69.86241134751774</v>
      </c>
    </row>
    <row r="32" spans="1:19" ht="12.75">
      <c r="A32" s="112" t="s">
        <v>226</v>
      </c>
      <c r="B32" s="112"/>
      <c r="C32" s="111" t="s">
        <v>227</v>
      </c>
      <c r="D32" s="168">
        <v>290</v>
      </c>
      <c r="E32" s="160">
        <v>440</v>
      </c>
      <c r="F32" s="156">
        <f aca="true" t="shared" si="13" ref="F32:F38">G32+H32+I32</f>
        <v>217.5</v>
      </c>
      <c r="G32" s="160">
        <v>72.5</v>
      </c>
      <c r="H32" s="160">
        <v>72.5</v>
      </c>
      <c r="I32" s="161">
        <v>72.5</v>
      </c>
      <c r="J32" s="162">
        <v>72.5</v>
      </c>
      <c r="K32" s="162">
        <v>470.4</v>
      </c>
      <c r="L32" s="157" t="e">
        <f>K32/#REF!*100</f>
        <v>#REF!</v>
      </c>
      <c r="M32" s="157">
        <f t="shared" si="12"/>
        <v>648.8275862068965</v>
      </c>
      <c r="N32" s="159"/>
      <c r="O32" s="159"/>
      <c r="P32" s="161">
        <f t="shared" si="2"/>
        <v>648.8275862068965</v>
      </c>
      <c r="Q32" s="157">
        <f t="shared" si="3"/>
        <v>216.27586206896552</v>
      </c>
      <c r="R32" s="162">
        <f t="shared" si="4"/>
        <v>106.9090909090909</v>
      </c>
      <c r="S32" s="162">
        <f t="shared" si="5"/>
        <v>162.20689655172413</v>
      </c>
    </row>
    <row r="33" spans="1:19" ht="12.75">
      <c r="A33" s="112" t="s">
        <v>228</v>
      </c>
      <c r="B33" s="112"/>
      <c r="C33" s="111" t="s">
        <v>229</v>
      </c>
      <c r="D33" s="168">
        <v>24</v>
      </c>
      <c r="E33" s="160">
        <f>G33+H33+I33+J33</f>
        <v>24</v>
      </c>
      <c r="F33" s="156">
        <f t="shared" si="13"/>
        <v>18</v>
      </c>
      <c r="G33" s="160">
        <v>6</v>
      </c>
      <c r="H33" s="160">
        <v>6</v>
      </c>
      <c r="I33" s="161">
        <v>6</v>
      </c>
      <c r="J33" s="162">
        <v>6</v>
      </c>
      <c r="K33" s="162">
        <v>24.7</v>
      </c>
      <c r="L33" s="157" t="e">
        <f>K33/#REF!*100</f>
        <v>#REF!</v>
      </c>
      <c r="M33" s="157">
        <f t="shared" si="12"/>
        <v>411.66666666666663</v>
      </c>
      <c r="N33" s="159"/>
      <c r="O33" s="159"/>
      <c r="P33" s="161">
        <f t="shared" si="2"/>
        <v>411.6666666666667</v>
      </c>
      <c r="Q33" s="157">
        <f t="shared" si="3"/>
        <v>137.22222222222223</v>
      </c>
      <c r="R33" s="162">
        <f t="shared" si="4"/>
        <v>102.91666666666667</v>
      </c>
      <c r="S33" s="162">
        <f t="shared" si="5"/>
        <v>102.91666666666667</v>
      </c>
    </row>
    <row r="34" spans="1:19" ht="24">
      <c r="A34" s="113" t="s">
        <v>232</v>
      </c>
      <c r="B34" s="113"/>
      <c r="C34" s="111" t="s">
        <v>233</v>
      </c>
      <c r="D34" s="168">
        <v>1670</v>
      </c>
      <c r="E34" s="160">
        <v>1690</v>
      </c>
      <c r="F34" s="156">
        <f t="shared" si="13"/>
        <v>1252.5</v>
      </c>
      <c r="G34" s="160">
        <v>417.5</v>
      </c>
      <c r="H34" s="160">
        <v>417.5</v>
      </c>
      <c r="I34" s="161">
        <v>417.5</v>
      </c>
      <c r="J34" s="162">
        <v>417.5</v>
      </c>
      <c r="K34" s="162">
        <v>1669.6</v>
      </c>
      <c r="L34" s="157" t="e">
        <f>K34/#REF!*100</f>
        <v>#REF!</v>
      </c>
      <c r="M34" s="157">
        <f t="shared" si="12"/>
        <v>399.90419161676647</v>
      </c>
      <c r="N34" s="159"/>
      <c r="O34" s="159"/>
      <c r="P34" s="161">
        <f t="shared" si="2"/>
        <v>399.90419161676647</v>
      </c>
      <c r="Q34" s="157">
        <f t="shared" si="3"/>
        <v>133.3013972055888</v>
      </c>
      <c r="R34" s="162">
        <f t="shared" si="4"/>
        <v>98.79289940828403</v>
      </c>
      <c r="S34" s="162">
        <f t="shared" si="5"/>
        <v>99.97604790419162</v>
      </c>
    </row>
    <row r="35" spans="1:19" ht="24">
      <c r="A35" s="115" t="s">
        <v>236</v>
      </c>
      <c r="B35" s="115"/>
      <c r="C35" s="111" t="s">
        <v>237</v>
      </c>
      <c r="D35" s="168"/>
      <c r="E35" s="160">
        <f>G35+H35+I35+J35</f>
        <v>0</v>
      </c>
      <c r="F35" s="156">
        <f t="shared" si="13"/>
        <v>0</v>
      </c>
      <c r="G35" s="160"/>
      <c r="H35" s="160"/>
      <c r="I35" s="161"/>
      <c r="J35" s="162"/>
      <c r="K35" s="162"/>
      <c r="L35" s="157"/>
      <c r="M35" s="157"/>
      <c r="N35" s="159"/>
      <c r="O35" s="159"/>
      <c r="P35" s="161"/>
      <c r="Q35" s="157" t="e">
        <f t="shared" si="3"/>
        <v>#DIV/0!</v>
      </c>
      <c r="R35" s="162" t="e">
        <f t="shared" si="4"/>
        <v>#DIV/0!</v>
      </c>
      <c r="S35" s="162" t="e">
        <f t="shared" si="5"/>
        <v>#DIV/0!</v>
      </c>
    </row>
    <row r="36" spans="1:19" ht="24">
      <c r="A36" s="114" t="s">
        <v>238</v>
      </c>
      <c r="B36" s="114"/>
      <c r="C36" s="111" t="s">
        <v>239</v>
      </c>
      <c r="D36" s="168">
        <v>62.5</v>
      </c>
      <c r="E36" s="160">
        <v>137.5</v>
      </c>
      <c r="F36" s="156">
        <f t="shared" si="13"/>
        <v>46.8</v>
      </c>
      <c r="G36" s="160">
        <v>15.6</v>
      </c>
      <c r="H36" s="160">
        <v>15.6</v>
      </c>
      <c r="I36" s="161">
        <v>15.6</v>
      </c>
      <c r="J36" s="162">
        <v>15.7</v>
      </c>
      <c r="K36" s="162">
        <v>135.2</v>
      </c>
      <c r="L36" s="157" t="e">
        <f>K36/#REF!*100</f>
        <v>#REF!</v>
      </c>
      <c r="M36" s="157">
        <f t="shared" si="12"/>
        <v>866.6666666666666</v>
      </c>
      <c r="N36" s="159"/>
      <c r="O36" s="159"/>
      <c r="P36" s="161">
        <f t="shared" si="2"/>
        <v>861.1464968152866</v>
      </c>
      <c r="Q36" s="157">
        <f t="shared" si="3"/>
        <v>288.88888888888886</v>
      </c>
      <c r="R36" s="162">
        <f t="shared" si="4"/>
        <v>98.32727272727271</v>
      </c>
      <c r="S36" s="162">
        <f t="shared" si="5"/>
        <v>216.31999999999996</v>
      </c>
    </row>
    <row r="37" spans="1:19" ht="12.75">
      <c r="A37" s="110" t="s">
        <v>242</v>
      </c>
      <c r="B37" s="110"/>
      <c r="C37" s="111" t="s">
        <v>243</v>
      </c>
      <c r="D37" s="168"/>
      <c r="E37" s="160">
        <v>0</v>
      </c>
      <c r="F37" s="156">
        <f>G37+H37</f>
        <v>0</v>
      </c>
      <c r="G37" s="160">
        <v>0</v>
      </c>
      <c r="H37" s="160">
        <v>0</v>
      </c>
      <c r="I37" s="161">
        <v>0</v>
      </c>
      <c r="J37" s="162">
        <v>0</v>
      </c>
      <c r="K37" s="162">
        <v>26.6</v>
      </c>
      <c r="L37" s="157" t="e">
        <f>K37/#REF!*100</f>
        <v>#REF!</v>
      </c>
      <c r="M37" s="157" t="e">
        <f t="shared" si="12"/>
        <v>#DIV/0!</v>
      </c>
      <c r="N37" s="159"/>
      <c r="O37" s="159"/>
      <c r="P37" s="161" t="e">
        <f>K37*100/J37</f>
        <v>#DIV/0!</v>
      </c>
      <c r="Q37" s="157"/>
      <c r="R37" s="162"/>
      <c r="S37" s="162"/>
    </row>
    <row r="38" spans="1:19" ht="12.75">
      <c r="A38" s="116" t="s">
        <v>244</v>
      </c>
      <c r="B38" s="117"/>
      <c r="C38" s="118" t="s">
        <v>245</v>
      </c>
      <c r="D38" s="175"/>
      <c r="E38" s="111"/>
      <c r="F38" s="156">
        <f t="shared" si="13"/>
        <v>0</v>
      </c>
      <c r="G38" s="160"/>
      <c r="H38" s="160"/>
      <c r="I38" s="161"/>
      <c r="J38" s="162"/>
      <c r="K38" s="162">
        <v>103.8</v>
      </c>
      <c r="L38" s="157"/>
      <c r="M38" s="157"/>
      <c r="N38" s="159"/>
      <c r="O38" s="159"/>
      <c r="P38" s="161" t="e">
        <f t="shared" si="2"/>
        <v>#DIV/0!</v>
      </c>
      <c r="Q38" s="128"/>
      <c r="R38" s="129"/>
      <c r="S38" s="162"/>
    </row>
    <row r="39" spans="1:19" ht="12.75">
      <c r="A39" s="108" t="s">
        <v>246</v>
      </c>
      <c r="B39" s="108"/>
      <c r="C39" s="119" t="s">
        <v>247</v>
      </c>
      <c r="D39" s="163">
        <f>D40+D41</f>
        <v>18810.1</v>
      </c>
      <c r="E39" s="163">
        <f>E40+E41</f>
        <v>17350.1</v>
      </c>
      <c r="F39" s="163">
        <f aca="true" t="shared" si="14" ref="F39:K39">F40+F41</f>
        <v>12647.5</v>
      </c>
      <c r="G39" s="163">
        <f t="shared" si="14"/>
        <v>4702.5</v>
      </c>
      <c r="H39" s="163">
        <f t="shared" si="14"/>
        <v>5205.7</v>
      </c>
      <c r="I39" s="163">
        <f t="shared" si="14"/>
        <v>2739.2999999999997</v>
      </c>
      <c r="J39" s="163">
        <f t="shared" si="14"/>
        <v>4702.6</v>
      </c>
      <c r="K39" s="163">
        <f t="shared" si="14"/>
        <v>14789.7</v>
      </c>
      <c r="L39" s="163" t="e">
        <f>L40</f>
        <v>#REF!</v>
      </c>
      <c r="M39" s="128">
        <f>K39/I39*100</f>
        <v>539.9080056948856</v>
      </c>
      <c r="N39" s="159"/>
      <c r="O39" s="159"/>
      <c r="P39" s="154">
        <f t="shared" si="2"/>
        <v>314.50048909114105</v>
      </c>
      <c r="Q39" s="128">
        <f t="shared" si="3"/>
        <v>116.93773473018383</v>
      </c>
      <c r="R39" s="129">
        <f t="shared" si="4"/>
        <v>85.2427363531046</v>
      </c>
      <c r="S39" s="129">
        <f t="shared" si="5"/>
        <v>78.62637625530965</v>
      </c>
    </row>
    <row r="40" spans="1:19" ht="24">
      <c r="A40" s="120" t="s">
        <v>248</v>
      </c>
      <c r="B40" s="112"/>
      <c r="C40" s="121" t="s">
        <v>249</v>
      </c>
      <c r="D40" s="168">
        <v>18810.1</v>
      </c>
      <c r="E40" s="160">
        <f>G40+H40+I40+J40</f>
        <v>17350.1</v>
      </c>
      <c r="F40" s="156">
        <f>G40+H40+I40</f>
        <v>12647.5</v>
      </c>
      <c r="G40" s="168">
        <v>4702.5</v>
      </c>
      <c r="H40" s="168">
        <f>4702.5+148.2+355</f>
        <v>5205.7</v>
      </c>
      <c r="I40" s="161">
        <f>4702.5+8.4+1707-3678.6</f>
        <v>2739.2999999999997</v>
      </c>
      <c r="J40" s="168">
        <v>4702.6</v>
      </c>
      <c r="K40" s="162">
        <v>14789.7</v>
      </c>
      <c r="L40" s="157" t="e">
        <f>K40/#REF!*100</f>
        <v>#REF!</v>
      </c>
      <c r="M40" s="157">
        <f>K40/I40*100</f>
        <v>539.9080056948856</v>
      </c>
      <c r="N40" s="159"/>
      <c r="O40" s="159"/>
      <c r="P40" s="161">
        <f t="shared" si="2"/>
        <v>314.50048909114105</v>
      </c>
      <c r="Q40" s="157">
        <f t="shared" si="3"/>
        <v>116.93773473018383</v>
      </c>
      <c r="R40" s="162">
        <f t="shared" si="4"/>
        <v>85.2427363531046</v>
      </c>
      <c r="S40" s="162">
        <f t="shared" si="5"/>
        <v>78.62637625530965</v>
      </c>
    </row>
    <row r="41" spans="1:19" ht="12.75">
      <c r="A41" s="120" t="s">
        <v>250</v>
      </c>
      <c r="B41" s="120"/>
      <c r="C41" s="122" t="s">
        <v>251</v>
      </c>
      <c r="D41" s="122"/>
      <c r="E41" s="160">
        <f>G41+H41+I41+J41</f>
        <v>0</v>
      </c>
      <c r="F41" s="156">
        <f>G41+H41</f>
        <v>0</v>
      </c>
      <c r="G41" s="168"/>
      <c r="H41" s="168"/>
      <c r="I41" s="161"/>
      <c r="J41" s="168"/>
      <c r="K41" s="162"/>
      <c r="L41" s="157"/>
      <c r="M41" s="157"/>
      <c r="N41" s="159"/>
      <c r="O41" s="159"/>
      <c r="P41" s="161"/>
      <c r="Q41" s="157"/>
      <c r="R41" s="162"/>
      <c r="S41" s="162" t="e">
        <f t="shared" si="5"/>
        <v>#DIV/0!</v>
      </c>
    </row>
    <row r="42" spans="1:19" ht="12.75">
      <c r="A42" s="113"/>
      <c r="B42" s="133"/>
      <c r="C42" s="134" t="s">
        <v>256</v>
      </c>
      <c r="D42" s="170">
        <f aca="true" t="shared" si="15" ref="D42:J42">D39+D30</f>
        <v>34956.6</v>
      </c>
      <c r="E42" s="170">
        <f t="shared" si="15"/>
        <v>33496.6</v>
      </c>
      <c r="F42" s="170">
        <f t="shared" si="15"/>
        <v>24757.3</v>
      </c>
      <c r="G42" s="170">
        <f t="shared" si="15"/>
        <v>8739.1</v>
      </c>
      <c r="H42" s="170">
        <f t="shared" si="15"/>
        <v>9242.3</v>
      </c>
      <c r="I42" s="170">
        <f t="shared" si="15"/>
        <v>6775.9</v>
      </c>
      <c r="J42" s="170">
        <f t="shared" si="15"/>
        <v>8739.3</v>
      </c>
      <c r="K42" s="170">
        <f>K39+K30</f>
        <v>27070.600000000002</v>
      </c>
      <c r="L42" s="256" t="e">
        <f>K42/#REF!*100</f>
        <v>#REF!</v>
      </c>
      <c r="M42" s="256">
        <f>K42/I42*100</f>
        <v>399.5129798255583</v>
      </c>
      <c r="N42" s="159"/>
      <c r="O42" s="166" t="e">
        <f>J42+#REF!+#REF!</f>
        <v>#REF!</v>
      </c>
      <c r="P42" s="257">
        <f t="shared" si="2"/>
        <v>309.7570743652238</v>
      </c>
      <c r="Q42" s="256">
        <f t="shared" si="3"/>
        <v>109.3439106849293</v>
      </c>
      <c r="R42" s="170">
        <f t="shared" si="4"/>
        <v>80.81596341121188</v>
      </c>
      <c r="S42" s="170">
        <f t="shared" si="5"/>
        <v>77.44059776980599</v>
      </c>
    </row>
    <row r="43" spans="1:19" ht="12.75">
      <c r="A43" s="266"/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</row>
    <row r="44" spans="1:19" ht="12.75">
      <c r="A44" s="217" t="s">
        <v>258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</row>
    <row r="45" spans="1:19" ht="12.75">
      <c r="A45" s="108" t="s">
        <v>218</v>
      </c>
      <c r="B45" s="108"/>
      <c r="C45" s="109" t="s">
        <v>219</v>
      </c>
      <c r="D45" s="265">
        <f aca="true" t="shared" si="16" ref="D45:K45">D46+D48+D50+D51+D52+D53+D49+D47</f>
        <v>16961.3</v>
      </c>
      <c r="E45" s="128">
        <f t="shared" si="16"/>
        <v>17658.3</v>
      </c>
      <c r="F45" s="128">
        <f t="shared" si="16"/>
        <v>13378.800000000001</v>
      </c>
      <c r="G45" s="128">
        <f t="shared" si="16"/>
        <v>4108.400000000001</v>
      </c>
      <c r="H45" s="128">
        <f t="shared" si="16"/>
        <v>4983.7</v>
      </c>
      <c r="I45" s="128">
        <f t="shared" si="16"/>
        <v>4286.7</v>
      </c>
      <c r="J45" s="128">
        <f t="shared" si="16"/>
        <v>4279.5</v>
      </c>
      <c r="K45" s="128">
        <f t="shared" si="16"/>
        <v>14013.300000000003</v>
      </c>
      <c r="L45" s="128" t="e">
        <f>K45/#REF!*100</f>
        <v>#REF!</v>
      </c>
      <c r="M45" s="128">
        <f>K45/I45*100</f>
        <v>326.901812583106</v>
      </c>
      <c r="N45" s="159"/>
      <c r="O45" s="159"/>
      <c r="P45" s="128">
        <f t="shared" si="2"/>
        <v>327.4518051174203</v>
      </c>
      <c r="Q45" s="128">
        <f t="shared" si="3"/>
        <v>104.74257780966904</v>
      </c>
      <c r="R45" s="265">
        <f t="shared" si="4"/>
        <v>79.35814885917672</v>
      </c>
      <c r="S45" s="129">
        <f t="shared" si="5"/>
        <v>82.61925677866675</v>
      </c>
    </row>
    <row r="46" spans="1:19" ht="12.75">
      <c r="A46" s="110" t="s">
        <v>220</v>
      </c>
      <c r="B46" s="112"/>
      <c r="C46" s="130" t="s">
        <v>221</v>
      </c>
      <c r="D46" s="156">
        <v>14175</v>
      </c>
      <c r="E46" s="160">
        <v>13824</v>
      </c>
      <c r="F46" s="156">
        <f>G46+H46+I46</f>
        <v>10592.6</v>
      </c>
      <c r="G46" s="160">
        <v>3412.4</v>
      </c>
      <c r="H46" s="160">
        <v>3590.1</v>
      </c>
      <c r="I46" s="161">
        <v>3590.1</v>
      </c>
      <c r="J46" s="162">
        <v>3582.4</v>
      </c>
      <c r="K46" s="158">
        <v>9823.1</v>
      </c>
      <c r="L46" s="157" t="e">
        <f>K46/#REF!*100</f>
        <v>#REF!</v>
      </c>
      <c r="M46" s="157">
        <f>K46/I46*100</f>
        <v>273.61633380685777</v>
      </c>
      <c r="N46" s="159"/>
      <c r="O46" s="159"/>
      <c r="P46" s="161">
        <f t="shared" si="2"/>
        <v>274.20444394819117</v>
      </c>
      <c r="Q46" s="157">
        <f t="shared" si="3"/>
        <v>92.73549459056322</v>
      </c>
      <c r="R46" s="162">
        <f t="shared" si="4"/>
        <v>71.05830439814815</v>
      </c>
      <c r="S46" s="162">
        <f t="shared" si="5"/>
        <v>69.29876543209876</v>
      </c>
    </row>
    <row r="47" spans="1:19" ht="12.75">
      <c r="A47" s="112" t="s">
        <v>224</v>
      </c>
      <c r="B47" s="112"/>
      <c r="C47" s="111" t="s">
        <v>225</v>
      </c>
      <c r="D47" s="160">
        <v>9.5</v>
      </c>
      <c r="E47" s="160">
        <v>20.5</v>
      </c>
      <c r="F47" s="156">
        <f aca="true" t="shared" si="17" ref="F47:F53">G47+H47+I47</f>
        <v>17.099999999999998</v>
      </c>
      <c r="G47" s="160">
        <v>2.3</v>
      </c>
      <c r="H47" s="160">
        <v>12.4</v>
      </c>
      <c r="I47" s="161">
        <v>2.4</v>
      </c>
      <c r="J47" s="162">
        <v>2.4</v>
      </c>
      <c r="K47" s="158">
        <v>19.6</v>
      </c>
      <c r="L47" s="157" t="e">
        <f>K47/#REF!*100</f>
        <v>#REF!</v>
      </c>
      <c r="M47" s="157">
        <f>K47/I47*100</f>
        <v>816.6666666666667</v>
      </c>
      <c r="N47" s="159"/>
      <c r="O47" s="159"/>
      <c r="P47" s="161">
        <f t="shared" si="2"/>
        <v>816.6666666666667</v>
      </c>
      <c r="Q47" s="157">
        <f t="shared" si="3"/>
        <v>114.6198830409357</v>
      </c>
      <c r="R47" s="162">
        <f t="shared" si="4"/>
        <v>95.60975609756099</v>
      </c>
      <c r="S47" s="162">
        <f t="shared" si="5"/>
        <v>206.31578947368425</v>
      </c>
    </row>
    <row r="48" spans="1:19" ht="12.75">
      <c r="A48" s="112" t="s">
        <v>226</v>
      </c>
      <c r="B48" s="112"/>
      <c r="C48" s="111" t="s">
        <v>227</v>
      </c>
      <c r="D48" s="160">
        <v>2034</v>
      </c>
      <c r="E48" s="160">
        <v>2124</v>
      </c>
      <c r="F48" s="156">
        <f t="shared" si="17"/>
        <v>1515</v>
      </c>
      <c r="G48" s="160">
        <v>508</v>
      </c>
      <c r="H48" s="160">
        <f>508.5-10</f>
        <v>498.5</v>
      </c>
      <c r="I48" s="161">
        <v>508.5</v>
      </c>
      <c r="J48" s="162">
        <v>509</v>
      </c>
      <c r="K48" s="162">
        <v>2898</v>
      </c>
      <c r="L48" s="157" t="e">
        <f>K48/#REF!*100</f>
        <v>#REF!</v>
      </c>
      <c r="M48" s="157">
        <f>K48/I48*100</f>
        <v>569.9115044247787</v>
      </c>
      <c r="N48" s="159"/>
      <c r="O48" s="159"/>
      <c r="P48" s="161">
        <f t="shared" si="2"/>
        <v>569.3516699410609</v>
      </c>
      <c r="Q48" s="157">
        <f t="shared" si="3"/>
        <v>191.2871287128713</v>
      </c>
      <c r="R48" s="162">
        <f t="shared" si="4"/>
        <v>136.4406779661017</v>
      </c>
      <c r="S48" s="162">
        <f t="shared" si="5"/>
        <v>142.47787610619469</v>
      </c>
    </row>
    <row r="49" spans="1:19" ht="12.75">
      <c r="A49" s="112" t="s">
        <v>228</v>
      </c>
      <c r="B49" s="112"/>
      <c r="C49" s="111" t="s">
        <v>229</v>
      </c>
      <c r="D49" s="160"/>
      <c r="E49" s="160">
        <f>G49+H49+I49+J49</f>
        <v>0</v>
      </c>
      <c r="F49" s="156">
        <f t="shared" si="17"/>
        <v>0</v>
      </c>
      <c r="G49" s="160"/>
      <c r="H49" s="160"/>
      <c r="I49" s="161"/>
      <c r="J49" s="162"/>
      <c r="K49" s="162"/>
      <c r="L49" s="157"/>
      <c r="M49" s="157"/>
      <c r="N49" s="159"/>
      <c r="O49" s="159"/>
      <c r="P49" s="161" t="e">
        <f t="shared" si="2"/>
        <v>#DIV/0!</v>
      </c>
      <c r="Q49" s="157" t="e">
        <f t="shared" si="3"/>
        <v>#DIV/0!</v>
      </c>
      <c r="R49" s="162" t="e">
        <f t="shared" si="4"/>
        <v>#DIV/0!</v>
      </c>
      <c r="S49" s="162" t="e">
        <f t="shared" si="5"/>
        <v>#DIV/0!</v>
      </c>
    </row>
    <row r="50" spans="1:19" ht="24">
      <c r="A50" s="113" t="s">
        <v>232</v>
      </c>
      <c r="B50" s="113"/>
      <c r="C50" s="111" t="s">
        <v>233</v>
      </c>
      <c r="D50" s="160">
        <v>592.8</v>
      </c>
      <c r="E50" s="160">
        <f>G50+H50+I50+J50</f>
        <v>939.8</v>
      </c>
      <c r="F50" s="156">
        <f t="shared" si="17"/>
        <v>791.5999999999999</v>
      </c>
      <c r="G50" s="160">
        <f>105+43.2</f>
        <v>148.2</v>
      </c>
      <c r="H50" s="160">
        <f>105+390.2</f>
        <v>495.2</v>
      </c>
      <c r="I50" s="161">
        <f>105+43.2</f>
        <v>148.2</v>
      </c>
      <c r="J50" s="162">
        <f>105+43.2</f>
        <v>148.2</v>
      </c>
      <c r="K50" s="162">
        <v>570.7</v>
      </c>
      <c r="L50" s="157" t="e">
        <f>K50/#REF!*100</f>
        <v>#REF!</v>
      </c>
      <c r="M50" s="157">
        <f>K50/I50*100</f>
        <v>385.0877192982457</v>
      </c>
      <c r="N50" s="159"/>
      <c r="O50" s="159"/>
      <c r="P50" s="161">
        <f t="shared" si="2"/>
        <v>385.0877192982457</v>
      </c>
      <c r="Q50" s="157">
        <f t="shared" si="3"/>
        <v>72.09449216776152</v>
      </c>
      <c r="R50" s="162">
        <f t="shared" si="4"/>
        <v>60.72568631623751</v>
      </c>
      <c r="S50" s="162">
        <f t="shared" si="5"/>
        <v>96.27192982456143</v>
      </c>
    </row>
    <row r="51" spans="1:19" ht="24">
      <c r="A51" s="115" t="s">
        <v>238</v>
      </c>
      <c r="B51" s="115"/>
      <c r="C51" s="111" t="s">
        <v>239</v>
      </c>
      <c r="D51" s="160">
        <v>150</v>
      </c>
      <c r="E51" s="160">
        <v>750</v>
      </c>
      <c r="F51" s="156">
        <f t="shared" si="17"/>
        <v>462.5</v>
      </c>
      <c r="G51" s="160">
        <v>37.5</v>
      </c>
      <c r="H51" s="160">
        <f>37.5+350</f>
        <v>387.5</v>
      </c>
      <c r="I51" s="161">
        <v>37.5</v>
      </c>
      <c r="J51" s="162">
        <v>37.5</v>
      </c>
      <c r="K51" s="162">
        <v>700.7</v>
      </c>
      <c r="L51" s="157" t="e">
        <f>K51/#REF!*100</f>
        <v>#REF!</v>
      </c>
      <c r="M51" s="157">
        <f>K51/I51*100</f>
        <v>1868.5333333333335</v>
      </c>
      <c r="N51" s="159"/>
      <c r="O51" s="159"/>
      <c r="P51" s="161">
        <f t="shared" si="2"/>
        <v>1868.5333333333333</v>
      </c>
      <c r="Q51" s="157">
        <f t="shared" si="3"/>
        <v>151.5027027027027</v>
      </c>
      <c r="R51" s="162">
        <f t="shared" si="4"/>
        <v>93.42666666666666</v>
      </c>
      <c r="S51" s="162">
        <f t="shared" si="5"/>
        <v>467.1333333333333</v>
      </c>
    </row>
    <row r="52" spans="1:19" ht="12.75">
      <c r="A52" s="110" t="s">
        <v>242</v>
      </c>
      <c r="B52" s="110"/>
      <c r="C52" s="111" t="s">
        <v>243</v>
      </c>
      <c r="D52" s="160"/>
      <c r="E52" s="160">
        <f>G52+H52+I52+J52</f>
        <v>0</v>
      </c>
      <c r="F52" s="156">
        <f t="shared" si="17"/>
        <v>0</v>
      </c>
      <c r="G52" s="160"/>
      <c r="H52" s="160"/>
      <c r="I52" s="161"/>
      <c r="J52" s="162"/>
      <c r="K52" s="162">
        <v>1.2</v>
      </c>
      <c r="L52" s="157" t="e">
        <f>K52/#REF!*100</f>
        <v>#REF!</v>
      </c>
      <c r="M52" s="157"/>
      <c r="N52" s="159"/>
      <c r="O52" s="159"/>
      <c r="P52" s="161" t="e">
        <f t="shared" si="2"/>
        <v>#DIV/0!</v>
      </c>
      <c r="Q52" s="157" t="e">
        <f t="shared" si="3"/>
        <v>#DIV/0!</v>
      </c>
      <c r="R52" s="162"/>
      <c r="S52" s="162"/>
    </row>
    <row r="53" spans="1:19" ht="12.75">
      <c r="A53" s="131" t="s">
        <v>244</v>
      </c>
      <c r="B53" s="117"/>
      <c r="C53" s="118" t="s">
        <v>245</v>
      </c>
      <c r="D53" s="267"/>
      <c r="E53" s="160">
        <f>G53+H53+I53+J53</f>
        <v>0</v>
      </c>
      <c r="F53" s="156">
        <f t="shared" si="17"/>
        <v>0</v>
      </c>
      <c r="G53" s="160"/>
      <c r="H53" s="160"/>
      <c r="I53" s="161"/>
      <c r="J53" s="162"/>
      <c r="K53" s="162"/>
      <c r="L53" s="157"/>
      <c r="M53" s="157"/>
      <c r="N53" s="159"/>
      <c r="O53" s="159"/>
      <c r="P53" s="161" t="e">
        <f t="shared" si="2"/>
        <v>#DIV/0!</v>
      </c>
      <c r="Q53" s="157"/>
      <c r="R53" s="162"/>
      <c r="S53" s="162"/>
    </row>
    <row r="54" spans="1:19" ht="12.75">
      <c r="A54" s="132" t="s">
        <v>246</v>
      </c>
      <c r="B54" s="132"/>
      <c r="C54" s="119" t="s">
        <v>247</v>
      </c>
      <c r="D54" s="174">
        <f>D55+D57+D56</f>
        <v>21823.5</v>
      </c>
      <c r="E54" s="163">
        <f>E55+E57+E56</f>
        <v>30417.2</v>
      </c>
      <c r="F54" s="163">
        <f aca="true" t="shared" si="18" ref="F54:P54">F55+F57+F56</f>
        <v>23541.4</v>
      </c>
      <c r="G54" s="163">
        <f t="shared" si="18"/>
        <v>6474</v>
      </c>
      <c r="H54" s="163">
        <f t="shared" si="18"/>
        <v>7350</v>
      </c>
      <c r="I54" s="163">
        <f t="shared" si="18"/>
        <v>9717.4</v>
      </c>
      <c r="J54" s="163">
        <f t="shared" si="18"/>
        <v>6513.099999999999</v>
      </c>
      <c r="K54" s="163">
        <f t="shared" si="18"/>
        <v>21318.3</v>
      </c>
      <c r="L54" s="163" t="e">
        <f t="shared" si="18"/>
        <v>#REF!</v>
      </c>
      <c r="M54" s="163">
        <f t="shared" si="18"/>
        <v>215.26642929178587</v>
      </c>
      <c r="N54" s="163">
        <f t="shared" si="18"/>
        <v>0.1</v>
      </c>
      <c r="O54" s="163">
        <f t="shared" si="18"/>
        <v>0</v>
      </c>
      <c r="P54" s="163" t="e">
        <f t="shared" si="18"/>
        <v>#DIV/0!</v>
      </c>
      <c r="Q54" s="128">
        <f t="shared" si="3"/>
        <v>90.55663639375737</v>
      </c>
      <c r="R54" s="129">
        <f t="shared" si="4"/>
        <v>70.08633273279591</v>
      </c>
      <c r="S54" s="162">
        <f t="shared" si="5"/>
        <v>97.68506426558527</v>
      </c>
    </row>
    <row r="55" spans="1:19" ht="24">
      <c r="A55" s="120" t="s">
        <v>248</v>
      </c>
      <c r="B55" s="112"/>
      <c r="C55" s="121" t="s">
        <v>249</v>
      </c>
      <c r="D55" s="160">
        <v>21823.5</v>
      </c>
      <c r="E55" s="160">
        <v>30017.2</v>
      </c>
      <c r="F55" s="156">
        <f>G55+H55+I55</f>
        <v>23141.4</v>
      </c>
      <c r="G55" s="168">
        <f>5455.9+658.1+360</f>
        <v>6474</v>
      </c>
      <c r="H55" s="168">
        <f>5533.3+1416.7</f>
        <v>6950</v>
      </c>
      <c r="I55" s="161">
        <f>5455.9+3054.5+1207</f>
        <v>9717.4</v>
      </c>
      <c r="J55" s="161">
        <f>5455.9+1057.2</f>
        <v>6513.099999999999</v>
      </c>
      <c r="K55" s="162">
        <v>20918.3</v>
      </c>
      <c r="L55" s="157" t="e">
        <f>K55/#REF!*100</f>
        <v>#REF!</v>
      </c>
      <c r="M55" s="157">
        <f>K55/I55*100</f>
        <v>215.26642929178587</v>
      </c>
      <c r="N55" s="159">
        <v>0.1</v>
      </c>
      <c r="O55" s="159"/>
      <c r="P55" s="161">
        <f t="shared" si="2"/>
        <v>321.17271345442265</v>
      </c>
      <c r="Q55" s="157">
        <f t="shared" si="3"/>
        <v>90.39340748615035</v>
      </c>
      <c r="R55" s="162">
        <f t="shared" si="4"/>
        <v>69.68771237823647</v>
      </c>
      <c r="S55" s="162">
        <f t="shared" si="5"/>
        <v>95.85217769835269</v>
      </c>
    </row>
    <row r="56" spans="1:19" ht="12.75">
      <c r="A56" s="120" t="s">
        <v>250</v>
      </c>
      <c r="B56" s="120"/>
      <c r="C56" s="122" t="s">
        <v>251</v>
      </c>
      <c r="D56" s="164"/>
      <c r="E56" s="160">
        <f>G56+H56+I56+J56</f>
        <v>400</v>
      </c>
      <c r="F56" s="156">
        <f>G56+H56+I56</f>
        <v>400</v>
      </c>
      <c r="G56" s="168"/>
      <c r="H56" s="168">
        <v>400</v>
      </c>
      <c r="I56" s="161"/>
      <c r="J56" s="167"/>
      <c r="K56" s="162">
        <v>400</v>
      </c>
      <c r="L56" s="157"/>
      <c r="M56" s="157"/>
      <c r="N56" s="159"/>
      <c r="O56" s="159"/>
      <c r="P56" s="161"/>
      <c r="Q56" s="157">
        <f t="shared" si="3"/>
        <v>100</v>
      </c>
      <c r="R56" s="162">
        <f t="shared" si="4"/>
        <v>100</v>
      </c>
      <c r="S56" s="162"/>
    </row>
    <row r="57" spans="1:19" ht="36">
      <c r="A57" s="120" t="s">
        <v>254</v>
      </c>
      <c r="B57" s="124"/>
      <c r="C57" s="125" t="s">
        <v>255</v>
      </c>
      <c r="D57" s="268"/>
      <c r="E57" s="160">
        <f>G57+H57+I57+J57</f>
        <v>0</v>
      </c>
      <c r="F57" s="160">
        <f>G57</f>
        <v>0</v>
      </c>
      <c r="G57" s="169"/>
      <c r="H57" s="169"/>
      <c r="I57" s="161"/>
      <c r="J57" s="167"/>
      <c r="K57" s="162"/>
      <c r="L57" s="157" t="e">
        <f>K57/#REF!*100</f>
        <v>#REF!</v>
      </c>
      <c r="M57" s="157"/>
      <c r="N57" s="159"/>
      <c r="O57" s="159"/>
      <c r="P57" s="161" t="e">
        <f t="shared" si="2"/>
        <v>#DIV/0!</v>
      </c>
      <c r="Q57" s="157"/>
      <c r="R57" s="162"/>
      <c r="S57" s="162" t="e">
        <f t="shared" si="5"/>
        <v>#DIV/0!</v>
      </c>
    </row>
    <row r="58" spans="1:19" ht="12.75">
      <c r="A58" s="113"/>
      <c r="B58" s="133"/>
      <c r="C58" s="134" t="s">
        <v>256</v>
      </c>
      <c r="D58" s="170">
        <f aca="true" t="shared" si="19" ref="D58:K58">D54+D45</f>
        <v>38784.8</v>
      </c>
      <c r="E58" s="170">
        <f t="shared" si="19"/>
        <v>48075.5</v>
      </c>
      <c r="F58" s="170">
        <f t="shared" si="19"/>
        <v>36920.200000000004</v>
      </c>
      <c r="G58" s="170">
        <f t="shared" si="19"/>
        <v>10582.400000000001</v>
      </c>
      <c r="H58" s="170">
        <f t="shared" si="19"/>
        <v>12333.7</v>
      </c>
      <c r="I58" s="170">
        <f t="shared" si="19"/>
        <v>14004.099999999999</v>
      </c>
      <c r="J58" s="170">
        <f t="shared" si="19"/>
        <v>10792.599999999999</v>
      </c>
      <c r="K58" s="170">
        <f t="shared" si="19"/>
        <v>35331.600000000006</v>
      </c>
      <c r="L58" s="256" t="e">
        <f>K58/#REF!*100</f>
        <v>#REF!</v>
      </c>
      <c r="M58" s="256">
        <f>K58/I58*100</f>
        <v>252.2946851279269</v>
      </c>
      <c r="N58" s="159"/>
      <c r="O58" s="166" t="e">
        <f>J58+#REF!+#REF!</f>
        <v>#REF!</v>
      </c>
      <c r="P58" s="257">
        <f t="shared" si="2"/>
        <v>327.3687526638624</v>
      </c>
      <c r="Q58" s="256">
        <f t="shared" si="3"/>
        <v>95.69720640733257</v>
      </c>
      <c r="R58" s="170">
        <f t="shared" si="4"/>
        <v>73.49190336033948</v>
      </c>
      <c r="S58" s="170">
        <f t="shared" si="5"/>
        <v>91.09651203564283</v>
      </c>
    </row>
    <row r="59" spans="1:19" ht="12.75">
      <c r="A59" s="269"/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</row>
    <row r="60" spans="1:19" ht="12.75">
      <c r="A60" s="208" t="s">
        <v>259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10"/>
    </row>
    <row r="61" spans="1:19" ht="12.75">
      <c r="A61" s="108" t="s">
        <v>218</v>
      </c>
      <c r="B61" s="108"/>
      <c r="C61" s="109" t="s">
        <v>219</v>
      </c>
      <c r="D61" s="265">
        <f aca="true" t="shared" si="20" ref="D61:K61">D62+D64+D66+D68+D65+D70+D69+D63+D67</f>
        <v>30441</v>
      </c>
      <c r="E61" s="128">
        <f t="shared" si="20"/>
        <v>32241</v>
      </c>
      <c r="F61" s="128">
        <f t="shared" si="20"/>
        <v>21577.3</v>
      </c>
      <c r="G61" s="128">
        <f t="shared" si="20"/>
        <v>6165.3</v>
      </c>
      <c r="H61" s="128">
        <f t="shared" si="20"/>
        <v>7287.2</v>
      </c>
      <c r="I61" s="128">
        <f t="shared" si="20"/>
        <v>8124.8</v>
      </c>
      <c r="J61" s="128">
        <f t="shared" si="20"/>
        <v>9163.7</v>
      </c>
      <c r="K61" s="128">
        <f t="shared" si="20"/>
        <v>28937</v>
      </c>
      <c r="L61" s="128" t="e">
        <f>K61/#REF!*100</f>
        <v>#REF!</v>
      </c>
      <c r="M61" s="128">
        <f aca="true" t="shared" si="21" ref="M61:M68">K61/I61*100</f>
        <v>356.15645923591967</v>
      </c>
      <c r="N61" s="270"/>
      <c r="O61" s="270"/>
      <c r="P61" s="128">
        <f t="shared" si="2"/>
        <v>315.7785610615799</v>
      </c>
      <c r="Q61" s="128">
        <f t="shared" si="3"/>
        <v>134.10853072441873</v>
      </c>
      <c r="R61" s="265">
        <f t="shared" si="4"/>
        <v>89.7521789026395</v>
      </c>
      <c r="S61" s="129">
        <f t="shared" si="5"/>
        <v>95.05929502972964</v>
      </c>
    </row>
    <row r="62" spans="1:19" ht="12.75">
      <c r="A62" s="112" t="s">
        <v>220</v>
      </c>
      <c r="B62" s="112"/>
      <c r="C62" s="130" t="s">
        <v>221</v>
      </c>
      <c r="D62" s="156">
        <v>17850</v>
      </c>
      <c r="E62" s="160">
        <f>G62+H62+I62+J62</f>
        <v>17850</v>
      </c>
      <c r="F62" s="156">
        <f>G62+H62+I62</f>
        <v>11726.9</v>
      </c>
      <c r="G62" s="171">
        <v>3164.3</v>
      </c>
      <c r="H62" s="171">
        <v>4691.2</v>
      </c>
      <c r="I62" s="157">
        <v>3871.4</v>
      </c>
      <c r="J62" s="157">
        <v>6123.1</v>
      </c>
      <c r="K62" s="157">
        <v>15388.2</v>
      </c>
      <c r="L62" s="157" t="e">
        <f>K62/#REF!*100</f>
        <v>#REF!</v>
      </c>
      <c r="M62" s="157">
        <f t="shared" si="21"/>
        <v>397.48411427390613</v>
      </c>
      <c r="N62" s="159"/>
      <c r="O62" s="159"/>
      <c r="P62" s="157">
        <f t="shared" si="2"/>
        <v>251.31387695775015</v>
      </c>
      <c r="Q62" s="157">
        <f t="shared" si="3"/>
        <v>131.22137990432253</v>
      </c>
      <c r="R62" s="162">
        <f t="shared" si="4"/>
        <v>86.20840336134454</v>
      </c>
      <c r="S62" s="162">
        <f t="shared" si="5"/>
        <v>86.20840336134454</v>
      </c>
    </row>
    <row r="63" spans="1:19" ht="12.75">
      <c r="A63" s="112" t="s">
        <v>224</v>
      </c>
      <c r="B63" s="112"/>
      <c r="C63" s="111" t="s">
        <v>225</v>
      </c>
      <c r="D63" s="160">
        <v>35</v>
      </c>
      <c r="E63" s="160">
        <f aca="true" t="shared" si="22" ref="E63:E70">G63+H63+I63+J63</f>
        <v>47</v>
      </c>
      <c r="F63" s="156">
        <f aca="true" t="shared" si="23" ref="F63:F70">G63+H63+I63</f>
        <v>39</v>
      </c>
      <c r="G63" s="168">
        <v>11</v>
      </c>
      <c r="H63" s="168">
        <v>20</v>
      </c>
      <c r="I63" s="161">
        <v>8</v>
      </c>
      <c r="J63" s="161">
        <v>8</v>
      </c>
      <c r="K63" s="161">
        <v>46.7</v>
      </c>
      <c r="L63" s="157" t="e">
        <f>K63/#REF!*100</f>
        <v>#REF!</v>
      </c>
      <c r="M63" s="157">
        <f t="shared" si="21"/>
        <v>583.75</v>
      </c>
      <c r="N63" s="159"/>
      <c r="O63" s="159"/>
      <c r="P63" s="161">
        <f t="shared" si="2"/>
        <v>583.75</v>
      </c>
      <c r="Q63" s="157">
        <f t="shared" si="3"/>
        <v>119.74358974358974</v>
      </c>
      <c r="R63" s="162">
        <f t="shared" si="4"/>
        <v>99.36170212765957</v>
      </c>
      <c r="S63" s="162">
        <f t="shared" si="5"/>
        <v>133.42857142857142</v>
      </c>
    </row>
    <row r="64" spans="1:19" ht="12.75">
      <c r="A64" s="112" t="s">
        <v>226</v>
      </c>
      <c r="B64" s="112"/>
      <c r="C64" s="111" t="s">
        <v>227</v>
      </c>
      <c r="D64" s="160">
        <v>6250</v>
      </c>
      <c r="E64" s="160">
        <v>7088</v>
      </c>
      <c r="F64" s="156">
        <f t="shared" si="23"/>
        <v>5477.4</v>
      </c>
      <c r="G64" s="168">
        <v>2671</v>
      </c>
      <c r="H64" s="168">
        <v>491</v>
      </c>
      <c r="I64" s="161">
        <v>2315.4</v>
      </c>
      <c r="J64" s="161">
        <v>960.6</v>
      </c>
      <c r="K64" s="161">
        <v>6334.9</v>
      </c>
      <c r="L64" s="157" t="e">
        <f>K64/#REF!*100</f>
        <v>#REF!</v>
      </c>
      <c r="M64" s="157">
        <f t="shared" si="21"/>
        <v>273.598514295586</v>
      </c>
      <c r="N64" s="159"/>
      <c r="O64" s="159"/>
      <c r="P64" s="161">
        <f t="shared" si="2"/>
        <v>659.4732458879866</v>
      </c>
      <c r="Q64" s="157">
        <f t="shared" si="3"/>
        <v>115.65523788658854</v>
      </c>
      <c r="R64" s="162">
        <f t="shared" si="4"/>
        <v>89.375</v>
      </c>
      <c r="S64" s="162">
        <f t="shared" si="5"/>
        <v>101.3584</v>
      </c>
    </row>
    <row r="65" spans="1:19" ht="12.75">
      <c r="A65" s="112" t="s">
        <v>228</v>
      </c>
      <c r="B65" s="112"/>
      <c r="C65" s="111" t="s">
        <v>229</v>
      </c>
      <c r="D65" s="160"/>
      <c r="E65" s="160">
        <f t="shared" si="22"/>
        <v>0</v>
      </c>
      <c r="F65" s="156">
        <f t="shared" si="23"/>
        <v>0</v>
      </c>
      <c r="G65" s="168"/>
      <c r="H65" s="168"/>
      <c r="I65" s="161"/>
      <c r="J65" s="161"/>
      <c r="K65" s="161">
        <v>25.4</v>
      </c>
      <c r="L65" s="157"/>
      <c r="M65" s="157" t="e">
        <f t="shared" si="21"/>
        <v>#DIV/0!</v>
      </c>
      <c r="N65" s="159"/>
      <c r="O65" s="159"/>
      <c r="P65" s="161" t="e">
        <f t="shared" si="2"/>
        <v>#DIV/0!</v>
      </c>
      <c r="Q65" s="157"/>
      <c r="R65" s="162"/>
      <c r="S65" s="162"/>
    </row>
    <row r="66" spans="1:19" ht="24">
      <c r="A66" s="113" t="s">
        <v>232</v>
      </c>
      <c r="B66" s="113"/>
      <c r="C66" s="111" t="s">
        <v>233</v>
      </c>
      <c r="D66" s="160">
        <v>6000</v>
      </c>
      <c r="E66" s="160">
        <v>6630</v>
      </c>
      <c r="F66" s="156">
        <f t="shared" si="23"/>
        <v>4019</v>
      </c>
      <c r="G66" s="168">
        <v>259</v>
      </c>
      <c r="H66" s="168">
        <v>1895</v>
      </c>
      <c r="I66" s="161">
        <v>1865</v>
      </c>
      <c r="J66" s="161">
        <v>2011</v>
      </c>
      <c r="K66" s="161">
        <v>6540.7</v>
      </c>
      <c r="L66" s="157" t="e">
        <f>K66/#REF!*100</f>
        <v>#REF!</v>
      </c>
      <c r="M66" s="157">
        <f t="shared" si="21"/>
        <v>350.70777479892763</v>
      </c>
      <c r="N66" s="159"/>
      <c r="O66" s="159"/>
      <c r="P66" s="161">
        <f t="shared" si="2"/>
        <v>325.24614619592245</v>
      </c>
      <c r="Q66" s="157">
        <f t="shared" si="3"/>
        <v>162.74446379696442</v>
      </c>
      <c r="R66" s="162">
        <f t="shared" si="4"/>
        <v>98.65309200603318</v>
      </c>
      <c r="S66" s="162">
        <f t="shared" si="5"/>
        <v>109.01166666666667</v>
      </c>
    </row>
    <row r="67" spans="1:19" ht="24">
      <c r="A67" s="115" t="s">
        <v>236</v>
      </c>
      <c r="B67" s="115"/>
      <c r="C67" s="111" t="s">
        <v>237</v>
      </c>
      <c r="D67" s="160"/>
      <c r="E67" s="160">
        <f t="shared" si="22"/>
        <v>0</v>
      </c>
      <c r="F67" s="156">
        <f t="shared" si="23"/>
        <v>0</v>
      </c>
      <c r="G67" s="168"/>
      <c r="H67" s="168"/>
      <c r="I67" s="161"/>
      <c r="J67" s="161"/>
      <c r="K67" s="161"/>
      <c r="L67" s="157" t="e">
        <f>K67/#REF!*100</f>
        <v>#REF!</v>
      </c>
      <c r="M67" s="157"/>
      <c r="N67" s="159"/>
      <c r="O67" s="159"/>
      <c r="P67" s="161" t="e">
        <f t="shared" si="2"/>
        <v>#DIV/0!</v>
      </c>
      <c r="Q67" s="157"/>
      <c r="R67" s="162"/>
      <c r="S67" s="162" t="e">
        <f t="shared" si="5"/>
        <v>#DIV/0!</v>
      </c>
    </row>
    <row r="68" spans="1:19" ht="24">
      <c r="A68" s="114" t="s">
        <v>238</v>
      </c>
      <c r="B68" s="114"/>
      <c r="C68" s="111" t="s">
        <v>239</v>
      </c>
      <c r="D68" s="160">
        <v>306</v>
      </c>
      <c r="E68" s="160">
        <v>626</v>
      </c>
      <c r="F68" s="156">
        <f t="shared" si="23"/>
        <v>315</v>
      </c>
      <c r="G68" s="168">
        <v>60</v>
      </c>
      <c r="H68" s="168">
        <v>190</v>
      </c>
      <c r="I68" s="161">
        <v>65</v>
      </c>
      <c r="J68" s="161">
        <v>61</v>
      </c>
      <c r="K68" s="161">
        <v>600</v>
      </c>
      <c r="L68" s="157" t="e">
        <f>K68/#REF!*100</f>
        <v>#REF!</v>
      </c>
      <c r="M68" s="157">
        <f t="shared" si="21"/>
        <v>923.076923076923</v>
      </c>
      <c r="N68" s="159"/>
      <c r="O68" s="159"/>
      <c r="P68" s="161">
        <f t="shared" si="2"/>
        <v>983.6065573770492</v>
      </c>
      <c r="Q68" s="157">
        <f t="shared" si="3"/>
        <v>190.47619047619048</v>
      </c>
      <c r="R68" s="162">
        <f t="shared" si="4"/>
        <v>95.84664536741214</v>
      </c>
      <c r="S68" s="162">
        <f t="shared" si="5"/>
        <v>196.07843137254903</v>
      </c>
    </row>
    <row r="69" spans="1:19" ht="12.75">
      <c r="A69" s="110" t="s">
        <v>242</v>
      </c>
      <c r="B69" s="110"/>
      <c r="C69" s="111" t="s">
        <v>243</v>
      </c>
      <c r="D69" s="160"/>
      <c r="E69" s="160">
        <f t="shared" si="22"/>
        <v>0</v>
      </c>
      <c r="F69" s="156">
        <f t="shared" si="23"/>
        <v>0</v>
      </c>
      <c r="G69" s="168"/>
      <c r="H69" s="168"/>
      <c r="I69" s="161"/>
      <c r="J69" s="161"/>
      <c r="K69" s="161">
        <v>1.1</v>
      </c>
      <c r="L69" s="157"/>
      <c r="M69" s="157"/>
      <c r="N69" s="159"/>
      <c r="O69" s="159"/>
      <c r="P69" s="161" t="e">
        <f t="shared" si="2"/>
        <v>#DIV/0!</v>
      </c>
      <c r="Q69" s="157"/>
      <c r="R69" s="162"/>
      <c r="S69" s="162"/>
    </row>
    <row r="70" spans="1:19" ht="12.75">
      <c r="A70" s="116" t="s">
        <v>244</v>
      </c>
      <c r="B70" s="117"/>
      <c r="C70" s="118" t="s">
        <v>245</v>
      </c>
      <c r="D70" s="267"/>
      <c r="E70" s="160">
        <f t="shared" si="22"/>
        <v>0</v>
      </c>
      <c r="F70" s="156">
        <f t="shared" si="23"/>
        <v>0</v>
      </c>
      <c r="G70" s="168"/>
      <c r="H70" s="168"/>
      <c r="I70" s="161"/>
      <c r="J70" s="161"/>
      <c r="K70" s="161">
        <v>0</v>
      </c>
      <c r="L70" s="157"/>
      <c r="M70" s="157"/>
      <c r="N70" s="159"/>
      <c r="O70" s="159"/>
      <c r="P70" s="161" t="e">
        <f t="shared" si="2"/>
        <v>#DIV/0!</v>
      </c>
      <c r="Q70" s="157"/>
      <c r="R70" s="162"/>
      <c r="S70" s="162"/>
    </row>
    <row r="71" spans="1:19" ht="12.75">
      <c r="A71" s="108" t="s">
        <v>246</v>
      </c>
      <c r="B71" s="108"/>
      <c r="C71" s="119" t="s">
        <v>247</v>
      </c>
      <c r="D71" s="174">
        <f aca="true" t="shared" si="24" ref="D71:K71">D72+D73</f>
        <v>41710.5</v>
      </c>
      <c r="E71" s="163">
        <f t="shared" si="24"/>
        <v>65025.600000000006</v>
      </c>
      <c r="F71" s="163">
        <f t="shared" si="24"/>
        <v>51626.2</v>
      </c>
      <c r="G71" s="163">
        <f t="shared" si="24"/>
        <v>10844.1</v>
      </c>
      <c r="H71" s="163">
        <f t="shared" si="24"/>
        <v>15827.3</v>
      </c>
      <c r="I71" s="163">
        <f t="shared" si="24"/>
        <v>24954.8</v>
      </c>
      <c r="J71" s="163">
        <f t="shared" si="24"/>
        <v>12092.900000000001</v>
      </c>
      <c r="K71" s="163">
        <f t="shared" si="24"/>
        <v>43332</v>
      </c>
      <c r="L71" s="128" t="e">
        <f>K71/#REF!*100</f>
        <v>#REF!</v>
      </c>
      <c r="M71" s="128">
        <f>K71/I71*100</f>
        <v>173.64194463590172</v>
      </c>
      <c r="N71" s="159"/>
      <c r="O71" s="159"/>
      <c r="P71" s="154">
        <f t="shared" si="2"/>
        <v>358.3259598607447</v>
      </c>
      <c r="Q71" s="128">
        <f t="shared" si="3"/>
        <v>83.934126470668</v>
      </c>
      <c r="R71" s="129">
        <f t="shared" si="4"/>
        <v>66.6383701188455</v>
      </c>
      <c r="S71" s="129">
        <f t="shared" si="5"/>
        <v>103.88751033912324</v>
      </c>
    </row>
    <row r="72" spans="1:19" ht="24">
      <c r="A72" s="120" t="s">
        <v>248</v>
      </c>
      <c r="B72" s="112"/>
      <c r="C72" s="121" t="s">
        <v>249</v>
      </c>
      <c r="D72" s="160">
        <v>41710.5</v>
      </c>
      <c r="E72" s="160">
        <v>64595.8</v>
      </c>
      <c r="F72" s="156">
        <f>G72+H72+I72</f>
        <v>51251.399999999994</v>
      </c>
      <c r="G72" s="168">
        <f>10767.7+76.4</f>
        <v>10844.1</v>
      </c>
      <c r="H72" s="168">
        <f>12203.6-24.1+3273</f>
        <v>15452.5</v>
      </c>
      <c r="I72" s="161">
        <f>9356+8368.8+7135+95</f>
        <v>24954.8</v>
      </c>
      <c r="J72" s="162">
        <f>10983.2+1109.7</f>
        <v>12092.900000000001</v>
      </c>
      <c r="K72" s="162">
        <v>42902.2</v>
      </c>
      <c r="L72" s="157" t="e">
        <f>K72/#REF!*100</f>
        <v>#REF!</v>
      </c>
      <c r="M72" s="157">
        <f>K72/I72*100</f>
        <v>171.91963069229166</v>
      </c>
      <c r="N72" s="159"/>
      <c r="O72" s="159"/>
      <c r="P72" s="161">
        <f t="shared" si="2"/>
        <v>354.77180825112254</v>
      </c>
      <c r="Q72" s="157">
        <f t="shared" si="3"/>
        <v>83.7093230623944</v>
      </c>
      <c r="R72" s="162">
        <f t="shared" si="4"/>
        <v>66.4163923970289</v>
      </c>
      <c r="S72" s="162">
        <f t="shared" si="5"/>
        <v>102.85707435777562</v>
      </c>
    </row>
    <row r="73" spans="1:19" ht="12.75">
      <c r="A73" s="120" t="s">
        <v>250</v>
      </c>
      <c r="B73" s="120"/>
      <c r="C73" s="122" t="s">
        <v>251</v>
      </c>
      <c r="D73" s="164"/>
      <c r="E73" s="160">
        <v>429.8</v>
      </c>
      <c r="F73" s="156">
        <f>G73+H73+I73</f>
        <v>374.8</v>
      </c>
      <c r="G73" s="169"/>
      <c r="H73" s="169">
        <v>374.8</v>
      </c>
      <c r="I73" s="161"/>
      <c r="J73" s="162"/>
      <c r="K73" s="162">
        <v>429.8</v>
      </c>
      <c r="L73" s="157" t="e">
        <f>K73/#REF!*100</f>
        <v>#REF!</v>
      </c>
      <c r="M73" s="157"/>
      <c r="N73" s="159"/>
      <c r="O73" s="159"/>
      <c r="P73" s="161" t="e">
        <f t="shared" si="2"/>
        <v>#DIV/0!</v>
      </c>
      <c r="Q73" s="157">
        <f>K73*100/F73</f>
        <v>114.67449306296692</v>
      </c>
      <c r="R73" s="162">
        <f>K73*100/E73</f>
        <v>100</v>
      </c>
      <c r="S73" s="162"/>
    </row>
    <row r="74" spans="1:19" ht="12.75">
      <c r="A74" s="113"/>
      <c r="B74" s="133"/>
      <c r="C74" s="134" t="s">
        <v>256</v>
      </c>
      <c r="D74" s="170">
        <f aca="true" t="shared" si="25" ref="D74:L74">D71+D61</f>
        <v>72151.5</v>
      </c>
      <c r="E74" s="170">
        <f t="shared" si="25"/>
        <v>97266.6</v>
      </c>
      <c r="F74" s="170">
        <f t="shared" si="25"/>
        <v>73203.5</v>
      </c>
      <c r="G74" s="170">
        <f t="shared" si="25"/>
        <v>17009.4</v>
      </c>
      <c r="H74" s="170">
        <f t="shared" si="25"/>
        <v>23114.5</v>
      </c>
      <c r="I74" s="170">
        <f t="shared" si="25"/>
        <v>33079.6</v>
      </c>
      <c r="J74" s="170">
        <f t="shared" si="25"/>
        <v>21256.600000000002</v>
      </c>
      <c r="K74" s="170">
        <f t="shared" si="25"/>
        <v>72269</v>
      </c>
      <c r="L74" s="170" t="e">
        <f t="shared" si="25"/>
        <v>#REF!</v>
      </c>
      <c r="M74" s="256">
        <f>K74/I74*100</f>
        <v>218.46999359121634</v>
      </c>
      <c r="N74" s="159"/>
      <c r="O74" s="166" t="e">
        <f>J74+#REF!+#REF!</f>
        <v>#REF!</v>
      </c>
      <c r="P74" s="257">
        <f t="shared" si="2"/>
        <v>339.98381679102016</v>
      </c>
      <c r="Q74" s="256">
        <f t="shared" si="3"/>
        <v>98.72342169431789</v>
      </c>
      <c r="R74" s="170">
        <f t="shared" si="4"/>
        <v>74.29991384504032</v>
      </c>
      <c r="S74" s="170">
        <f aca="true" t="shared" si="26" ref="S74:S135">K74*100/D74</f>
        <v>100.16285177716333</v>
      </c>
    </row>
    <row r="75" spans="1:19" ht="12.75">
      <c r="A75" s="266"/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</row>
    <row r="76" spans="1:19" ht="12.75">
      <c r="A76" s="217" t="s">
        <v>260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</row>
    <row r="77" spans="1:19" ht="12.75">
      <c r="A77" s="108" t="s">
        <v>218</v>
      </c>
      <c r="B77" s="108"/>
      <c r="C77" s="109" t="s">
        <v>219</v>
      </c>
      <c r="D77" s="265">
        <f aca="true" t="shared" si="27" ref="D77:I77">D78+D79+D80+D81+D82+D83+D84+D85+D86</f>
        <v>23357.5</v>
      </c>
      <c r="E77" s="128">
        <f t="shared" si="27"/>
        <v>23510</v>
      </c>
      <c r="F77" s="128">
        <f t="shared" si="27"/>
        <v>16312.1</v>
      </c>
      <c r="G77" s="128">
        <f t="shared" si="27"/>
        <v>4665.7</v>
      </c>
      <c r="H77" s="128">
        <f t="shared" si="27"/>
        <v>6358.9</v>
      </c>
      <c r="I77" s="128">
        <f t="shared" si="27"/>
        <v>5287.500000000001</v>
      </c>
      <c r="J77" s="128">
        <f>J78+J79+J80+J81+J82+J83+J84+J85+J86+J87</f>
        <v>7197.9</v>
      </c>
      <c r="K77" s="128">
        <f>K78+K79+K80+K81+K82+K83+K84+K85+K86+K87</f>
        <v>18793.3</v>
      </c>
      <c r="L77" s="128" t="e">
        <f>K77/#REF!*100</f>
        <v>#REF!</v>
      </c>
      <c r="M77" s="128">
        <f>K77/I77*100</f>
        <v>355.4288416075649</v>
      </c>
      <c r="N77" s="159"/>
      <c r="O77" s="159"/>
      <c r="P77" s="128">
        <f t="shared" si="2"/>
        <v>261.0942080328985</v>
      </c>
      <c r="Q77" s="128">
        <f aca="true" t="shared" si="28" ref="Q77:Q141">K77*100/F77</f>
        <v>115.21079444093648</v>
      </c>
      <c r="R77" s="265">
        <f aca="true" t="shared" si="29" ref="R77:R141">K77*100/E77</f>
        <v>79.93747341556784</v>
      </c>
      <c r="S77" s="129">
        <f t="shared" si="26"/>
        <v>80.45938135502516</v>
      </c>
    </row>
    <row r="78" spans="1:19" ht="12.75">
      <c r="A78" s="110" t="s">
        <v>220</v>
      </c>
      <c r="B78" s="110"/>
      <c r="C78" s="111" t="s">
        <v>221</v>
      </c>
      <c r="D78" s="160">
        <v>15496</v>
      </c>
      <c r="E78" s="160">
        <f>G78+H78+I78+J78</f>
        <v>15496</v>
      </c>
      <c r="F78" s="156">
        <f>G78+H78+I78</f>
        <v>10850</v>
      </c>
      <c r="G78" s="168">
        <v>3500</v>
      </c>
      <c r="H78" s="168">
        <v>4100</v>
      </c>
      <c r="I78" s="161">
        <v>3250</v>
      </c>
      <c r="J78" s="161">
        <v>4646</v>
      </c>
      <c r="K78" s="162">
        <v>11797.2</v>
      </c>
      <c r="L78" s="157" t="e">
        <f>K78/#REF!*100</f>
        <v>#REF!</v>
      </c>
      <c r="M78" s="157">
        <f>K78/I78*100</f>
        <v>362.9907692307693</v>
      </c>
      <c r="N78" s="159"/>
      <c r="O78" s="159"/>
      <c r="P78" s="161">
        <f aca="true" t="shared" si="30" ref="P78:P145">K78*100/J78</f>
        <v>253.9216530348687</v>
      </c>
      <c r="Q78" s="157">
        <f t="shared" si="28"/>
        <v>108.7299539170507</v>
      </c>
      <c r="R78" s="162">
        <f t="shared" si="29"/>
        <v>76.13061435209086</v>
      </c>
      <c r="S78" s="162">
        <f t="shared" si="26"/>
        <v>76.13061435209086</v>
      </c>
    </row>
    <row r="79" spans="1:19" ht="12.75">
      <c r="A79" s="112" t="s">
        <v>224</v>
      </c>
      <c r="B79" s="112"/>
      <c r="C79" s="111" t="s">
        <v>225</v>
      </c>
      <c r="D79" s="160"/>
      <c r="E79" s="160">
        <f aca="true" t="shared" si="31" ref="E79:E86">G79+H79+I79+J79</f>
        <v>0.5</v>
      </c>
      <c r="F79" s="156">
        <f aca="true" t="shared" si="32" ref="F79:F86">G79+H79+I79</f>
        <v>0.5</v>
      </c>
      <c r="G79" s="168"/>
      <c r="H79" s="168">
        <v>0.5</v>
      </c>
      <c r="I79" s="161"/>
      <c r="J79" s="161"/>
      <c r="K79" s="162">
        <v>0.5</v>
      </c>
      <c r="L79" s="157"/>
      <c r="M79" s="157"/>
      <c r="N79" s="159"/>
      <c r="O79" s="159"/>
      <c r="P79" s="161" t="e">
        <f t="shared" si="30"/>
        <v>#DIV/0!</v>
      </c>
      <c r="Q79" s="157">
        <f>K79*100/F79</f>
        <v>100</v>
      </c>
      <c r="R79" s="162">
        <f>K79*100/E79</f>
        <v>100</v>
      </c>
      <c r="S79" s="162"/>
    </row>
    <row r="80" spans="1:19" ht="12.75">
      <c r="A80" s="112" t="s">
        <v>226</v>
      </c>
      <c r="B80" s="112"/>
      <c r="C80" s="111" t="s">
        <v>227</v>
      </c>
      <c r="D80" s="160">
        <v>1432</v>
      </c>
      <c r="E80" s="160">
        <f t="shared" si="31"/>
        <v>1432</v>
      </c>
      <c r="F80" s="156">
        <f t="shared" si="32"/>
        <v>841.1</v>
      </c>
      <c r="G80" s="168">
        <v>234.9</v>
      </c>
      <c r="H80" s="168">
        <v>215.4</v>
      </c>
      <c r="I80" s="161">
        <v>390.8</v>
      </c>
      <c r="J80" s="161">
        <v>590.9</v>
      </c>
      <c r="K80" s="162">
        <v>1159.9</v>
      </c>
      <c r="L80" s="157" t="e">
        <f>K80/#REF!*100</f>
        <v>#REF!</v>
      </c>
      <c r="M80" s="157">
        <f>K80/I80*100</f>
        <v>296.8014329580348</v>
      </c>
      <c r="N80" s="159"/>
      <c r="O80" s="159"/>
      <c r="P80" s="161">
        <f t="shared" si="30"/>
        <v>196.2937891352175</v>
      </c>
      <c r="Q80" s="157">
        <f t="shared" si="28"/>
        <v>137.90274640351922</v>
      </c>
      <c r="R80" s="162">
        <f t="shared" si="29"/>
        <v>80.99860335195531</v>
      </c>
      <c r="S80" s="162">
        <f t="shared" si="26"/>
        <v>80.99860335195531</v>
      </c>
    </row>
    <row r="81" spans="1:19" ht="12.75">
      <c r="A81" s="112" t="s">
        <v>228</v>
      </c>
      <c r="B81" s="112"/>
      <c r="C81" s="111" t="s">
        <v>229</v>
      </c>
      <c r="D81" s="160"/>
      <c r="E81" s="160">
        <f t="shared" si="31"/>
        <v>0</v>
      </c>
      <c r="F81" s="156">
        <f t="shared" si="32"/>
        <v>0</v>
      </c>
      <c r="G81" s="168"/>
      <c r="H81" s="168"/>
      <c r="I81" s="161"/>
      <c r="J81" s="161"/>
      <c r="K81" s="162"/>
      <c r="L81" s="157"/>
      <c r="M81" s="157"/>
      <c r="N81" s="159"/>
      <c r="O81" s="159"/>
      <c r="P81" s="161" t="e">
        <f t="shared" si="30"/>
        <v>#DIV/0!</v>
      </c>
      <c r="Q81" s="157" t="e">
        <f t="shared" si="28"/>
        <v>#DIV/0!</v>
      </c>
      <c r="R81" s="162" t="e">
        <f t="shared" si="29"/>
        <v>#DIV/0!</v>
      </c>
      <c r="S81" s="162" t="e">
        <f t="shared" si="26"/>
        <v>#DIV/0!</v>
      </c>
    </row>
    <row r="82" spans="1:19" ht="24">
      <c r="A82" s="113" t="s">
        <v>232</v>
      </c>
      <c r="B82" s="113"/>
      <c r="C82" s="111" t="s">
        <v>233</v>
      </c>
      <c r="D82" s="160">
        <v>5848</v>
      </c>
      <c r="E82" s="160">
        <f t="shared" si="31"/>
        <v>5848</v>
      </c>
      <c r="F82" s="156">
        <f t="shared" si="32"/>
        <v>4075</v>
      </c>
      <c r="G82" s="168">
        <v>775</v>
      </c>
      <c r="H82" s="168">
        <v>1700</v>
      </c>
      <c r="I82" s="161">
        <v>1600</v>
      </c>
      <c r="J82" s="161">
        <v>1773</v>
      </c>
      <c r="K82" s="162">
        <v>4968.9</v>
      </c>
      <c r="L82" s="157" t="e">
        <f>K82/#REF!*100</f>
        <v>#REF!</v>
      </c>
      <c r="M82" s="157">
        <f>K82/I82*100</f>
        <v>310.55625</v>
      </c>
      <c r="N82" s="159"/>
      <c r="O82" s="159"/>
      <c r="P82" s="161">
        <f t="shared" si="30"/>
        <v>280.25380710659897</v>
      </c>
      <c r="Q82" s="157">
        <f t="shared" si="28"/>
        <v>121.93619631901839</v>
      </c>
      <c r="R82" s="162">
        <f t="shared" si="29"/>
        <v>84.96751025991792</v>
      </c>
      <c r="S82" s="162">
        <f t="shared" si="26"/>
        <v>84.96751025991792</v>
      </c>
    </row>
    <row r="83" spans="1:19" ht="24">
      <c r="A83" s="115" t="s">
        <v>236</v>
      </c>
      <c r="B83" s="115"/>
      <c r="C83" s="111" t="s">
        <v>237</v>
      </c>
      <c r="D83" s="160">
        <v>479</v>
      </c>
      <c r="E83" s="160">
        <f t="shared" si="31"/>
        <v>479</v>
      </c>
      <c r="F83" s="156">
        <f t="shared" si="32"/>
        <v>291</v>
      </c>
      <c r="G83" s="168">
        <v>144.3</v>
      </c>
      <c r="H83" s="168">
        <v>105.6</v>
      </c>
      <c r="I83" s="161">
        <v>41.1</v>
      </c>
      <c r="J83" s="161">
        <v>188</v>
      </c>
      <c r="K83" s="162">
        <v>349.5</v>
      </c>
      <c r="L83" s="157" t="e">
        <f>K83/#REF!*100</f>
        <v>#REF!</v>
      </c>
      <c r="M83" s="157">
        <f>K83/I83*100</f>
        <v>850.3649635036495</v>
      </c>
      <c r="N83" s="159"/>
      <c r="O83" s="159"/>
      <c r="P83" s="161">
        <f t="shared" si="30"/>
        <v>185.90425531914894</v>
      </c>
      <c r="Q83" s="157">
        <f t="shared" si="28"/>
        <v>120.10309278350516</v>
      </c>
      <c r="R83" s="162">
        <f t="shared" si="29"/>
        <v>72.96450939457202</v>
      </c>
      <c r="S83" s="162">
        <f t="shared" si="26"/>
        <v>72.96450939457202</v>
      </c>
    </row>
    <row r="84" spans="1:19" ht="24">
      <c r="A84" s="114" t="s">
        <v>238</v>
      </c>
      <c r="B84" s="114"/>
      <c r="C84" s="111" t="s">
        <v>239</v>
      </c>
      <c r="D84" s="160">
        <v>102.5</v>
      </c>
      <c r="E84" s="160">
        <f t="shared" si="31"/>
        <v>254.5</v>
      </c>
      <c r="F84" s="156">
        <f t="shared" si="32"/>
        <v>254.5</v>
      </c>
      <c r="G84" s="168">
        <v>11.5</v>
      </c>
      <c r="H84" s="168">
        <v>237.4</v>
      </c>
      <c r="I84" s="161">
        <v>5.6</v>
      </c>
      <c r="J84" s="161"/>
      <c r="K84" s="162">
        <v>435</v>
      </c>
      <c r="L84" s="157" t="e">
        <f>K84/#REF!*100</f>
        <v>#REF!</v>
      </c>
      <c r="M84" s="157">
        <f>K84/I84*100</f>
        <v>7767.857142857143</v>
      </c>
      <c r="N84" s="159"/>
      <c r="O84" s="159"/>
      <c r="P84" s="161" t="e">
        <f t="shared" si="30"/>
        <v>#DIV/0!</v>
      </c>
      <c r="Q84" s="157">
        <f t="shared" si="28"/>
        <v>170.92337917485264</v>
      </c>
      <c r="R84" s="162">
        <f t="shared" si="29"/>
        <v>170.92337917485264</v>
      </c>
      <c r="S84" s="162">
        <f t="shared" si="26"/>
        <v>424.390243902439</v>
      </c>
    </row>
    <row r="85" spans="1:19" ht="12.75">
      <c r="A85" s="110" t="s">
        <v>242</v>
      </c>
      <c r="B85" s="110"/>
      <c r="C85" s="111" t="s">
        <v>243</v>
      </c>
      <c r="D85" s="160"/>
      <c r="E85" s="160">
        <f t="shared" si="31"/>
        <v>0</v>
      </c>
      <c r="F85" s="156">
        <f t="shared" si="32"/>
        <v>0</v>
      </c>
      <c r="G85" s="168"/>
      <c r="H85" s="168"/>
      <c r="I85" s="161"/>
      <c r="J85" s="161"/>
      <c r="K85" s="162"/>
      <c r="L85" s="128"/>
      <c r="M85" s="128"/>
      <c r="N85" s="159"/>
      <c r="O85" s="159"/>
      <c r="P85" s="161" t="e">
        <f t="shared" si="30"/>
        <v>#DIV/0!</v>
      </c>
      <c r="Q85" s="157"/>
      <c r="R85" s="162"/>
      <c r="S85" s="162" t="e">
        <f t="shared" si="26"/>
        <v>#DIV/0!</v>
      </c>
    </row>
    <row r="86" spans="1:19" ht="12.75">
      <c r="A86" s="116" t="s">
        <v>244</v>
      </c>
      <c r="B86" s="117"/>
      <c r="C86" s="118" t="s">
        <v>245</v>
      </c>
      <c r="D86" s="267"/>
      <c r="E86" s="160">
        <f t="shared" si="31"/>
        <v>0</v>
      </c>
      <c r="F86" s="156">
        <f t="shared" si="32"/>
        <v>0</v>
      </c>
      <c r="G86" s="168"/>
      <c r="H86" s="168"/>
      <c r="I86" s="161"/>
      <c r="J86" s="161"/>
      <c r="K86" s="162">
        <v>82.3</v>
      </c>
      <c r="L86" s="128"/>
      <c r="M86" s="128"/>
      <c r="N86" s="159"/>
      <c r="O86" s="159"/>
      <c r="P86" s="161" t="e">
        <f t="shared" si="30"/>
        <v>#DIV/0!</v>
      </c>
      <c r="Q86" s="157"/>
      <c r="R86" s="162"/>
      <c r="S86" s="162"/>
    </row>
    <row r="87" spans="1:19" ht="12.75">
      <c r="A87" s="116" t="s">
        <v>261</v>
      </c>
      <c r="B87" s="117"/>
      <c r="C87" s="118" t="s">
        <v>262</v>
      </c>
      <c r="D87" s="267"/>
      <c r="E87" s="118"/>
      <c r="F87" s="118"/>
      <c r="G87" s="168"/>
      <c r="H87" s="168"/>
      <c r="I87" s="161" t="e">
        <f>J87+#REF!+#REF!+#REF!</f>
        <v>#REF!</v>
      </c>
      <c r="J87" s="161"/>
      <c r="K87" s="162"/>
      <c r="L87" s="128"/>
      <c r="M87" s="128"/>
      <c r="N87" s="159"/>
      <c r="O87" s="159"/>
      <c r="P87" s="161" t="e">
        <f t="shared" si="30"/>
        <v>#DIV/0!</v>
      </c>
      <c r="Q87" s="128" t="e">
        <f t="shared" si="28"/>
        <v>#DIV/0!</v>
      </c>
      <c r="R87" s="129" t="e">
        <f t="shared" si="29"/>
        <v>#DIV/0!</v>
      </c>
      <c r="S87" s="162" t="e">
        <f t="shared" si="26"/>
        <v>#DIV/0!</v>
      </c>
    </row>
    <row r="88" spans="1:19" ht="12.75">
      <c r="A88" s="108" t="s">
        <v>246</v>
      </c>
      <c r="B88" s="108"/>
      <c r="C88" s="119" t="s">
        <v>247</v>
      </c>
      <c r="D88" s="174">
        <f aca="true" t="shared" si="33" ref="D88:K88">D89+D90</f>
        <v>63073.6</v>
      </c>
      <c r="E88" s="163">
        <f t="shared" si="33"/>
        <v>72909.09999999999</v>
      </c>
      <c r="F88" s="172">
        <f t="shared" si="33"/>
        <v>60716.9</v>
      </c>
      <c r="G88" s="163">
        <f t="shared" si="33"/>
        <v>12882.8</v>
      </c>
      <c r="H88" s="163">
        <f t="shared" si="33"/>
        <v>24578</v>
      </c>
      <c r="I88" s="163">
        <f t="shared" si="33"/>
        <v>23256.1</v>
      </c>
      <c r="J88" s="163">
        <f t="shared" si="33"/>
        <v>12029.5</v>
      </c>
      <c r="K88" s="163">
        <f t="shared" si="33"/>
        <v>61184.4</v>
      </c>
      <c r="L88" s="128" t="e">
        <f>K88/#REF!*100</f>
        <v>#REF!</v>
      </c>
      <c r="M88" s="128">
        <f>K88/I88*100</f>
        <v>263.08968399688683</v>
      </c>
      <c r="N88" s="159"/>
      <c r="O88" s="159"/>
      <c r="P88" s="154">
        <f t="shared" si="30"/>
        <v>508.61964337669895</v>
      </c>
      <c r="Q88" s="128">
        <f t="shared" si="28"/>
        <v>100.76996684613344</v>
      </c>
      <c r="R88" s="129">
        <f t="shared" si="29"/>
        <v>83.91874265352337</v>
      </c>
      <c r="S88" s="129">
        <f t="shared" si="26"/>
        <v>97.00476903173436</v>
      </c>
    </row>
    <row r="89" spans="1:19" ht="24">
      <c r="A89" s="120" t="s">
        <v>248</v>
      </c>
      <c r="B89" s="112"/>
      <c r="C89" s="121" t="s">
        <v>249</v>
      </c>
      <c r="D89" s="160">
        <v>63073.6</v>
      </c>
      <c r="E89" s="160">
        <v>71583.2</v>
      </c>
      <c r="F89" s="156">
        <f>G89+H89+I89</f>
        <v>59391</v>
      </c>
      <c r="G89" s="168">
        <v>12882.8</v>
      </c>
      <c r="H89" s="168">
        <f>20394.2+239.3+2744.5</f>
        <v>23378</v>
      </c>
      <c r="I89" s="161">
        <f>16819+146.6+6164.6</f>
        <v>23130.199999999997</v>
      </c>
      <c r="J89" s="161">
        <f>13185.1-1155.6</f>
        <v>12029.5</v>
      </c>
      <c r="K89" s="162">
        <v>59858.5</v>
      </c>
      <c r="L89" s="157" t="e">
        <f>K89/#REF!*100</f>
        <v>#REF!</v>
      </c>
      <c r="M89" s="157">
        <f>K89/I89*100</f>
        <v>258.7893749297455</v>
      </c>
      <c r="N89" s="159"/>
      <c r="O89" s="159"/>
      <c r="P89" s="161">
        <f t="shared" si="30"/>
        <v>497.5975726339416</v>
      </c>
      <c r="Q89" s="157">
        <f t="shared" si="28"/>
        <v>100.78715630314358</v>
      </c>
      <c r="R89" s="162">
        <f t="shared" si="29"/>
        <v>83.62087752433533</v>
      </c>
      <c r="S89" s="162">
        <f t="shared" si="26"/>
        <v>94.9026216990944</v>
      </c>
    </row>
    <row r="90" spans="1:19" ht="12.75">
      <c r="A90" s="120" t="s">
        <v>250</v>
      </c>
      <c r="B90" s="120"/>
      <c r="C90" s="122" t="s">
        <v>251</v>
      </c>
      <c r="D90" s="164"/>
      <c r="E90" s="160">
        <f>G90+H90+I90+J90</f>
        <v>1325.9</v>
      </c>
      <c r="F90" s="156">
        <f>G90+H90+I90</f>
        <v>1325.9</v>
      </c>
      <c r="G90" s="173"/>
      <c r="H90" s="173">
        <v>1200</v>
      </c>
      <c r="I90" s="161">
        <v>125.9</v>
      </c>
      <c r="J90" s="161"/>
      <c r="K90" s="162">
        <v>1325.9</v>
      </c>
      <c r="L90" s="157" t="e">
        <f>K90/#REF!*100</f>
        <v>#REF!</v>
      </c>
      <c r="M90" s="157"/>
      <c r="N90" s="159"/>
      <c r="O90" s="159"/>
      <c r="P90" s="161" t="e">
        <f t="shared" si="30"/>
        <v>#DIV/0!</v>
      </c>
      <c r="Q90" s="157">
        <f>K90*100/F90</f>
        <v>100</v>
      </c>
      <c r="R90" s="162">
        <f>K90*100/E90</f>
        <v>100</v>
      </c>
      <c r="S90" s="162"/>
    </row>
    <row r="91" spans="1:19" ht="12.75">
      <c r="A91" s="113"/>
      <c r="B91" s="133"/>
      <c r="C91" s="134" t="s">
        <v>256</v>
      </c>
      <c r="D91" s="170">
        <f aca="true" t="shared" si="34" ref="D91:K91">D88+D77</f>
        <v>86431.1</v>
      </c>
      <c r="E91" s="170">
        <f t="shared" si="34"/>
        <v>96419.09999999999</v>
      </c>
      <c r="F91" s="170">
        <f t="shared" si="34"/>
        <v>77029</v>
      </c>
      <c r="G91" s="170">
        <f t="shared" si="34"/>
        <v>17548.5</v>
      </c>
      <c r="H91" s="170">
        <f t="shared" si="34"/>
        <v>30936.9</v>
      </c>
      <c r="I91" s="170">
        <f t="shared" si="34"/>
        <v>28543.6</v>
      </c>
      <c r="J91" s="170">
        <f t="shared" si="34"/>
        <v>19227.4</v>
      </c>
      <c r="K91" s="170">
        <f t="shared" si="34"/>
        <v>79977.7</v>
      </c>
      <c r="L91" s="256" t="e">
        <f>K91/#REF!*100</f>
        <v>#REF!</v>
      </c>
      <c r="M91" s="256">
        <f>K91/I91*100</f>
        <v>280.1948597934388</v>
      </c>
      <c r="N91" s="159"/>
      <c r="O91" s="166" t="e">
        <f>J91+#REF!+#REF!</f>
        <v>#REF!</v>
      </c>
      <c r="P91" s="257">
        <f t="shared" si="30"/>
        <v>415.9569156516221</v>
      </c>
      <c r="Q91" s="256">
        <f t="shared" si="28"/>
        <v>103.82803879058537</v>
      </c>
      <c r="R91" s="170">
        <f t="shared" si="29"/>
        <v>82.94798437239095</v>
      </c>
      <c r="S91" s="170">
        <f t="shared" si="26"/>
        <v>92.53347464049398</v>
      </c>
    </row>
    <row r="92" spans="1:19" ht="12.75">
      <c r="A92" s="269"/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</row>
    <row r="93" spans="1:19" ht="12.75">
      <c r="A93" s="217" t="s">
        <v>263</v>
      </c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</row>
    <row r="94" spans="1:19" ht="12.75">
      <c r="A94" s="108" t="s">
        <v>218</v>
      </c>
      <c r="B94" s="108"/>
      <c r="C94" s="109" t="s">
        <v>219</v>
      </c>
      <c r="D94" s="128">
        <f>D95+D97+D101+D98+D99+D102+D100+D96</f>
        <v>3422.5</v>
      </c>
      <c r="E94" s="128">
        <f>E95+E97+E101+E98+E99+E102+E100+E96</f>
        <v>3359.4</v>
      </c>
      <c r="F94" s="128">
        <f aca="true" t="shared" si="35" ref="F94:K94">F95+F97+F101+F98+F99+F102+F100+F96</f>
        <v>2497.3999999999996</v>
      </c>
      <c r="G94" s="128">
        <f t="shared" si="35"/>
        <v>828.5000000000001</v>
      </c>
      <c r="H94" s="128">
        <f t="shared" si="35"/>
        <v>834.5999999999999</v>
      </c>
      <c r="I94" s="128">
        <f t="shared" si="35"/>
        <v>834.3000000000001</v>
      </c>
      <c r="J94" s="128">
        <f t="shared" si="35"/>
        <v>835.5999999999999</v>
      </c>
      <c r="K94" s="128">
        <f t="shared" si="35"/>
        <v>2379.2000000000003</v>
      </c>
      <c r="L94" s="128">
        <f>L95+L97+L101+L98+L99+L102+L100+L96+L96</f>
        <v>0</v>
      </c>
      <c r="M94" s="128" t="e">
        <f>M95+M97+M101+M98+M99+M102+M100+M96+M96</f>
        <v>#DIV/0!</v>
      </c>
      <c r="N94" s="128">
        <f>N95+N97+N101+N98+N99+N102+N100+N96+N96</f>
        <v>0</v>
      </c>
      <c r="O94" s="128">
        <f>O95+O97+O101+O98+O99+O102+O100+O96+O96</f>
        <v>0</v>
      </c>
      <c r="P94" s="128" t="e">
        <f>P95+P97+P101+P98+P99+P102+P100+P96+P96</f>
        <v>#DIV/0!</v>
      </c>
      <c r="Q94" s="128">
        <f t="shared" si="28"/>
        <v>95.26707776087133</v>
      </c>
      <c r="R94" s="129">
        <f t="shared" si="29"/>
        <v>70.82217062570697</v>
      </c>
      <c r="S94" s="129">
        <f t="shared" si="26"/>
        <v>69.5164353542732</v>
      </c>
    </row>
    <row r="95" spans="1:19" ht="12.75">
      <c r="A95" s="110" t="s">
        <v>220</v>
      </c>
      <c r="B95" s="110"/>
      <c r="C95" s="111" t="s">
        <v>221</v>
      </c>
      <c r="D95" s="168">
        <v>3255</v>
      </c>
      <c r="E95" s="160">
        <f>G95+H95+I95+J95</f>
        <v>3255</v>
      </c>
      <c r="F95" s="156">
        <f>G95+H95+I95</f>
        <v>2441.2</v>
      </c>
      <c r="G95" s="168">
        <v>813.7</v>
      </c>
      <c r="H95" s="168">
        <v>813.8</v>
      </c>
      <c r="I95" s="161">
        <v>813.7</v>
      </c>
      <c r="J95" s="162">
        <v>813.8</v>
      </c>
      <c r="K95" s="162">
        <v>2257.4</v>
      </c>
      <c r="L95" s="157"/>
      <c r="M95" s="157">
        <f>K95/I95*100</f>
        <v>277.4241120806194</v>
      </c>
      <c r="N95" s="166"/>
      <c r="O95" s="159"/>
      <c r="P95" s="161">
        <f t="shared" si="30"/>
        <v>277.3900221184566</v>
      </c>
      <c r="Q95" s="157">
        <f t="shared" si="28"/>
        <v>92.47091594297886</v>
      </c>
      <c r="R95" s="162">
        <f t="shared" si="29"/>
        <v>69.35176651305683</v>
      </c>
      <c r="S95" s="162">
        <f t="shared" si="26"/>
        <v>69.35176651305683</v>
      </c>
    </row>
    <row r="96" spans="1:19" ht="12.75">
      <c r="A96" s="112" t="s">
        <v>224</v>
      </c>
      <c r="B96" s="112"/>
      <c r="C96" s="111" t="s">
        <v>225</v>
      </c>
      <c r="D96" s="168"/>
      <c r="E96" s="160">
        <v>3.7</v>
      </c>
      <c r="F96" s="156">
        <f aca="true" t="shared" si="36" ref="F96:F102">G96+H96+I96</f>
        <v>0</v>
      </c>
      <c r="G96" s="168"/>
      <c r="H96" s="168"/>
      <c r="I96" s="161"/>
      <c r="J96" s="162"/>
      <c r="K96" s="162">
        <v>3.7</v>
      </c>
      <c r="L96" s="157"/>
      <c r="M96" s="157"/>
      <c r="N96" s="166"/>
      <c r="O96" s="159"/>
      <c r="P96" s="161"/>
      <c r="Q96" s="157"/>
      <c r="R96" s="162">
        <f t="shared" si="29"/>
        <v>100</v>
      </c>
      <c r="S96" s="162"/>
    </row>
    <row r="97" spans="1:19" ht="12.75">
      <c r="A97" s="112" t="s">
        <v>226</v>
      </c>
      <c r="B97" s="112"/>
      <c r="C97" s="111" t="s">
        <v>227</v>
      </c>
      <c r="D97" s="168">
        <v>40</v>
      </c>
      <c r="E97" s="160">
        <v>42.8</v>
      </c>
      <c r="F97" s="156">
        <f t="shared" si="36"/>
        <v>29</v>
      </c>
      <c r="G97" s="168">
        <v>7.1</v>
      </c>
      <c r="H97" s="168">
        <v>11</v>
      </c>
      <c r="I97" s="161">
        <v>10.9</v>
      </c>
      <c r="J97" s="162">
        <v>11</v>
      </c>
      <c r="K97" s="162">
        <v>48.3</v>
      </c>
      <c r="L97" s="157"/>
      <c r="M97" s="157">
        <f aca="true" t="shared" si="37" ref="M97:M104">K97/I97*100</f>
        <v>443.11926605504584</v>
      </c>
      <c r="N97" s="166"/>
      <c r="O97" s="159"/>
      <c r="P97" s="161">
        <f t="shared" si="30"/>
        <v>439.09090909090907</v>
      </c>
      <c r="Q97" s="157">
        <f t="shared" si="28"/>
        <v>166.55172413793105</v>
      </c>
      <c r="R97" s="162">
        <f t="shared" si="29"/>
        <v>112.85046728971963</v>
      </c>
      <c r="S97" s="162">
        <f t="shared" si="26"/>
        <v>120.75</v>
      </c>
    </row>
    <row r="98" spans="1:19" ht="12.75">
      <c r="A98" s="112" t="s">
        <v>228</v>
      </c>
      <c r="B98" s="112"/>
      <c r="C98" s="111" t="s">
        <v>229</v>
      </c>
      <c r="D98" s="168">
        <v>10</v>
      </c>
      <c r="E98" s="160">
        <f aca="true" t="shared" si="38" ref="E98:E105">G98+H98+I98+J98</f>
        <v>10</v>
      </c>
      <c r="F98" s="156">
        <f t="shared" si="36"/>
        <v>7</v>
      </c>
      <c r="G98" s="168">
        <v>1</v>
      </c>
      <c r="H98" s="168">
        <v>3</v>
      </c>
      <c r="I98" s="161">
        <v>3</v>
      </c>
      <c r="J98" s="162">
        <v>3</v>
      </c>
      <c r="K98" s="162">
        <v>10.8</v>
      </c>
      <c r="L98" s="157"/>
      <c r="M98" s="157">
        <f t="shared" si="37"/>
        <v>360</v>
      </c>
      <c r="N98" s="159"/>
      <c r="O98" s="159"/>
      <c r="P98" s="161">
        <f t="shared" si="30"/>
        <v>360</v>
      </c>
      <c r="Q98" s="157">
        <f t="shared" si="28"/>
        <v>154.28571428571428</v>
      </c>
      <c r="R98" s="162">
        <f t="shared" si="29"/>
        <v>108</v>
      </c>
      <c r="S98" s="162">
        <f t="shared" si="26"/>
        <v>108</v>
      </c>
    </row>
    <row r="99" spans="1:19" ht="24">
      <c r="A99" s="113" t="s">
        <v>232</v>
      </c>
      <c r="B99" s="113"/>
      <c r="C99" s="111" t="s">
        <v>233</v>
      </c>
      <c r="D99" s="168">
        <v>82.5</v>
      </c>
      <c r="E99" s="160">
        <v>1.8</v>
      </c>
      <c r="F99" s="156">
        <f t="shared" si="36"/>
        <v>0</v>
      </c>
      <c r="G99" s="168"/>
      <c r="H99" s="168"/>
      <c r="I99" s="161"/>
      <c r="J99" s="162"/>
      <c r="K99" s="162">
        <v>1.7</v>
      </c>
      <c r="L99" s="157"/>
      <c r="M99" s="157" t="e">
        <f t="shared" si="37"/>
        <v>#DIV/0!</v>
      </c>
      <c r="N99" s="159"/>
      <c r="O99" s="159"/>
      <c r="P99" s="161" t="e">
        <f t="shared" si="30"/>
        <v>#DIV/0!</v>
      </c>
      <c r="Q99" s="157"/>
      <c r="R99" s="162">
        <f t="shared" si="29"/>
        <v>94.44444444444444</v>
      </c>
      <c r="S99" s="162">
        <f t="shared" si="26"/>
        <v>2.0606060606060606</v>
      </c>
    </row>
    <row r="100" spans="1:19" ht="24">
      <c r="A100" s="115" t="s">
        <v>236</v>
      </c>
      <c r="B100" s="115"/>
      <c r="C100" s="111" t="s">
        <v>237</v>
      </c>
      <c r="D100" s="168">
        <v>27</v>
      </c>
      <c r="E100" s="160">
        <v>45.1</v>
      </c>
      <c r="F100" s="156">
        <f t="shared" si="36"/>
        <v>20.2</v>
      </c>
      <c r="G100" s="168">
        <v>6.7</v>
      </c>
      <c r="H100" s="168">
        <v>6.8</v>
      </c>
      <c r="I100" s="161">
        <v>6.7</v>
      </c>
      <c r="J100" s="162">
        <v>6.8</v>
      </c>
      <c r="K100" s="162">
        <v>55</v>
      </c>
      <c r="L100" s="157"/>
      <c r="M100" s="157">
        <f t="shared" si="37"/>
        <v>820.8955223880597</v>
      </c>
      <c r="N100" s="159"/>
      <c r="O100" s="159"/>
      <c r="P100" s="161">
        <f t="shared" si="30"/>
        <v>808.8235294117648</v>
      </c>
      <c r="Q100" s="157">
        <f t="shared" si="28"/>
        <v>272.2772277227723</v>
      </c>
      <c r="R100" s="162">
        <f t="shared" si="29"/>
        <v>121.95121951219512</v>
      </c>
      <c r="S100" s="162">
        <f t="shared" si="26"/>
        <v>203.7037037037037</v>
      </c>
    </row>
    <row r="101" spans="1:19" ht="24">
      <c r="A101" s="115" t="s">
        <v>238</v>
      </c>
      <c r="B101" s="115"/>
      <c r="C101" s="111" t="s">
        <v>239</v>
      </c>
      <c r="D101" s="168">
        <v>8</v>
      </c>
      <c r="E101" s="160">
        <f t="shared" si="38"/>
        <v>1</v>
      </c>
      <c r="F101" s="156">
        <f t="shared" si="36"/>
        <v>0</v>
      </c>
      <c r="G101" s="168"/>
      <c r="H101" s="168"/>
      <c r="I101" s="161"/>
      <c r="J101" s="162">
        <v>1</v>
      </c>
      <c r="K101" s="162"/>
      <c r="L101" s="157"/>
      <c r="M101" s="157" t="e">
        <f t="shared" si="37"/>
        <v>#DIV/0!</v>
      </c>
      <c r="N101" s="159"/>
      <c r="O101" s="159"/>
      <c r="P101" s="161">
        <f t="shared" si="30"/>
        <v>0</v>
      </c>
      <c r="Q101" s="157"/>
      <c r="R101" s="162">
        <f t="shared" si="29"/>
        <v>0</v>
      </c>
      <c r="S101" s="162">
        <f t="shared" si="26"/>
        <v>0</v>
      </c>
    </row>
    <row r="102" spans="1:19" ht="12.75">
      <c r="A102" s="115" t="s">
        <v>244</v>
      </c>
      <c r="B102" s="135"/>
      <c r="C102" s="118" t="s">
        <v>245</v>
      </c>
      <c r="D102" s="175"/>
      <c r="E102" s="160">
        <f t="shared" si="38"/>
        <v>0</v>
      </c>
      <c r="F102" s="156">
        <f t="shared" si="36"/>
        <v>0</v>
      </c>
      <c r="G102" s="168"/>
      <c r="H102" s="168"/>
      <c r="I102" s="161"/>
      <c r="J102" s="162"/>
      <c r="K102" s="162">
        <v>2.3</v>
      </c>
      <c r="L102" s="128"/>
      <c r="M102" s="157" t="e">
        <f t="shared" si="37"/>
        <v>#DIV/0!</v>
      </c>
      <c r="N102" s="159"/>
      <c r="O102" s="159"/>
      <c r="P102" s="161" t="e">
        <f t="shared" si="30"/>
        <v>#DIV/0!</v>
      </c>
      <c r="Q102" s="128"/>
      <c r="R102" s="129"/>
      <c r="S102" s="162"/>
    </row>
    <row r="103" spans="1:19" ht="12.75">
      <c r="A103" s="132" t="s">
        <v>246</v>
      </c>
      <c r="B103" s="132"/>
      <c r="C103" s="119" t="s">
        <v>247</v>
      </c>
      <c r="D103" s="163">
        <f aca="true" t="shared" si="39" ref="D103:L103">D104+D105</f>
        <v>19490.6</v>
      </c>
      <c r="E103" s="163">
        <f t="shared" si="39"/>
        <v>26303.5</v>
      </c>
      <c r="F103" s="163">
        <f t="shared" si="39"/>
        <v>20195.2</v>
      </c>
      <c r="G103" s="163">
        <f t="shared" si="39"/>
        <v>5280</v>
      </c>
      <c r="H103" s="163">
        <f t="shared" si="39"/>
        <v>9889.4</v>
      </c>
      <c r="I103" s="163">
        <f t="shared" si="39"/>
        <v>5025.8</v>
      </c>
      <c r="J103" s="163">
        <f t="shared" si="39"/>
        <v>5486.8</v>
      </c>
      <c r="K103" s="163">
        <f t="shared" si="39"/>
        <v>23609.2</v>
      </c>
      <c r="L103" s="163">
        <f t="shared" si="39"/>
        <v>0</v>
      </c>
      <c r="M103" s="128">
        <f>K103/I103*100</f>
        <v>469.76003820287315</v>
      </c>
      <c r="N103" s="159"/>
      <c r="O103" s="159"/>
      <c r="P103" s="154">
        <f t="shared" si="30"/>
        <v>430.29087993001383</v>
      </c>
      <c r="Q103" s="128">
        <f t="shared" si="28"/>
        <v>116.90500713040723</v>
      </c>
      <c r="R103" s="129">
        <f t="shared" si="29"/>
        <v>89.75687646130743</v>
      </c>
      <c r="S103" s="129">
        <f t="shared" si="26"/>
        <v>121.13121196884653</v>
      </c>
    </row>
    <row r="104" spans="1:19" ht="24">
      <c r="A104" s="120" t="s">
        <v>248</v>
      </c>
      <c r="B104" s="112"/>
      <c r="C104" s="121" t="s">
        <v>249</v>
      </c>
      <c r="D104" s="168">
        <v>19490.6</v>
      </c>
      <c r="E104" s="160">
        <v>25853.6</v>
      </c>
      <c r="F104" s="156">
        <f>G104+H104+I104</f>
        <v>19745.3</v>
      </c>
      <c r="G104" s="168">
        <f>5015.2+157.5+107.3</f>
        <v>5280</v>
      </c>
      <c r="H104" s="168">
        <f>4825.1+349.8+4264.6</f>
        <v>9439.5</v>
      </c>
      <c r="I104" s="161">
        <f>4825.1+22.2+178.5</f>
        <v>5025.8</v>
      </c>
      <c r="J104" s="162">
        <f>4825.2+661.6</f>
        <v>5486.8</v>
      </c>
      <c r="K104" s="162">
        <v>22959.3</v>
      </c>
      <c r="L104" s="157"/>
      <c r="M104" s="157">
        <f t="shared" si="37"/>
        <v>456.8287635799275</v>
      </c>
      <c r="N104" s="159"/>
      <c r="O104" s="159"/>
      <c r="P104" s="161">
        <f t="shared" si="30"/>
        <v>418.44608879492597</v>
      </c>
      <c r="Q104" s="157">
        <f t="shared" si="28"/>
        <v>116.27729130476621</v>
      </c>
      <c r="R104" s="162">
        <f t="shared" si="29"/>
        <v>88.80504069065817</v>
      </c>
      <c r="S104" s="162">
        <f t="shared" si="26"/>
        <v>117.7967840907925</v>
      </c>
    </row>
    <row r="105" spans="1:19" ht="12.75">
      <c r="A105" s="120" t="s">
        <v>250</v>
      </c>
      <c r="B105" s="120"/>
      <c r="C105" s="122" t="s">
        <v>251</v>
      </c>
      <c r="D105" s="173"/>
      <c r="E105" s="160">
        <f t="shared" si="38"/>
        <v>449.9</v>
      </c>
      <c r="F105" s="156">
        <f>G105+H105+I105</f>
        <v>449.9</v>
      </c>
      <c r="G105" s="173"/>
      <c r="H105" s="173">
        <v>449.9</v>
      </c>
      <c r="I105" s="161"/>
      <c r="J105" s="162"/>
      <c r="K105" s="162">
        <v>649.9</v>
      </c>
      <c r="L105" s="157"/>
      <c r="M105" s="157"/>
      <c r="N105" s="159"/>
      <c r="O105" s="159"/>
      <c r="P105" s="161" t="e">
        <f t="shared" si="30"/>
        <v>#DIV/0!</v>
      </c>
      <c r="Q105" s="157">
        <f t="shared" si="28"/>
        <v>144.45432318292956</v>
      </c>
      <c r="R105" s="162">
        <f t="shared" si="29"/>
        <v>144.45432318292956</v>
      </c>
      <c r="S105" s="162"/>
    </row>
    <row r="106" spans="1:19" ht="12.75">
      <c r="A106" s="113"/>
      <c r="B106" s="133"/>
      <c r="C106" s="134" t="s">
        <v>256</v>
      </c>
      <c r="D106" s="257">
        <f aca="true" t="shared" si="40" ref="D106:L106">D103+D94</f>
        <v>22913.1</v>
      </c>
      <c r="E106" s="170">
        <f t="shared" si="40"/>
        <v>29662.9</v>
      </c>
      <c r="F106" s="257">
        <f t="shared" si="40"/>
        <v>22692.6</v>
      </c>
      <c r="G106" s="257">
        <f t="shared" si="40"/>
        <v>6108.5</v>
      </c>
      <c r="H106" s="257">
        <f>H103+H94</f>
        <v>10724</v>
      </c>
      <c r="I106" s="170">
        <f t="shared" si="40"/>
        <v>5860.1</v>
      </c>
      <c r="J106" s="170">
        <f t="shared" si="40"/>
        <v>6322.4</v>
      </c>
      <c r="K106" s="170">
        <f t="shared" si="40"/>
        <v>25988.4</v>
      </c>
      <c r="L106" s="170">
        <f t="shared" si="40"/>
        <v>0</v>
      </c>
      <c r="M106" s="256">
        <f>K106/I106*100</f>
        <v>443.4804866811146</v>
      </c>
      <c r="N106" s="159"/>
      <c r="O106" s="166" t="e">
        <f>J106+#REF!+#REF!</f>
        <v>#REF!</v>
      </c>
      <c r="P106" s="257">
        <f t="shared" si="30"/>
        <v>411.05276477287106</v>
      </c>
      <c r="Q106" s="256">
        <f t="shared" si="28"/>
        <v>114.52367732212264</v>
      </c>
      <c r="R106" s="170">
        <f t="shared" si="29"/>
        <v>87.6124721453398</v>
      </c>
      <c r="S106" s="170">
        <f t="shared" si="26"/>
        <v>113.42157979496446</v>
      </c>
    </row>
    <row r="107" spans="1:19" ht="12.75">
      <c r="A107" s="269"/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</row>
    <row r="108" spans="1:19" ht="12.75">
      <c r="A108" s="217" t="s">
        <v>264</v>
      </c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</row>
    <row r="109" spans="1:19" ht="12.75">
      <c r="A109" s="108" t="s">
        <v>218</v>
      </c>
      <c r="B109" s="108"/>
      <c r="C109" s="109" t="s">
        <v>219</v>
      </c>
      <c r="D109" s="128">
        <f>D110+D112+D116+D113+D114+D117+D115+D118+D111</f>
        <v>1801.6</v>
      </c>
      <c r="E109" s="128">
        <f>E110+E112+E116+E113+E114+E117+E115+E118+E111</f>
        <v>2607.1</v>
      </c>
      <c r="F109" s="128">
        <f aca="true" t="shared" si="41" ref="F109:K109">F110+F112+F116+F113+F114+F117+F115+F118+F111</f>
        <v>2073.8</v>
      </c>
      <c r="G109" s="128">
        <f t="shared" si="41"/>
        <v>306.6</v>
      </c>
      <c r="H109" s="128">
        <f t="shared" si="41"/>
        <v>1378.3000000000002</v>
      </c>
      <c r="I109" s="128">
        <f t="shared" si="41"/>
        <v>388.90000000000003</v>
      </c>
      <c r="J109" s="128">
        <f t="shared" si="41"/>
        <v>521.3</v>
      </c>
      <c r="K109" s="128">
        <f t="shared" si="41"/>
        <v>2277.8</v>
      </c>
      <c r="L109" s="128" t="e">
        <f>K109/#REF!*100</f>
        <v>#REF!</v>
      </c>
      <c r="M109" s="128">
        <f aca="true" t="shared" si="42" ref="M109:M116">K109/I109*100</f>
        <v>585.7032656209823</v>
      </c>
      <c r="N109" s="159"/>
      <c r="O109" s="159"/>
      <c r="P109" s="128">
        <f t="shared" si="30"/>
        <v>436.94609629771736</v>
      </c>
      <c r="Q109" s="128">
        <f t="shared" si="28"/>
        <v>109.83701417687338</v>
      </c>
      <c r="R109" s="129">
        <f t="shared" si="29"/>
        <v>87.36910743738255</v>
      </c>
      <c r="S109" s="129">
        <f t="shared" si="26"/>
        <v>126.4320603907638</v>
      </c>
    </row>
    <row r="110" spans="1:19" ht="12.75">
      <c r="A110" s="110" t="s">
        <v>220</v>
      </c>
      <c r="B110" s="110"/>
      <c r="C110" s="111" t="s">
        <v>221</v>
      </c>
      <c r="D110" s="168">
        <v>1260</v>
      </c>
      <c r="E110" s="160">
        <v>2244</v>
      </c>
      <c r="F110" s="156">
        <f>G110+H110+I110</f>
        <v>1796.1000000000001</v>
      </c>
      <c r="G110" s="160">
        <v>235.4</v>
      </c>
      <c r="H110" s="160">
        <v>1265</v>
      </c>
      <c r="I110" s="162">
        <f>292.7+3</f>
        <v>295.7</v>
      </c>
      <c r="J110" s="162">
        <v>446.9</v>
      </c>
      <c r="K110" s="162">
        <v>2095.7</v>
      </c>
      <c r="L110" s="157" t="e">
        <f>K110/#REF!*100</f>
        <v>#REF!</v>
      </c>
      <c r="M110" s="157">
        <f t="shared" si="42"/>
        <v>708.7250591816029</v>
      </c>
      <c r="N110" s="159"/>
      <c r="O110" s="159"/>
      <c r="P110" s="161">
        <f t="shared" si="30"/>
        <v>468.9415976728574</v>
      </c>
      <c r="Q110" s="157">
        <f t="shared" si="28"/>
        <v>116.68058571349032</v>
      </c>
      <c r="R110" s="162">
        <f t="shared" si="29"/>
        <v>93.39126559714794</v>
      </c>
      <c r="S110" s="162">
        <f t="shared" si="26"/>
        <v>166.3253968253968</v>
      </c>
    </row>
    <row r="111" spans="1:19" ht="12.75">
      <c r="A111" s="112" t="s">
        <v>224</v>
      </c>
      <c r="B111" s="112"/>
      <c r="C111" s="111" t="s">
        <v>225</v>
      </c>
      <c r="D111" s="168"/>
      <c r="E111" s="160">
        <f>G111+H111+I111+J111</f>
        <v>0</v>
      </c>
      <c r="F111" s="156">
        <f aca="true" t="shared" si="43" ref="F111:F118">G111+H111+I111</f>
        <v>0</v>
      </c>
      <c r="G111" s="160"/>
      <c r="H111" s="160"/>
      <c r="I111" s="162"/>
      <c r="J111" s="162"/>
      <c r="K111" s="162"/>
      <c r="L111" s="157"/>
      <c r="M111" s="157"/>
      <c r="N111" s="159"/>
      <c r="O111" s="159"/>
      <c r="P111" s="161"/>
      <c r="Q111" s="157"/>
      <c r="R111" s="162"/>
      <c r="S111" s="162" t="e">
        <f t="shared" si="26"/>
        <v>#DIV/0!</v>
      </c>
    </row>
    <row r="112" spans="1:19" ht="12.75">
      <c r="A112" s="112" t="s">
        <v>226</v>
      </c>
      <c r="B112" s="112"/>
      <c r="C112" s="111" t="s">
        <v>227</v>
      </c>
      <c r="D112" s="168">
        <v>63</v>
      </c>
      <c r="E112" s="160">
        <v>92</v>
      </c>
      <c r="F112" s="156">
        <f t="shared" si="43"/>
        <v>70</v>
      </c>
      <c r="G112" s="160">
        <v>9</v>
      </c>
      <c r="H112" s="160">
        <v>30</v>
      </c>
      <c r="I112" s="162">
        <v>31</v>
      </c>
      <c r="J112" s="162">
        <v>12</v>
      </c>
      <c r="K112" s="162">
        <v>60.9</v>
      </c>
      <c r="L112" s="157" t="e">
        <f>K112/#REF!*100</f>
        <v>#REF!</v>
      </c>
      <c r="M112" s="157">
        <f t="shared" si="42"/>
        <v>196.4516129032258</v>
      </c>
      <c r="N112" s="159"/>
      <c r="O112" s="159"/>
      <c r="P112" s="161">
        <f t="shared" si="30"/>
        <v>507.5</v>
      </c>
      <c r="Q112" s="157">
        <f t="shared" si="28"/>
        <v>87</v>
      </c>
      <c r="R112" s="162">
        <f t="shared" si="29"/>
        <v>66.19565217391305</v>
      </c>
      <c r="S112" s="162">
        <f t="shared" si="26"/>
        <v>96.66666666666667</v>
      </c>
    </row>
    <row r="113" spans="1:19" ht="12.75">
      <c r="A113" s="112" t="s">
        <v>228</v>
      </c>
      <c r="B113" s="112"/>
      <c r="C113" s="111" t="s">
        <v>229</v>
      </c>
      <c r="D113" s="168">
        <v>31</v>
      </c>
      <c r="E113" s="160">
        <v>32</v>
      </c>
      <c r="F113" s="156">
        <f t="shared" si="43"/>
        <v>23.5</v>
      </c>
      <c r="G113" s="160">
        <v>7.5</v>
      </c>
      <c r="H113" s="160">
        <v>8.4</v>
      </c>
      <c r="I113" s="162">
        <v>7.6</v>
      </c>
      <c r="J113" s="162">
        <v>7.5</v>
      </c>
      <c r="K113" s="162">
        <v>29.3</v>
      </c>
      <c r="L113" s="157" t="e">
        <f>K113/#REF!*100</f>
        <v>#REF!</v>
      </c>
      <c r="M113" s="157">
        <f t="shared" si="42"/>
        <v>385.5263157894737</v>
      </c>
      <c r="N113" s="159"/>
      <c r="O113" s="159"/>
      <c r="P113" s="161">
        <f t="shared" si="30"/>
        <v>390.6666666666667</v>
      </c>
      <c r="Q113" s="157">
        <f t="shared" si="28"/>
        <v>124.68085106382979</v>
      </c>
      <c r="R113" s="162">
        <f t="shared" si="29"/>
        <v>91.5625</v>
      </c>
      <c r="S113" s="162">
        <f t="shared" si="26"/>
        <v>94.51612903225806</v>
      </c>
    </row>
    <row r="114" spans="1:19" ht="24">
      <c r="A114" s="113" t="s">
        <v>232</v>
      </c>
      <c r="B114" s="113"/>
      <c r="C114" s="111" t="s">
        <v>233</v>
      </c>
      <c r="D114" s="168">
        <v>330.1</v>
      </c>
      <c r="E114" s="160">
        <f>G114+H114+I114+J114</f>
        <v>149.1</v>
      </c>
      <c r="F114" s="156">
        <f t="shared" si="43"/>
        <v>116.69999999999999</v>
      </c>
      <c r="G114" s="160">
        <v>32.2</v>
      </c>
      <c r="H114" s="160">
        <v>52.4</v>
      </c>
      <c r="I114" s="162">
        <v>32.1</v>
      </c>
      <c r="J114" s="162">
        <v>32.4</v>
      </c>
      <c r="K114" s="162">
        <v>22.4</v>
      </c>
      <c r="L114" s="157" t="e">
        <f>K114/#REF!*100</f>
        <v>#REF!</v>
      </c>
      <c r="M114" s="157">
        <f t="shared" si="42"/>
        <v>69.78193146417445</v>
      </c>
      <c r="N114" s="159"/>
      <c r="O114" s="159"/>
      <c r="P114" s="161">
        <f t="shared" si="30"/>
        <v>69.13580246913581</v>
      </c>
      <c r="Q114" s="157">
        <f t="shared" si="28"/>
        <v>19.19451585261354</v>
      </c>
      <c r="R114" s="162">
        <f t="shared" si="29"/>
        <v>15.023474178403756</v>
      </c>
      <c r="S114" s="162">
        <f t="shared" si="26"/>
        <v>6.785822478036958</v>
      </c>
    </row>
    <row r="115" spans="1:19" ht="24">
      <c r="A115" s="115" t="s">
        <v>236</v>
      </c>
      <c r="B115" s="115"/>
      <c r="C115" s="111" t="s">
        <v>237</v>
      </c>
      <c r="D115" s="168">
        <v>90</v>
      </c>
      <c r="E115" s="160">
        <f>G115+H115+I115+J115</f>
        <v>90</v>
      </c>
      <c r="F115" s="156">
        <f t="shared" si="43"/>
        <v>67.5</v>
      </c>
      <c r="G115" s="160">
        <v>22.5</v>
      </c>
      <c r="H115" s="160">
        <v>22.5</v>
      </c>
      <c r="I115" s="162">
        <v>22.5</v>
      </c>
      <c r="J115" s="162">
        <v>22.5</v>
      </c>
      <c r="K115" s="162">
        <v>69.5</v>
      </c>
      <c r="L115" s="157" t="e">
        <f>K115/#REF!*100</f>
        <v>#REF!</v>
      </c>
      <c r="M115" s="157">
        <f t="shared" si="42"/>
        <v>308.8888888888889</v>
      </c>
      <c r="N115" s="159"/>
      <c r="O115" s="159"/>
      <c r="P115" s="161">
        <f t="shared" si="30"/>
        <v>308.8888888888889</v>
      </c>
      <c r="Q115" s="157">
        <f t="shared" si="28"/>
        <v>102.96296296296296</v>
      </c>
      <c r="R115" s="162">
        <f t="shared" si="29"/>
        <v>77.22222222222223</v>
      </c>
      <c r="S115" s="162">
        <f t="shared" si="26"/>
        <v>77.22222222222223</v>
      </c>
    </row>
    <row r="116" spans="1:19" ht="24">
      <c r="A116" s="114" t="s">
        <v>238</v>
      </c>
      <c r="B116" s="114"/>
      <c r="C116" s="111" t="s">
        <v>239</v>
      </c>
      <c r="D116" s="168">
        <v>27.5</v>
      </c>
      <c r="E116" s="160">
        <f>G116+H116+I116+J116</f>
        <v>0</v>
      </c>
      <c r="F116" s="156">
        <f t="shared" si="43"/>
        <v>0</v>
      </c>
      <c r="G116" s="160"/>
      <c r="H116" s="160"/>
      <c r="I116" s="162"/>
      <c r="J116" s="162"/>
      <c r="K116" s="162"/>
      <c r="L116" s="157" t="e">
        <f>K116/#REF!*100</f>
        <v>#REF!</v>
      </c>
      <c r="M116" s="157" t="e">
        <f t="shared" si="42"/>
        <v>#DIV/0!</v>
      </c>
      <c r="N116" s="159"/>
      <c r="O116" s="159"/>
      <c r="P116" s="161" t="e">
        <f t="shared" si="30"/>
        <v>#DIV/0!</v>
      </c>
      <c r="Q116" s="157"/>
      <c r="R116" s="162"/>
      <c r="S116" s="162">
        <f t="shared" si="26"/>
        <v>0</v>
      </c>
    </row>
    <row r="117" spans="1:19" ht="12.75">
      <c r="A117" s="110" t="s">
        <v>242</v>
      </c>
      <c r="B117" s="110"/>
      <c r="C117" s="111" t="s">
        <v>243</v>
      </c>
      <c r="D117" s="168"/>
      <c r="E117" s="160">
        <f>G117+H117+I117+J117</f>
        <v>0</v>
      </c>
      <c r="F117" s="156">
        <f t="shared" si="43"/>
        <v>0</v>
      </c>
      <c r="G117" s="160"/>
      <c r="H117" s="160"/>
      <c r="I117" s="162"/>
      <c r="J117" s="162"/>
      <c r="K117" s="162"/>
      <c r="L117" s="157"/>
      <c r="M117" s="157"/>
      <c r="N117" s="159"/>
      <c r="O117" s="159"/>
      <c r="P117" s="161" t="e">
        <f t="shared" si="30"/>
        <v>#DIV/0!</v>
      </c>
      <c r="Q117" s="128" t="e">
        <f t="shared" si="28"/>
        <v>#DIV/0!</v>
      </c>
      <c r="R117" s="129" t="e">
        <f t="shared" si="29"/>
        <v>#DIV/0!</v>
      </c>
      <c r="S117" s="162" t="e">
        <f t="shared" si="26"/>
        <v>#DIV/0!</v>
      </c>
    </row>
    <row r="118" spans="1:19" ht="12.75">
      <c r="A118" s="114" t="s">
        <v>244</v>
      </c>
      <c r="B118" s="135"/>
      <c r="C118" s="118" t="s">
        <v>245</v>
      </c>
      <c r="D118" s="175"/>
      <c r="E118" s="160">
        <f>G118+H118+I118+J118</f>
        <v>0</v>
      </c>
      <c r="F118" s="156">
        <f t="shared" si="43"/>
        <v>0</v>
      </c>
      <c r="G118" s="160"/>
      <c r="H118" s="160"/>
      <c r="I118" s="162"/>
      <c r="J118" s="162"/>
      <c r="K118" s="162"/>
      <c r="L118" s="157"/>
      <c r="M118" s="157"/>
      <c r="N118" s="159"/>
      <c r="O118" s="159"/>
      <c r="P118" s="161" t="e">
        <f t="shared" si="30"/>
        <v>#DIV/0!</v>
      </c>
      <c r="Q118" s="128"/>
      <c r="R118" s="129"/>
      <c r="S118" s="162"/>
    </row>
    <row r="119" spans="1:19" ht="12.75">
      <c r="A119" s="108" t="s">
        <v>246</v>
      </c>
      <c r="B119" s="108"/>
      <c r="C119" s="119" t="s">
        <v>247</v>
      </c>
      <c r="D119" s="163">
        <f>D120+D121</f>
        <v>24734.8</v>
      </c>
      <c r="E119" s="163">
        <f>E120+E121</f>
        <v>30403</v>
      </c>
      <c r="F119" s="163">
        <f aca="true" t="shared" si="44" ref="F119:K119">F120+F121</f>
        <v>23103.199999999997</v>
      </c>
      <c r="G119" s="163">
        <f t="shared" si="44"/>
        <v>4130.1</v>
      </c>
      <c r="H119" s="163">
        <f t="shared" si="44"/>
        <v>8470.3</v>
      </c>
      <c r="I119" s="163">
        <f t="shared" si="44"/>
        <v>10502.8</v>
      </c>
      <c r="J119" s="163">
        <f t="shared" si="44"/>
        <v>6590.9</v>
      </c>
      <c r="K119" s="163">
        <f t="shared" si="44"/>
        <v>25410.4</v>
      </c>
      <c r="L119" s="163" t="e">
        <f>L120</f>
        <v>#REF!</v>
      </c>
      <c r="M119" s="128">
        <f>K119/I119*100</f>
        <v>241.93929237917507</v>
      </c>
      <c r="N119" s="159"/>
      <c r="O119" s="159"/>
      <c r="P119" s="154">
        <f t="shared" si="30"/>
        <v>385.53763522432445</v>
      </c>
      <c r="Q119" s="128">
        <f t="shared" si="28"/>
        <v>109.98649537726376</v>
      </c>
      <c r="R119" s="129">
        <f t="shared" si="29"/>
        <v>83.57859421767589</v>
      </c>
      <c r="S119" s="129">
        <f t="shared" si="26"/>
        <v>102.73137441984572</v>
      </c>
    </row>
    <row r="120" spans="1:19" ht="24">
      <c r="A120" s="120" t="s">
        <v>248</v>
      </c>
      <c r="B120" s="112"/>
      <c r="C120" s="121" t="s">
        <v>249</v>
      </c>
      <c r="D120" s="168">
        <v>24734.8</v>
      </c>
      <c r="E120" s="160">
        <v>29803</v>
      </c>
      <c r="F120" s="156">
        <f>G120+H120+I120</f>
        <v>22503.199999999997</v>
      </c>
      <c r="G120" s="160">
        <f>3823.7+27.9+278.5</f>
        <v>4130.1</v>
      </c>
      <c r="H120" s="160">
        <f>7079.4+700+71.3+619.6</f>
        <v>8470.3</v>
      </c>
      <c r="I120" s="162">
        <f>7725.2+193+1983.7+0.9</f>
        <v>9902.8</v>
      </c>
      <c r="J120" s="162">
        <f>6106.5+484.4</f>
        <v>6590.9</v>
      </c>
      <c r="K120" s="162">
        <v>24810.4</v>
      </c>
      <c r="L120" s="157" t="e">
        <f>K120/#REF!*100</f>
        <v>#REF!</v>
      </c>
      <c r="M120" s="157">
        <f>K120/I120*100</f>
        <v>250.53924142666725</v>
      </c>
      <c r="N120" s="159"/>
      <c r="O120" s="159"/>
      <c r="P120" s="161">
        <f t="shared" si="30"/>
        <v>376.4341743919647</v>
      </c>
      <c r="Q120" s="157">
        <f t="shared" si="28"/>
        <v>110.25276405133494</v>
      </c>
      <c r="R120" s="162">
        <f t="shared" si="29"/>
        <v>83.24799516827166</v>
      </c>
      <c r="S120" s="162">
        <f t="shared" si="26"/>
        <v>100.30564225302004</v>
      </c>
    </row>
    <row r="121" spans="1:19" ht="12.75">
      <c r="A121" s="120" t="s">
        <v>250</v>
      </c>
      <c r="B121" s="120"/>
      <c r="C121" s="122" t="s">
        <v>251</v>
      </c>
      <c r="D121" s="173"/>
      <c r="E121" s="160">
        <v>600</v>
      </c>
      <c r="F121" s="156">
        <f>G121+H121+I121</f>
        <v>600</v>
      </c>
      <c r="G121" s="160"/>
      <c r="H121" s="160"/>
      <c r="I121" s="162">
        <v>600</v>
      </c>
      <c r="J121" s="162"/>
      <c r="K121" s="162">
        <v>600</v>
      </c>
      <c r="L121" s="157"/>
      <c r="M121" s="157"/>
      <c r="N121" s="159"/>
      <c r="O121" s="159"/>
      <c r="P121" s="161"/>
      <c r="Q121" s="157">
        <f t="shared" si="28"/>
        <v>100</v>
      </c>
      <c r="R121" s="162">
        <f t="shared" si="29"/>
        <v>100</v>
      </c>
      <c r="S121" s="162"/>
    </row>
    <row r="122" spans="1:19" ht="12.75">
      <c r="A122" s="110"/>
      <c r="B122" s="126"/>
      <c r="C122" s="127" t="s">
        <v>256</v>
      </c>
      <c r="D122" s="154">
        <f aca="true" t="shared" si="45" ref="D122:K122">D119+D109</f>
        <v>26536.399999999998</v>
      </c>
      <c r="E122" s="129">
        <f t="shared" si="45"/>
        <v>33010.1</v>
      </c>
      <c r="F122" s="129">
        <f t="shared" si="45"/>
        <v>25176.999999999996</v>
      </c>
      <c r="G122" s="129">
        <f t="shared" si="45"/>
        <v>4436.700000000001</v>
      </c>
      <c r="H122" s="129">
        <f t="shared" si="45"/>
        <v>9848.599999999999</v>
      </c>
      <c r="I122" s="129">
        <f t="shared" si="45"/>
        <v>10891.699999999999</v>
      </c>
      <c r="J122" s="129">
        <f t="shared" si="45"/>
        <v>7112.2</v>
      </c>
      <c r="K122" s="129">
        <f t="shared" si="45"/>
        <v>27688.2</v>
      </c>
      <c r="L122" s="128" t="e">
        <f>K122/#REF!*100</f>
        <v>#REF!</v>
      </c>
      <c r="M122" s="128">
        <f>K122/I122*100</f>
        <v>254.21375910096683</v>
      </c>
      <c r="N122" s="159"/>
      <c r="O122" s="166" t="e">
        <f>J122+#REF!+#REF!</f>
        <v>#REF!</v>
      </c>
      <c r="P122" s="154">
        <f t="shared" si="30"/>
        <v>389.3057000646776</v>
      </c>
      <c r="Q122" s="128">
        <f t="shared" si="28"/>
        <v>109.97418278587601</v>
      </c>
      <c r="R122" s="129">
        <f t="shared" si="29"/>
        <v>83.87796462294874</v>
      </c>
      <c r="S122" s="129">
        <f t="shared" si="26"/>
        <v>104.34045311345926</v>
      </c>
    </row>
    <row r="123" spans="1:19" ht="12.75">
      <c r="A123" s="271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3"/>
    </row>
    <row r="124" spans="1:19" ht="12.75">
      <c r="A124" s="208" t="s">
        <v>265</v>
      </c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10"/>
    </row>
    <row r="125" spans="1:19" ht="12.75">
      <c r="A125" s="108" t="s">
        <v>218</v>
      </c>
      <c r="B125" s="108"/>
      <c r="C125" s="109" t="s">
        <v>219</v>
      </c>
      <c r="D125" s="128">
        <f aca="true" t="shared" si="46" ref="D125:K125">D126+D127+D128+D129+D131+D133+D130+D132</f>
        <v>2764</v>
      </c>
      <c r="E125" s="128">
        <f t="shared" si="46"/>
        <v>2492</v>
      </c>
      <c r="F125" s="128">
        <f t="shared" si="46"/>
        <v>1716.8000000000002</v>
      </c>
      <c r="G125" s="128">
        <f t="shared" si="46"/>
        <v>567.2</v>
      </c>
      <c r="H125" s="128">
        <f t="shared" si="46"/>
        <v>573.2</v>
      </c>
      <c r="I125" s="128">
        <f t="shared" si="46"/>
        <v>576.4</v>
      </c>
      <c r="J125" s="128">
        <f t="shared" si="46"/>
        <v>593.7</v>
      </c>
      <c r="K125" s="128">
        <f t="shared" si="46"/>
        <v>2219.5</v>
      </c>
      <c r="L125" s="128" t="e">
        <f>K125/#REF!*100</f>
        <v>#REF!</v>
      </c>
      <c r="M125" s="128">
        <f aca="true" t="shared" si="47" ref="M125:M131">K125/I125*100</f>
        <v>385.06245662734216</v>
      </c>
      <c r="N125" s="159"/>
      <c r="O125" s="159"/>
      <c r="P125" s="128">
        <f t="shared" si="30"/>
        <v>373.8420077480209</v>
      </c>
      <c r="Q125" s="128">
        <f t="shared" si="28"/>
        <v>129.28122087604845</v>
      </c>
      <c r="R125" s="129">
        <f t="shared" si="29"/>
        <v>89.06500802568219</v>
      </c>
      <c r="S125" s="129">
        <f t="shared" si="26"/>
        <v>80.30028943560058</v>
      </c>
    </row>
    <row r="126" spans="1:19" ht="12.75">
      <c r="A126" s="110" t="s">
        <v>220</v>
      </c>
      <c r="B126" s="110"/>
      <c r="C126" s="111" t="s">
        <v>221</v>
      </c>
      <c r="D126" s="168">
        <v>1922.5</v>
      </c>
      <c r="E126" s="160">
        <v>2022.5</v>
      </c>
      <c r="F126" s="156">
        <f>G126+H126+I126</f>
        <v>1441.8000000000002</v>
      </c>
      <c r="G126" s="168">
        <v>480.6</v>
      </c>
      <c r="H126" s="168">
        <v>480.6</v>
      </c>
      <c r="I126" s="161">
        <v>480.6</v>
      </c>
      <c r="J126" s="162">
        <v>480.7</v>
      </c>
      <c r="K126" s="162">
        <v>1841.8</v>
      </c>
      <c r="L126" s="157" t="e">
        <f>K126/#REF!*100</f>
        <v>#REF!</v>
      </c>
      <c r="M126" s="157">
        <f t="shared" si="47"/>
        <v>383.22929671244276</v>
      </c>
      <c r="N126" s="159"/>
      <c r="O126" s="159"/>
      <c r="P126" s="161">
        <f t="shared" si="30"/>
        <v>383.14957353858955</v>
      </c>
      <c r="Q126" s="157">
        <f t="shared" si="28"/>
        <v>127.74309890414757</v>
      </c>
      <c r="R126" s="162">
        <f t="shared" si="29"/>
        <v>91.0655129789864</v>
      </c>
      <c r="S126" s="162">
        <f t="shared" si="26"/>
        <v>95.80234070221066</v>
      </c>
    </row>
    <row r="127" spans="1:19" ht="12.75">
      <c r="A127" s="112" t="s">
        <v>226</v>
      </c>
      <c r="B127" s="112"/>
      <c r="C127" s="111" t="s">
        <v>227</v>
      </c>
      <c r="D127" s="168">
        <v>196</v>
      </c>
      <c r="E127" s="160">
        <v>242</v>
      </c>
      <c r="F127" s="156">
        <f aca="true" t="shared" si="48" ref="F127:F136">G127+H127+I127</f>
        <v>136.2</v>
      </c>
      <c r="G127" s="168">
        <v>43</v>
      </c>
      <c r="H127" s="168">
        <v>47.9</v>
      </c>
      <c r="I127" s="161">
        <v>45.3</v>
      </c>
      <c r="J127" s="162">
        <v>59.8</v>
      </c>
      <c r="K127" s="162">
        <v>208.2</v>
      </c>
      <c r="L127" s="157" t="e">
        <f>K127/#REF!*100</f>
        <v>#REF!</v>
      </c>
      <c r="M127" s="157">
        <f t="shared" si="47"/>
        <v>459.6026490066225</v>
      </c>
      <c r="N127" s="159"/>
      <c r="O127" s="159"/>
      <c r="P127" s="161">
        <f t="shared" si="30"/>
        <v>348.1605351170569</v>
      </c>
      <c r="Q127" s="157">
        <f t="shared" si="28"/>
        <v>152.86343612334804</v>
      </c>
      <c r="R127" s="162">
        <f t="shared" si="29"/>
        <v>86.03305785123968</v>
      </c>
      <c r="S127" s="162">
        <f t="shared" si="26"/>
        <v>106.22448979591837</v>
      </c>
    </row>
    <row r="128" spans="1:19" ht="12.75">
      <c r="A128" s="112" t="s">
        <v>228</v>
      </c>
      <c r="B128" s="112"/>
      <c r="C128" s="111" t="s">
        <v>229</v>
      </c>
      <c r="D128" s="168">
        <v>40</v>
      </c>
      <c r="E128" s="160">
        <v>60</v>
      </c>
      <c r="F128" s="156">
        <f t="shared" si="48"/>
        <v>24.8</v>
      </c>
      <c r="G128" s="168">
        <v>6</v>
      </c>
      <c r="H128" s="168">
        <v>6</v>
      </c>
      <c r="I128" s="161">
        <v>12.8</v>
      </c>
      <c r="J128" s="162">
        <v>15.2</v>
      </c>
      <c r="K128" s="162">
        <v>55.4</v>
      </c>
      <c r="L128" s="157" t="e">
        <f>K128/#REF!*100</f>
        <v>#REF!</v>
      </c>
      <c r="M128" s="157">
        <f t="shared" si="47"/>
        <v>432.8125</v>
      </c>
      <c r="N128" s="159"/>
      <c r="O128" s="159"/>
      <c r="P128" s="161">
        <f t="shared" si="30"/>
        <v>364.47368421052636</v>
      </c>
      <c r="Q128" s="157">
        <f t="shared" si="28"/>
        <v>223.38709677419354</v>
      </c>
      <c r="R128" s="162">
        <f t="shared" si="29"/>
        <v>92.33333333333333</v>
      </c>
      <c r="S128" s="162">
        <f t="shared" si="26"/>
        <v>138.5</v>
      </c>
    </row>
    <row r="129" spans="1:19" ht="24">
      <c r="A129" s="113" t="s">
        <v>232</v>
      </c>
      <c r="B129" s="113"/>
      <c r="C129" s="111" t="s">
        <v>233</v>
      </c>
      <c r="D129" s="168">
        <v>432.5</v>
      </c>
      <c r="E129" s="160">
        <v>87.5</v>
      </c>
      <c r="F129" s="156">
        <f t="shared" si="48"/>
        <v>54</v>
      </c>
      <c r="G129" s="168">
        <v>18</v>
      </c>
      <c r="H129" s="168">
        <v>18</v>
      </c>
      <c r="I129" s="161">
        <v>18</v>
      </c>
      <c r="J129" s="162">
        <v>18</v>
      </c>
      <c r="K129" s="162">
        <v>73.6</v>
      </c>
      <c r="L129" s="157" t="e">
        <f>K129/#REF!*100</f>
        <v>#REF!</v>
      </c>
      <c r="M129" s="157">
        <f t="shared" si="47"/>
        <v>408.88888888888886</v>
      </c>
      <c r="N129" s="159"/>
      <c r="O129" s="159"/>
      <c r="P129" s="161">
        <f t="shared" si="30"/>
        <v>408.88888888888886</v>
      </c>
      <c r="Q129" s="157">
        <f t="shared" si="28"/>
        <v>136.29629629629628</v>
      </c>
      <c r="R129" s="162">
        <f t="shared" si="29"/>
        <v>84.1142857142857</v>
      </c>
      <c r="S129" s="162">
        <f t="shared" si="26"/>
        <v>17.017341040462426</v>
      </c>
    </row>
    <row r="130" spans="1:19" ht="24">
      <c r="A130" s="115" t="s">
        <v>236</v>
      </c>
      <c r="B130" s="115"/>
      <c r="C130" s="111" t="s">
        <v>237</v>
      </c>
      <c r="D130" s="168">
        <v>80</v>
      </c>
      <c r="E130" s="160">
        <f aca="true" t="shared" si="49" ref="E130:E136">G130+H130+I130+J130</f>
        <v>80</v>
      </c>
      <c r="F130" s="156">
        <f t="shared" si="48"/>
        <v>60</v>
      </c>
      <c r="G130" s="168">
        <v>19.6</v>
      </c>
      <c r="H130" s="168">
        <v>20.7</v>
      </c>
      <c r="I130" s="161">
        <v>19.7</v>
      </c>
      <c r="J130" s="162">
        <v>20</v>
      </c>
      <c r="K130" s="162">
        <v>40.5</v>
      </c>
      <c r="L130" s="157" t="e">
        <f>K130/#REF!*100</f>
        <v>#REF!</v>
      </c>
      <c r="M130" s="157">
        <f t="shared" si="47"/>
        <v>205.58375634517768</v>
      </c>
      <c r="N130" s="159"/>
      <c r="O130" s="159"/>
      <c r="P130" s="161">
        <f t="shared" si="30"/>
        <v>202.5</v>
      </c>
      <c r="Q130" s="157">
        <f t="shared" si="28"/>
        <v>67.5</v>
      </c>
      <c r="R130" s="162">
        <f t="shared" si="29"/>
        <v>50.625</v>
      </c>
      <c r="S130" s="162">
        <f t="shared" si="26"/>
        <v>50.625</v>
      </c>
    </row>
    <row r="131" spans="1:19" ht="24">
      <c r="A131" s="115" t="s">
        <v>238</v>
      </c>
      <c r="B131" s="115"/>
      <c r="C131" s="111" t="s">
        <v>239</v>
      </c>
      <c r="D131" s="168">
        <v>93</v>
      </c>
      <c r="E131" s="160">
        <f t="shared" si="49"/>
        <v>0</v>
      </c>
      <c r="F131" s="156">
        <f t="shared" si="48"/>
        <v>0</v>
      </c>
      <c r="G131" s="168"/>
      <c r="H131" s="168"/>
      <c r="I131" s="161"/>
      <c r="J131" s="162"/>
      <c r="K131" s="162"/>
      <c r="L131" s="157" t="e">
        <f>K131/#REF!*100</f>
        <v>#REF!</v>
      </c>
      <c r="M131" s="157" t="e">
        <f t="shared" si="47"/>
        <v>#DIV/0!</v>
      </c>
      <c r="N131" s="159"/>
      <c r="O131" s="159"/>
      <c r="P131" s="161" t="e">
        <f t="shared" si="30"/>
        <v>#DIV/0!</v>
      </c>
      <c r="Q131" s="157"/>
      <c r="R131" s="162"/>
      <c r="S131" s="162">
        <f t="shared" si="26"/>
        <v>0</v>
      </c>
    </row>
    <row r="132" spans="1:19" ht="12.75">
      <c r="A132" s="110" t="s">
        <v>242</v>
      </c>
      <c r="B132" s="110"/>
      <c r="C132" s="111" t="s">
        <v>243</v>
      </c>
      <c r="D132" s="168"/>
      <c r="E132" s="160">
        <f t="shared" si="49"/>
        <v>0</v>
      </c>
      <c r="F132" s="156">
        <f t="shared" si="48"/>
        <v>0</v>
      </c>
      <c r="G132" s="168"/>
      <c r="H132" s="168"/>
      <c r="I132" s="161"/>
      <c r="J132" s="162"/>
      <c r="K132" s="162"/>
      <c r="L132" s="157"/>
      <c r="M132" s="157"/>
      <c r="N132" s="159"/>
      <c r="O132" s="159"/>
      <c r="P132" s="161"/>
      <c r="Q132" s="157"/>
      <c r="R132" s="162"/>
      <c r="S132" s="162" t="e">
        <f t="shared" si="26"/>
        <v>#DIV/0!</v>
      </c>
    </row>
    <row r="133" spans="1:19" ht="12.75">
      <c r="A133" s="115" t="s">
        <v>244</v>
      </c>
      <c r="B133" s="135"/>
      <c r="C133" s="118" t="s">
        <v>245</v>
      </c>
      <c r="D133" s="175"/>
      <c r="E133" s="160">
        <f t="shared" si="49"/>
        <v>0</v>
      </c>
      <c r="F133" s="156">
        <f t="shared" si="48"/>
        <v>0</v>
      </c>
      <c r="G133" s="168">
        <v>0</v>
      </c>
      <c r="H133" s="168"/>
      <c r="I133" s="161"/>
      <c r="J133" s="162"/>
      <c r="K133" s="161"/>
      <c r="L133" s="157"/>
      <c r="M133" s="157"/>
      <c r="N133" s="159"/>
      <c r="O133" s="159"/>
      <c r="P133" s="161"/>
      <c r="Q133" s="157"/>
      <c r="R133" s="162"/>
      <c r="S133" s="162"/>
    </row>
    <row r="134" spans="1:19" ht="12.75">
      <c r="A134" s="132" t="s">
        <v>246</v>
      </c>
      <c r="B134" s="132"/>
      <c r="C134" s="119" t="s">
        <v>247</v>
      </c>
      <c r="D134" s="163">
        <f aca="true" t="shared" si="50" ref="D134:K134">D135+D136</f>
        <v>43135.9</v>
      </c>
      <c r="E134" s="163">
        <f t="shared" si="50"/>
        <v>50189.3</v>
      </c>
      <c r="F134" s="163">
        <f t="shared" si="50"/>
        <v>36417.200000000004</v>
      </c>
      <c r="G134" s="163">
        <f t="shared" si="50"/>
        <v>13626.2</v>
      </c>
      <c r="H134" s="163">
        <f t="shared" si="50"/>
        <v>10701</v>
      </c>
      <c r="I134" s="163">
        <f t="shared" si="50"/>
        <v>12090.000000000002</v>
      </c>
      <c r="J134" s="163">
        <f t="shared" si="50"/>
        <v>11761.800000000001</v>
      </c>
      <c r="K134" s="163">
        <f t="shared" si="50"/>
        <v>41776.2</v>
      </c>
      <c r="L134" s="128" t="e">
        <f>K134/#REF!*100</f>
        <v>#REF!</v>
      </c>
      <c r="M134" s="128">
        <f>K134/I134*100</f>
        <v>345.5434243176178</v>
      </c>
      <c r="N134" s="159"/>
      <c r="O134" s="159"/>
      <c r="P134" s="154">
        <f t="shared" si="30"/>
        <v>355.18543080140785</v>
      </c>
      <c r="Q134" s="128">
        <f t="shared" si="28"/>
        <v>114.71557395955755</v>
      </c>
      <c r="R134" s="129">
        <f t="shared" si="29"/>
        <v>83.23726371955775</v>
      </c>
      <c r="S134" s="129">
        <f t="shared" si="26"/>
        <v>96.84786917625456</v>
      </c>
    </row>
    <row r="135" spans="1:19" ht="24">
      <c r="A135" s="120" t="s">
        <v>248</v>
      </c>
      <c r="B135" s="112"/>
      <c r="C135" s="121" t="s">
        <v>249</v>
      </c>
      <c r="D135" s="168">
        <v>43135.9</v>
      </c>
      <c r="E135" s="160">
        <v>49789.3</v>
      </c>
      <c r="F135" s="156">
        <f t="shared" si="48"/>
        <v>36017.200000000004</v>
      </c>
      <c r="G135" s="168">
        <f>11113.2+83.6+2263.9+165.5</f>
        <v>13626.2</v>
      </c>
      <c r="H135" s="168">
        <f>10674.2+10+16.8</f>
        <v>10701</v>
      </c>
      <c r="I135" s="161">
        <f>10674.2+113.2+766.7+135.9</f>
        <v>11690.000000000002</v>
      </c>
      <c r="J135" s="162">
        <f>10674.2+1087.6</f>
        <v>11761.800000000001</v>
      </c>
      <c r="K135" s="162">
        <v>41376.2</v>
      </c>
      <c r="L135" s="157" t="e">
        <f>K135/#REF!*100</f>
        <v>#REF!</v>
      </c>
      <c r="M135" s="157">
        <f>K135/I135*100</f>
        <v>353.94525235243793</v>
      </c>
      <c r="N135" s="159"/>
      <c r="O135" s="159"/>
      <c r="P135" s="161">
        <f t="shared" si="30"/>
        <v>351.78459079392604</v>
      </c>
      <c r="Q135" s="157">
        <f t="shared" si="28"/>
        <v>114.8790022544784</v>
      </c>
      <c r="R135" s="162">
        <f t="shared" si="29"/>
        <v>83.10259433251721</v>
      </c>
      <c r="S135" s="162">
        <f t="shared" si="26"/>
        <v>95.92056732327364</v>
      </c>
    </row>
    <row r="136" spans="1:19" ht="12.75">
      <c r="A136" s="120" t="s">
        <v>250</v>
      </c>
      <c r="B136" s="120"/>
      <c r="C136" s="122" t="s">
        <v>251</v>
      </c>
      <c r="D136" s="173"/>
      <c r="E136" s="160">
        <f t="shared" si="49"/>
        <v>400</v>
      </c>
      <c r="F136" s="156">
        <f t="shared" si="48"/>
        <v>400</v>
      </c>
      <c r="G136" s="173"/>
      <c r="H136" s="173"/>
      <c r="I136" s="161">
        <v>400</v>
      </c>
      <c r="J136" s="162"/>
      <c r="K136" s="162">
        <v>400</v>
      </c>
      <c r="L136" s="157"/>
      <c r="M136" s="157"/>
      <c r="N136" s="159"/>
      <c r="O136" s="159"/>
      <c r="P136" s="161" t="e">
        <f t="shared" si="30"/>
        <v>#DIV/0!</v>
      </c>
      <c r="Q136" s="157">
        <f>K136*100/F136</f>
        <v>100</v>
      </c>
      <c r="R136" s="162">
        <f>K136*100/E136</f>
        <v>100</v>
      </c>
      <c r="S136" s="162"/>
    </row>
    <row r="137" spans="1:19" ht="12.75">
      <c r="A137" s="113"/>
      <c r="B137" s="133"/>
      <c r="C137" s="134" t="s">
        <v>256</v>
      </c>
      <c r="D137" s="257">
        <f aca="true" t="shared" si="51" ref="D137:K137">D134+D125</f>
        <v>45899.9</v>
      </c>
      <c r="E137" s="170">
        <f t="shared" si="51"/>
        <v>52681.3</v>
      </c>
      <c r="F137" s="170">
        <f t="shared" si="51"/>
        <v>38134.00000000001</v>
      </c>
      <c r="G137" s="257">
        <f t="shared" si="51"/>
        <v>14193.400000000001</v>
      </c>
      <c r="H137" s="257">
        <f t="shared" si="51"/>
        <v>11274.2</v>
      </c>
      <c r="I137" s="257">
        <f t="shared" si="51"/>
        <v>12666.400000000001</v>
      </c>
      <c r="J137" s="170">
        <f t="shared" si="51"/>
        <v>12355.500000000002</v>
      </c>
      <c r="K137" s="170">
        <f t="shared" si="51"/>
        <v>43995.7</v>
      </c>
      <c r="L137" s="256" t="e">
        <f>K137/#REF!*100</f>
        <v>#REF!</v>
      </c>
      <c r="M137" s="256">
        <f>K137/I137*100</f>
        <v>347.34178614286606</v>
      </c>
      <c r="N137" s="159"/>
      <c r="O137" s="166" t="e">
        <f>J137+#REF!+#REF!</f>
        <v>#REF!</v>
      </c>
      <c r="P137" s="257">
        <f t="shared" si="30"/>
        <v>356.08190684310625</v>
      </c>
      <c r="Q137" s="256">
        <f t="shared" si="28"/>
        <v>115.37132217968215</v>
      </c>
      <c r="R137" s="170">
        <f t="shared" si="29"/>
        <v>83.51293532999375</v>
      </c>
      <c r="S137" s="170">
        <f aca="true" t="shared" si="52" ref="S137:S198">K137*100/D137</f>
        <v>95.85140708367555</v>
      </c>
    </row>
    <row r="138" spans="1:19" ht="12.75">
      <c r="A138" s="266"/>
      <c r="B138" s="266"/>
      <c r="C138" s="266"/>
      <c r="D138" s="266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</row>
    <row r="139" spans="1:19" ht="12.75">
      <c r="A139" s="208" t="s">
        <v>266</v>
      </c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10"/>
    </row>
    <row r="140" spans="1:19" ht="12.75">
      <c r="A140" s="108" t="s">
        <v>218</v>
      </c>
      <c r="B140" s="108"/>
      <c r="C140" s="109" t="s">
        <v>219</v>
      </c>
      <c r="D140" s="128">
        <f aca="true" t="shared" si="53" ref="D140:K140">D141+D143+D145+D147+D144+D148+D146+D149+D142</f>
        <v>15159.000000000002</v>
      </c>
      <c r="E140" s="128">
        <f t="shared" si="53"/>
        <v>14260.000000000002</v>
      </c>
      <c r="F140" s="128">
        <f t="shared" si="53"/>
        <v>10322.2</v>
      </c>
      <c r="G140" s="128">
        <f t="shared" si="53"/>
        <v>2819.4</v>
      </c>
      <c r="H140" s="128">
        <f t="shared" si="53"/>
        <v>3757.4</v>
      </c>
      <c r="I140" s="128">
        <f t="shared" si="53"/>
        <v>3745.4</v>
      </c>
      <c r="J140" s="128">
        <f t="shared" si="53"/>
        <v>3937.7999999999997</v>
      </c>
      <c r="K140" s="128">
        <f t="shared" si="53"/>
        <v>10824.900000000001</v>
      </c>
      <c r="L140" s="128" t="e">
        <f>K140/#REF!*100</f>
        <v>#REF!</v>
      </c>
      <c r="M140" s="128">
        <f>K140/I140*100</f>
        <v>289.0185293960592</v>
      </c>
      <c r="N140" s="159"/>
      <c r="O140" s="159"/>
      <c r="P140" s="128">
        <f t="shared" si="30"/>
        <v>274.8971506932806</v>
      </c>
      <c r="Q140" s="128">
        <f t="shared" si="28"/>
        <v>104.87008583441516</v>
      </c>
      <c r="R140" s="129">
        <f t="shared" si="29"/>
        <v>75.91093969144461</v>
      </c>
      <c r="S140" s="129">
        <f t="shared" si="52"/>
        <v>71.40906392242233</v>
      </c>
    </row>
    <row r="141" spans="1:19" ht="12.75">
      <c r="A141" s="110" t="s">
        <v>220</v>
      </c>
      <c r="B141" s="110"/>
      <c r="C141" s="111" t="s">
        <v>221</v>
      </c>
      <c r="D141" s="168">
        <v>12839.7</v>
      </c>
      <c r="E141" s="168">
        <f>G141+H141+I141+J141</f>
        <v>12839.7</v>
      </c>
      <c r="F141" s="156">
        <f>G141+H141+I141</f>
        <v>9490</v>
      </c>
      <c r="G141" s="168">
        <v>2590</v>
      </c>
      <c r="H141" s="168">
        <v>3500</v>
      </c>
      <c r="I141" s="161">
        <v>3400</v>
      </c>
      <c r="J141" s="162">
        <v>3349.7</v>
      </c>
      <c r="K141" s="162">
        <v>9863.6</v>
      </c>
      <c r="L141" s="157" t="e">
        <f>K141/#REF!*100</f>
        <v>#REF!</v>
      </c>
      <c r="M141" s="157">
        <f>K141/I141*100</f>
        <v>290.1058823529412</v>
      </c>
      <c r="N141" s="159"/>
      <c r="O141" s="159"/>
      <c r="P141" s="161">
        <f t="shared" si="30"/>
        <v>294.4621906439383</v>
      </c>
      <c r="Q141" s="157">
        <f t="shared" si="28"/>
        <v>103.9367755532139</v>
      </c>
      <c r="R141" s="162">
        <f t="shared" si="29"/>
        <v>76.82110952748117</v>
      </c>
      <c r="S141" s="162">
        <f t="shared" si="52"/>
        <v>76.82110952748117</v>
      </c>
    </row>
    <row r="142" spans="1:19" ht="12.75">
      <c r="A142" s="112" t="s">
        <v>224</v>
      </c>
      <c r="B142" s="112"/>
      <c r="C142" s="111" t="s">
        <v>225</v>
      </c>
      <c r="D142" s="168"/>
      <c r="E142" s="168">
        <f aca="true" t="shared" si="54" ref="E142:E149">G142+H142+I142+J142</f>
        <v>0</v>
      </c>
      <c r="F142" s="156">
        <f aca="true" t="shared" si="55" ref="F142:F149">G142+H142+I142</f>
        <v>0</v>
      </c>
      <c r="G142" s="168"/>
      <c r="H142" s="168"/>
      <c r="I142" s="161"/>
      <c r="J142" s="162"/>
      <c r="K142" s="162">
        <v>0.1</v>
      </c>
      <c r="L142" s="157"/>
      <c r="M142" s="157"/>
      <c r="N142" s="159"/>
      <c r="O142" s="159"/>
      <c r="P142" s="161" t="e">
        <f t="shared" si="30"/>
        <v>#DIV/0!</v>
      </c>
      <c r="Q142" s="157"/>
      <c r="R142" s="162"/>
      <c r="S142" s="162"/>
    </row>
    <row r="143" spans="1:19" ht="12.75">
      <c r="A143" s="112" t="s">
        <v>226</v>
      </c>
      <c r="B143" s="112"/>
      <c r="C143" s="111" t="s">
        <v>227</v>
      </c>
      <c r="D143" s="168">
        <v>792</v>
      </c>
      <c r="E143" s="168">
        <f>G143+H143+I143+J143</f>
        <v>792</v>
      </c>
      <c r="F143" s="156">
        <f t="shared" si="55"/>
        <v>378</v>
      </c>
      <c r="G143" s="168">
        <v>90</v>
      </c>
      <c r="H143" s="168">
        <v>87</v>
      </c>
      <c r="I143" s="161">
        <v>201</v>
      </c>
      <c r="J143" s="162">
        <v>414</v>
      </c>
      <c r="K143" s="162">
        <v>641.1</v>
      </c>
      <c r="L143" s="157" t="e">
        <f>K143/#REF!*100</f>
        <v>#REF!</v>
      </c>
      <c r="M143" s="157">
        <f>K143/I143*100</f>
        <v>318.95522388059703</v>
      </c>
      <c r="N143" s="159"/>
      <c r="O143" s="159"/>
      <c r="P143" s="161">
        <f t="shared" si="30"/>
        <v>154.85507246376812</v>
      </c>
      <c r="Q143" s="157">
        <f aca="true" t="shared" si="56" ref="Q143:Q209">K143*100/F143</f>
        <v>169.6031746031746</v>
      </c>
      <c r="R143" s="162">
        <f aca="true" t="shared" si="57" ref="R143:R209">K143*100/E143</f>
        <v>80.9469696969697</v>
      </c>
      <c r="S143" s="162">
        <f t="shared" si="52"/>
        <v>80.9469696969697</v>
      </c>
    </row>
    <row r="144" spans="1:19" ht="12.75">
      <c r="A144" s="112" t="s">
        <v>228</v>
      </c>
      <c r="B144" s="112"/>
      <c r="C144" s="111" t="s">
        <v>229</v>
      </c>
      <c r="D144" s="168">
        <v>158.7</v>
      </c>
      <c r="E144" s="168">
        <f t="shared" si="54"/>
        <v>158.7</v>
      </c>
      <c r="F144" s="156">
        <f t="shared" si="55"/>
        <v>102</v>
      </c>
      <c r="G144" s="168">
        <v>22</v>
      </c>
      <c r="H144" s="168">
        <v>53</v>
      </c>
      <c r="I144" s="161">
        <v>27</v>
      </c>
      <c r="J144" s="162">
        <v>56.7</v>
      </c>
      <c r="K144" s="162">
        <v>145.1</v>
      </c>
      <c r="L144" s="157" t="e">
        <f>K144/#REF!*100</f>
        <v>#REF!</v>
      </c>
      <c r="M144" s="157">
        <f>K144/I144*100</f>
        <v>537.4074074074074</v>
      </c>
      <c r="N144" s="159"/>
      <c r="O144" s="159"/>
      <c r="P144" s="161">
        <f t="shared" si="30"/>
        <v>255.90828924162255</v>
      </c>
      <c r="Q144" s="157">
        <f t="shared" si="56"/>
        <v>142.2549019607843</v>
      </c>
      <c r="R144" s="162">
        <f t="shared" si="57"/>
        <v>91.43037177063643</v>
      </c>
      <c r="S144" s="162">
        <f t="shared" si="52"/>
        <v>91.43037177063643</v>
      </c>
    </row>
    <row r="145" spans="1:19" ht="24">
      <c r="A145" s="113" t="s">
        <v>232</v>
      </c>
      <c r="B145" s="113"/>
      <c r="C145" s="111" t="s">
        <v>233</v>
      </c>
      <c r="D145" s="168">
        <v>1297.6</v>
      </c>
      <c r="E145" s="168">
        <f t="shared" si="54"/>
        <v>469.6</v>
      </c>
      <c r="F145" s="156">
        <f t="shared" si="55"/>
        <v>352.20000000000005</v>
      </c>
      <c r="G145" s="168">
        <v>117.4</v>
      </c>
      <c r="H145" s="168">
        <v>117.4</v>
      </c>
      <c r="I145" s="161">
        <v>117.4</v>
      </c>
      <c r="J145" s="162">
        <v>117.4</v>
      </c>
      <c r="K145" s="162">
        <v>112.1</v>
      </c>
      <c r="L145" s="157" t="e">
        <f>K145/#REF!*100</f>
        <v>#REF!</v>
      </c>
      <c r="M145" s="157">
        <f>K145/I145*100</f>
        <v>95.48551959114138</v>
      </c>
      <c r="N145" s="159"/>
      <c r="O145" s="159"/>
      <c r="P145" s="161">
        <f t="shared" si="30"/>
        <v>95.4855195911414</v>
      </c>
      <c r="Q145" s="157">
        <f t="shared" si="56"/>
        <v>31.828506530380462</v>
      </c>
      <c r="R145" s="162">
        <f t="shared" si="57"/>
        <v>23.87137989778535</v>
      </c>
      <c r="S145" s="162">
        <f t="shared" si="52"/>
        <v>8.639025893958078</v>
      </c>
    </row>
    <row r="146" spans="1:19" ht="24">
      <c r="A146" s="115" t="s">
        <v>236</v>
      </c>
      <c r="B146" s="115"/>
      <c r="C146" s="111" t="s">
        <v>237</v>
      </c>
      <c r="D146" s="168"/>
      <c r="E146" s="168">
        <f t="shared" si="54"/>
        <v>0</v>
      </c>
      <c r="F146" s="156">
        <f t="shared" si="55"/>
        <v>0</v>
      </c>
      <c r="G146" s="168"/>
      <c r="H146" s="168"/>
      <c r="I146" s="161"/>
      <c r="J146" s="162"/>
      <c r="K146" s="162"/>
      <c r="L146" s="157"/>
      <c r="M146" s="157"/>
      <c r="N146" s="159"/>
      <c r="O146" s="159"/>
      <c r="P146" s="161" t="e">
        <f aca="true" t="shared" si="58" ref="P146:P213">K146*100/J146</f>
        <v>#DIV/0!</v>
      </c>
      <c r="Q146" s="157" t="e">
        <f t="shared" si="56"/>
        <v>#DIV/0!</v>
      </c>
      <c r="R146" s="162" t="e">
        <f t="shared" si="57"/>
        <v>#DIV/0!</v>
      </c>
      <c r="S146" s="162" t="e">
        <f t="shared" si="52"/>
        <v>#DIV/0!</v>
      </c>
    </row>
    <row r="147" spans="1:19" ht="24">
      <c r="A147" s="114" t="s">
        <v>238</v>
      </c>
      <c r="B147" s="114"/>
      <c r="C147" s="111" t="s">
        <v>239</v>
      </c>
      <c r="D147" s="168">
        <v>71</v>
      </c>
      <c r="E147" s="168">
        <f t="shared" si="54"/>
        <v>0</v>
      </c>
      <c r="F147" s="156">
        <f t="shared" si="55"/>
        <v>0</v>
      </c>
      <c r="G147" s="168"/>
      <c r="H147" s="168"/>
      <c r="I147" s="161"/>
      <c r="J147" s="162"/>
      <c r="K147" s="162">
        <v>0</v>
      </c>
      <c r="L147" s="157" t="e">
        <f>K147/#REF!*100</f>
        <v>#REF!</v>
      </c>
      <c r="M147" s="157" t="e">
        <f>K147/I147*100</f>
        <v>#DIV/0!</v>
      </c>
      <c r="N147" s="159"/>
      <c r="O147" s="159"/>
      <c r="P147" s="161" t="e">
        <f t="shared" si="58"/>
        <v>#DIV/0!</v>
      </c>
      <c r="Q147" s="157"/>
      <c r="R147" s="162"/>
      <c r="S147" s="162"/>
    </row>
    <row r="148" spans="1:19" ht="12.75">
      <c r="A148" s="110" t="s">
        <v>242</v>
      </c>
      <c r="B148" s="110"/>
      <c r="C148" s="111" t="s">
        <v>243</v>
      </c>
      <c r="D148" s="168"/>
      <c r="E148" s="168">
        <f t="shared" si="54"/>
        <v>0</v>
      </c>
      <c r="F148" s="156">
        <f t="shared" si="55"/>
        <v>0</v>
      </c>
      <c r="G148" s="168"/>
      <c r="H148" s="168"/>
      <c r="I148" s="161"/>
      <c r="J148" s="162"/>
      <c r="K148" s="162">
        <v>62.1</v>
      </c>
      <c r="L148" s="157" t="e">
        <f>K148/#REF!*100</f>
        <v>#REF!</v>
      </c>
      <c r="M148" s="157"/>
      <c r="N148" s="159"/>
      <c r="O148" s="159"/>
      <c r="P148" s="161" t="e">
        <f t="shared" si="58"/>
        <v>#DIV/0!</v>
      </c>
      <c r="Q148" s="157"/>
      <c r="R148" s="162"/>
      <c r="S148" s="162"/>
    </row>
    <row r="149" spans="1:19" ht="12.75">
      <c r="A149" s="114" t="s">
        <v>244</v>
      </c>
      <c r="B149" s="136"/>
      <c r="C149" s="118" t="s">
        <v>245</v>
      </c>
      <c r="D149" s="175"/>
      <c r="E149" s="168">
        <f t="shared" si="54"/>
        <v>0</v>
      </c>
      <c r="F149" s="156">
        <f t="shared" si="55"/>
        <v>0</v>
      </c>
      <c r="G149" s="168"/>
      <c r="H149" s="168"/>
      <c r="I149" s="161"/>
      <c r="J149" s="162"/>
      <c r="K149" s="162">
        <v>0.8</v>
      </c>
      <c r="L149" s="157"/>
      <c r="M149" s="157"/>
      <c r="N149" s="159"/>
      <c r="O149" s="159"/>
      <c r="P149" s="161" t="e">
        <f t="shared" si="58"/>
        <v>#DIV/0!</v>
      </c>
      <c r="Q149" s="128"/>
      <c r="R149" s="129"/>
      <c r="S149" s="162"/>
    </row>
    <row r="150" spans="1:19" ht="12.75">
      <c r="A150" s="108" t="s">
        <v>246</v>
      </c>
      <c r="B150" s="108"/>
      <c r="C150" s="119" t="s">
        <v>247</v>
      </c>
      <c r="D150" s="163">
        <f>D151+D152</f>
        <v>28148.6</v>
      </c>
      <c r="E150" s="163">
        <f>E151+E152</f>
        <v>38686.6</v>
      </c>
      <c r="F150" s="163">
        <f aca="true" t="shared" si="59" ref="F150:K150">F151+F152</f>
        <v>28904.300000000003</v>
      </c>
      <c r="G150" s="163">
        <f t="shared" si="59"/>
        <v>6800.2</v>
      </c>
      <c r="H150" s="163">
        <f t="shared" si="59"/>
        <v>8874</v>
      </c>
      <c r="I150" s="163">
        <f t="shared" si="59"/>
        <v>13230.1</v>
      </c>
      <c r="J150" s="163">
        <f t="shared" si="59"/>
        <v>7093.599999999999</v>
      </c>
      <c r="K150" s="163">
        <f t="shared" si="59"/>
        <v>30118.9</v>
      </c>
      <c r="L150" s="128" t="e">
        <f>K150/#REF!*100</f>
        <v>#REF!</v>
      </c>
      <c r="M150" s="128">
        <f>K150/I150*100</f>
        <v>227.65436391259323</v>
      </c>
      <c r="N150" s="159"/>
      <c r="O150" s="159"/>
      <c r="P150" s="154">
        <f t="shared" si="58"/>
        <v>424.5925905041164</v>
      </c>
      <c r="Q150" s="128">
        <f t="shared" si="56"/>
        <v>104.20214293375034</v>
      </c>
      <c r="R150" s="129">
        <f t="shared" si="57"/>
        <v>77.85357203786324</v>
      </c>
      <c r="S150" s="129">
        <f t="shared" si="52"/>
        <v>106.99963763739582</v>
      </c>
    </row>
    <row r="151" spans="1:19" ht="24">
      <c r="A151" s="120" t="s">
        <v>248</v>
      </c>
      <c r="B151" s="112"/>
      <c r="C151" s="121" t="s">
        <v>249</v>
      </c>
      <c r="D151" s="168">
        <v>28148.6</v>
      </c>
      <c r="E151" s="168">
        <v>38586.6</v>
      </c>
      <c r="F151" s="156">
        <f>G151+H151+I151</f>
        <v>28804.300000000003</v>
      </c>
      <c r="G151" s="168">
        <f>5672.4+951+176.8</f>
        <v>6800.2</v>
      </c>
      <c r="H151" s="168">
        <f>7405-22.1+1391.1</f>
        <v>8774</v>
      </c>
      <c r="I151" s="161">
        <f>7745.3+4311.7+1173.1</f>
        <v>13230.1</v>
      </c>
      <c r="J151" s="162">
        <f>7325.9-232.3</f>
        <v>7093.599999999999</v>
      </c>
      <c r="K151" s="162">
        <v>30018.9</v>
      </c>
      <c r="L151" s="157" t="e">
        <f>K151/#REF!*100</f>
        <v>#REF!</v>
      </c>
      <c r="M151" s="157">
        <f>K151/I151*100</f>
        <v>226.89851172704664</v>
      </c>
      <c r="N151" s="159"/>
      <c r="O151" s="159"/>
      <c r="P151" s="161">
        <f t="shared" si="58"/>
        <v>423.1828690650728</v>
      </c>
      <c r="Q151" s="157">
        <f t="shared" si="56"/>
        <v>104.21673152966744</v>
      </c>
      <c r="R151" s="162">
        <f t="shared" si="57"/>
        <v>77.79617794778498</v>
      </c>
      <c r="S151" s="162">
        <f t="shared" si="52"/>
        <v>106.64438018231813</v>
      </c>
    </row>
    <row r="152" spans="1:19" ht="12.75">
      <c r="A152" s="120" t="s">
        <v>250</v>
      </c>
      <c r="B152" s="120"/>
      <c r="C152" s="122" t="s">
        <v>251</v>
      </c>
      <c r="D152" s="173"/>
      <c r="E152" s="168">
        <f>G152+H152+I152+J152</f>
        <v>100</v>
      </c>
      <c r="F152" s="156">
        <f>G152+H152+I152</f>
        <v>100</v>
      </c>
      <c r="G152" s="168"/>
      <c r="H152" s="168">
        <v>100</v>
      </c>
      <c r="I152" s="161"/>
      <c r="J152" s="162"/>
      <c r="K152" s="162">
        <v>100</v>
      </c>
      <c r="L152" s="157"/>
      <c r="M152" s="157"/>
      <c r="N152" s="159"/>
      <c r="O152" s="159"/>
      <c r="P152" s="161"/>
      <c r="Q152" s="157">
        <f t="shared" si="56"/>
        <v>100</v>
      </c>
      <c r="R152" s="162">
        <f>K152*100/E152</f>
        <v>100</v>
      </c>
      <c r="S152" s="162"/>
    </row>
    <row r="153" spans="1:19" ht="12.75">
      <c r="A153" s="113"/>
      <c r="B153" s="133"/>
      <c r="C153" s="134" t="s">
        <v>256</v>
      </c>
      <c r="D153" s="257">
        <f aca="true" t="shared" si="60" ref="D153:K153">D150+D140</f>
        <v>43307.6</v>
      </c>
      <c r="E153" s="170">
        <f t="shared" si="60"/>
        <v>52946.6</v>
      </c>
      <c r="F153" s="170">
        <f t="shared" si="60"/>
        <v>39226.5</v>
      </c>
      <c r="G153" s="170">
        <f t="shared" si="60"/>
        <v>9619.6</v>
      </c>
      <c r="H153" s="170">
        <f t="shared" si="60"/>
        <v>12631.4</v>
      </c>
      <c r="I153" s="170">
        <f t="shared" si="60"/>
        <v>16975.5</v>
      </c>
      <c r="J153" s="170">
        <f t="shared" si="60"/>
        <v>11031.4</v>
      </c>
      <c r="K153" s="170">
        <f t="shared" si="60"/>
        <v>40943.8</v>
      </c>
      <c r="L153" s="256" t="e">
        <f>K153/#REF!*100</f>
        <v>#REF!</v>
      </c>
      <c r="M153" s="256">
        <f>K153/I153*100</f>
        <v>241.19348472799035</v>
      </c>
      <c r="N153" s="159"/>
      <c r="O153" s="166" t="e">
        <f>J153+#REF!+#REF!</f>
        <v>#REF!</v>
      </c>
      <c r="P153" s="257">
        <f t="shared" si="58"/>
        <v>371.1568794531973</v>
      </c>
      <c r="Q153" s="256">
        <f t="shared" si="56"/>
        <v>104.37790779192639</v>
      </c>
      <c r="R153" s="170">
        <f t="shared" si="57"/>
        <v>77.3303668224211</v>
      </c>
      <c r="S153" s="274">
        <f t="shared" si="52"/>
        <v>94.54183561314875</v>
      </c>
    </row>
    <row r="154" spans="1:19" ht="12.7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6"/>
    </row>
    <row r="155" spans="1:19" ht="12.75">
      <c r="A155" s="217" t="s">
        <v>267</v>
      </c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</row>
    <row r="156" spans="1:19" ht="12.75">
      <c r="A156" s="108" t="s">
        <v>218</v>
      </c>
      <c r="B156" s="108"/>
      <c r="C156" s="109" t="s">
        <v>219</v>
      </c>
      <c r="D156" s="128">
        <f aca="true" t="shared" si="61" ref="D156:K156">D157+D158+D159+D160+D162+D163+D164+D161</f>
        <v>4179.5</v>
      </c>
      <c r="E156" s="128">
        <f t="shared" si="61"/>
        <v>4040.5</v>
      </c>
      <c r="F156" s="128">
        <f t="shared" si="61"/>
        <v>2808</v>
      </c>
      <c r="G156" s="128">
        <f t="shared" si="61"/>
        <v>751</v>
      </c>
      <c r="H156" s="128">
        <f t="shared" si="61"/>
        <v>1073</v>
      </c>
      <c r="I156" s="128">
        <f t="shared" si="61"/>
        <v>984</v>
      </c>
      <c r="J156" s="128">
        <f t="shared" si="61"/>
        <v>1232.5</v>
      </c>
      <c r="K156" s="128">
        <f t="shared" si="61"/>
        <v>3069.7000000000003</v>
      </c>
      <c r="L156" s="128" t="e">
        <f>K156/#REF!*100</f>
        <v>#REF!</v>
      </c>
      <c r="M156" s="128">
        <f aca="true" t="shared" si="62" ref="M156:M162">K156/I156*100</f>
        <v>311.9613821138212</v>
      </c>
      <c r="N156" s="159"/>
      <c r="O156" s="159"/>
      <c r="P156" s="128">
        <f t="shared" si="58"/>
        <v>249.0628803245436</v>
      </c>
      <c r="Q156" s="128">
        <f t="shared" si="56"/>
        <v>109.31980056980056</v>
      </c>
      <c r="R156" s="129">
        <f t="shared" si="57"/>
        <v>75.97327063482243</v>
      </c>
      <c r="S156" s="129">
        <f t="shared" si="52"/>
        <v>73.44658451967939</v>
      </c>
    </row>
    <row r="157" spans="1:19" ht="12.75">
      <c r="A157" s="110" t="s">
        <v>220</v>
      </c>
      <c r="B157" s="110"/>
      <c r="C157" s="111" t="s">
        <v>221</v>
      </c>
      <c r="D157" s="168">
        <v>3255.5</v>
      </c>
      <c r="E157" s="168">
        <v>3210.5</v>
      </c>
      <c r="F157" s="156">
        <f>G157+H157+I157</f>
        <v>2250</v>
      </c>
      <c r="G157" s="160">
        <v>600</v>
      </c>
      <c r="H157" s="160">
        <v>900</v>
      </c>
      <c r="I157" s="161">
        <v>750</v>
      </c>
      <c r="J157" s="162">
        <v>1005.5</v>
      </c>
      <c r="K157" s="162">
        <v>2366.3</v>
      </c>
      <c r="L157" s="157" t="e">
        <f>K157/#REF!*100</f>
        <v>#REF!</v>
      </c>
      <c r="M157" s="157">
        <f t="shared" si="62"/>
        <v>315.5066666666667</v>
      </c>
      <c r="N157" s="159"/>
      <c r="O157" s="159"/>
      <c r="P157" s="161">
        <f t="shared" si="58"/>
        <v>235.3356539035306</v>
      </c>
      <c r="Q157" s="157">
        <f t="shared" si="56"/>
        <v>105.1688888888889</v>
      </c>
      <c r="R157" s="162">
        <f t="shared" si="57"/>
        <v>73.7050303691014</v>
      </c>
      <c r="S157" s="162">
        <f t="shared" si="52"/>
        <v>72.68622331439104</v>
      </c>
    </row>
    <row r="158" spans="1:19" ht="12.75">
      <c r="A158" s="112" t="s">
        <v>226</v>
      </c>
      <c r="B158" s="112"/>
      <c r="C158" s="111" t="s">
        <v>227</v>
      </c>
      <c r="D158" s="168">
        <v>321</v>
      </c>
      <c r="E158" s="168">
        <v>373</v>
      </c>
      <c r="F158" s="156">
        <f aca="true" t="shared" si="63" ref="F158:F164">G158+H158+I158</f>
        <v>233</v>
      </c>
      <c r="G158" s="160">
        <v>46</v>
      </c>
      <c r="H158" s="160">
        <v>63</v>
      </c>
      <c r="I158" s="161">
        <v>124</v>
      </c>
      <c r="J158" s="162">
        <f>88+12</f>
        <v>100</v>
      </c>
      <c r="K158" s="162">
        <v>305.9</v>
      </c>
      <c r="L158" s="157" t="e">
        <f>K158/#REF!*100</f>
        <v>#REF!</v>
      </c>
      <c r="M158" s="157">
        <f t="shared" si="62"/>
        <v>246.69354838709677</v>
      </c>
      <c r="N158" s="159"/>
      <c r="O158" s="159"/>
      <c r="P158" s="161">
        <f t="shared" si="58"/>
        <v>305.9</v>
      </c>
      <c r="Q158" s="157">
        <f t="shared" si="56"/>
        <v>131.28755364806867</v>
      </c>
      <c r="R158" s="162">
        <f t="shared" si="57"/>
        <v>82.0107238605898</v>
      </c>
      <c r="S158" s="162">
        <f t="shared" si="52"/>
        <v>95.29595015576322</v>
      </c>
    </row>
    <row r="159" spans="1:19" ht="12.75">
      <c r="A159" s="112" t="s">
        <v>228</v>
      </c>
      <c r="B159" s="112"/>
      <c r="C159" s="111" t="s">
        <v>229</v>
      </c>
      <c r="D159" s="168">
        <v>78</v>
      </c>
      <c r="E159" s="168">
        <v>83</v>
      </c>
      <c r="F159" s="156">
        <f t="shared" si="63"/>
        <v>55</v>
      </c>
      <c r="G159" s="160">
        <v>15</v>
      </c>
      <c r="H159" s="160">
        <v>20</v>
      </c>
      <c r="I159" s="161">
        <v>20</v>
      </c>
      <c r="J159" s="162">
        <v>23</v>
      </c>
      <c r="K159" s="162">
        <v>85.3</v>
      </c>
      <c r="L159" s="157" t="e">
        <f>K159/#REF!*100</f>
        <v>#REF!</v>
      </c>
      <c r="M159" s="157">
        <f t="shared" si="62"/>
        <v>426.49999999999994</v>
      </c>
      <c r="N159" s="159"/>
      <c r="O159" s="159"/>
      <c r="P159" s="161">
        <f t="shared" si="58"/>
        <v>370.8695652173913</v>
      </c>
      <c r="Q159" s="157">
        <f t="shared" si="56"/>
        <v>155.0909090909091</v>
      </c>
      <c r="R159" s="162">
        <f t="shared" si="57"/>
        <v>102.7710843373494</v>
      </c>
      <c r="S159" s="162">
        <f t="shared" si="52"/>
        <v>109.35897435897436</v>
      </c>
    </row>
    <row r="160" spans="1:19" ht="24">
      <c r="A160" s="113" t="s">
        <v>232</v>
      </c>
      <c r="B160" s="113"/>
      <c r="C160" s="111" t="s">
        <v>233</v>
      </c>
      <c r="D160" s="168">
        <v>436.5</v>
      </c>
      <c r="E160" s="168">
        <v>304</v>
      </c>
      <c r="F160" s="156">
        <f t="shared" si="63"/>
        <v>225</v>
      </c>
      <c r="G160" s="160">
        <v>75</v>
      </c>
      <c r="H160" s="160">
        <v>75</v>
      </c>
      <c r="I160" s="161">
        <v>75</v>
      </c>
      <c r="J160" s="162">
        <v>79</v>
      </c>
      <c r="K160" s="162">
        <v>254.6</v>
      </c>
      <c r="L160" s="157" t="e">
        <f>K160/#REF!*100</f>
        <v>#REF!</v>
      </c>
      <c r="M160" s="157">
        <f t="shared" si="62"/>
        <v>339.4666666666667</v>
      </c>
      <c r="N160" s="159"/>
      <c r="O160" s="159"/>
      <c r="P160" s="161">
        <f t="shared" si="58"/>
        <v>322.27848101265823</v>
      </c>
      <c r="Q160" s="157">
        <f t="shared" si="56"/>
        <v>113.15555555555555</v>
      </c>
      <c r="R160" s="162">
        <f t="shared" si="57"/>
        <v>83.75</v>
      </c>
      <c r="S160" s="162">
        <f t="shared" si="52"/>
        <v>58.327605956471935</v>
      </c>
    </row>
    <row r="161" spans="1:19" ht="24">
      <c r="A161" s="115" t="s">
        <v>236</v>
      </c>
      <c r="B161" s="115"/>
      <c r="C161" s="111" t="s">
        <v>237</v>
      </c>
      <c r="D161" s="168">
        <v>70</v>
      </c>
      <c r="E161" s="168">
        <v>70</v>
      </c>
      <c r="F161" s="156">
        <f t="shared" si="63"/>
        <v>45</v>
      </c>
      <c r="G161" s="160">
        <v>15</v>
      </c>
      <c r="H161" s="160">
        <v>15</v>
      </c>
      <c r="I161" s="161">
        <v>15</v>
      </c>
      <c r="J161" s="162">
        <v>25</v>
      </c>
      <c r="K161" s="162">
        <v>57.6</v>
      </c>
      <c r="L161" s="157" t="e">
        <f>K161/#REF!*100</f>
        <v>#REF!</v>
      </c>
      <c r="M161" s="157">
        <f t="shared" si="62"/>
        <v>384.00000000000006</v>
      </c>
      <c r="N161" s="159"/>
      <c r="O161" s="159"/>
      <c r="P161" s="161">
        <f t="shared" si="58"/>
        <v>230.4</v>
      </c>
      <c r="Q161" s="157">
        <f t="shared" si="56"/>
        <v>128</v>
      </c>
      <c r="R161" s="162">
        <f t="shared" si="57"/>
        <v>82.28571428571429</v>
      </c>
      <c r="S161" s="162">
        <f t="shared" si="52"/>
        <v>82.28571428571429</v>
      </c>
    </row>
    <row r="162" spans="1:19" ht="24">
      <c r="A162" s="114" t="s">
        <v>238</v>
      </c>
      <c r="B162" s="114"/>
      <c r="C162" s="111" t="s">
        <v>239</v>
      </c>
      <c r="D162" s="168">
        <v>18.5</v>
      </c>
      <c r="E162" s="168">
        <f>G162+H162+I162+J162</f>
        <v>0</v>
      </c>
      <c r="F162" s="156">
        <f t="shared" si="63"/>
        <v>0</v>
      </c>
      <c r="G162" s="160"/>
      <c r="H162" s="160"/>
      <c r="I162" s="161"/>
      <c r="J162" s="162"/>
      <c r="K162" s="162"/>
      <c r="L162" s="157" t="e">
        <f>K162/#REF!*100</f>
        <v>#REF!</v>
      </c>
      <c r="M162" s="157" t="e">
        <f t="shared" si="62"/>
        <v>#DIV/0!</v>
      </c>
      <c r="N162" s="159"/>
      <c r="O162" s="159"/>
      <c r="P162" s="161" t="e">
        <f t="shared" si="58"/>
        <v>#DIV/0!</v>
      </c>
      <c r="Q162" s="157"/>
      <c r="R162" s="162"/>
      <c r="S162" s="162">
        <f t="shared" si="52"/>
        <v>0</v>
      </c>
    </row>
    <row r="163" spans="1:19" ht="12.75">
      <c r="A163" s="110" t="s">
        <v>242</v>
      </c>
      <c r="B163" s="110"/>
      <c r="C163" s="111" t="s">
        <v>243</v>
      </c>
      <c r="D163" s="168"/>
      <c r="E163" s="168">
        <f>G163+H163+I163+J163</f>
        <v>0</v>
      </c>
      <c r="F163" s="156">
        <f t="shared" si="63"/>
        <v>0</v>
      </c>
      <c r="G163" s="160"/>
      <c r="H163" s="160"/>
      <c r="I163" s="161"/>
      <c r="J163" s="162"/>
      <c r="K163" s="162"/>
      <c r="L163" s="157"/>
      <c r="M163" s="157"/>
      <c r="N163" s="159"/>
      <c r="O163" s="159"/>
      <c r="P163" s="161" t="e">
        <f t="shared" si="58"/>
        <v>#DIV/0!</v>
      </c>
      <c r="Q163" s="128" t="e">
        <f t="shared" si="56"/>
        <v>#DIV/0!</v>
      </c>
      <c r="R163" s="129" t="e">
        <f t="shared" si="57"/>
        <v>#DIV/0!</v>
      </c>
      <c r="S163" s="162" t="e">
        <f t="shared" si="52"/>
        <v>#DIV/0!</v>
      </c>
    </row>
    <row r="164" spans="1:19" ht="12.75">
      <c r="A164" s="131" t="s">
        <v>244</v>
      </c>
      <c r="B164" s="117"/>
      <c r="C164" s="118" t="s">
        <v>245</v>
      </c>
      <c r="D164" s="175"/>
      <c r="E164" s="168">
        <f>G164+H164+I164+J164</f>
        <v>0</v>
      </c>
      <c r="F164" s="156">
        <f t="shared" si="63"/>
        <v>0</v>
      </c>
      <c r="G164" s="160"/>
      <c r="H164" s="160"/>
      <c r="I164" s="161"/>
      <c r="J164" s="162"/>
      <c r="K164" s="162"/>
      <c r="L164" s="157"/>
      <c r="M164" s="157"/>
      <c r="N164" s="159"/>
      <c r="O164" s="159"/>
      <c r="P164" s="161" t="e">
        <f t="shared" si="58"/>
        <v>#DIV/0!</v>
      </c>
      <c r="Q164" s="128"/>
      <c r="R164" s="129"/>
      <c r="S164" s="162"/>
    </row>
    <row r="165" spans="1:19" ht="12.75">
      <c r="A165" s="108" t="s">
        <v>246</v>
      </c>
      <c r="B165" s="108"/>
      <c r="C165" s="119" t="s">
        <v>247</v>
      </c>
      <c r="D165" s="163">
        <f aca="true" t="shared" si="64" ref="D165:K165">D166+D167</f>
        <v>23316.7</v>
      </c>
      <c r="E165" s="163">
        <f t="shared" si="64"/>
        <v>27757.7</v>
      </c>
      <c r="F165" s="174">
        <f t="shared" si="64"/>
        <v>21278.1</v>
      </c>
      <c r="G165" s="174">
        <f t="shared" si="64"/>
        <v>5136.4</v>
      </c>
      <c r="H165" s="174">
        <f t="shared" si="64"/>
        <v>6730.2</v>
      </c>
      <c r="I165" s="163">
        <f t="shared" si="64"/>
        <v>9411.5</v>
      </c>
      <c r="J165" s="163">
        <f t="shared" si="64"/>
        <v>5568.6</v>
      </c>
      <c r="K165" s="163">
        <f t="shared" si="64"/>
        <v>22535.5</v>
      </c>
      <c r="L165" s="128" t="e">
        <f>K165/#REF!*100</f>
        <v>#REF!</v>
      </c>
      <c r="M165" s="128">
        <f>K165/I165*100</f>
        <v>239.4464219306168</v>
      </c>
      <c r="N165" s="159"/>
      <c r="O165" s="159"/>
      <c r="P165" s="154">
        <f t="shared" si="58"/>
        <v>404.68879071939085</v>
      </c>
      <c r="Q165" s="128">
        <f t="shared" si="56"/>
        <v>105.90936220809189</v>
      </c>
      <c r="R165" s="129">
        <f t="shared" si="57"/>
        <v>81.18648158889245</v>
      </c>
      <c r="S165" s="129">
        <f t="shared" si="52"/>
        <v>96.64961165173459</v>
      </c>
    </row>
    <row r="166" spans="1:19" ht="24">
      <c r="A166" s="120" t="s">
        <v>248</v>
      </c>
      <c r="B166" s="112"/>
      <c r="C166" s="121" t="s">
        <v>249</v>
      </c>
      <c r="D166" s="168">
        <v>23316.7</v>
      </c>
      <c r="E166" s="168">
        <v>27757.7</v>
      </c>
      <c r="F166" s="156">
        <f>G166+H166+I166</f>
        <v>21278.1</v>
      </c>
      <c r="G166" s="160">
        <f>4985.4+151</f>
        <v>5136.4</v>
      </c>
      <c r="H166" s="160">
        <f>6588.8+11.7+129.7</f>
        <v>6730.2</v>
      </c>
      <c r="I166" s="161">
        <f>7362.8+100.3+1948.4</f>
        <v>9411.5</v>
      </c>
      <c r="J166" s="162">
        <f>4706.1+862.5</f>
        <v>5568.6</v>
      </c>
      <c r="K166" s="162">
        <v>22535.5</v>
      </c>
      <c r="L166" s="157" t="e">
        <f>K166/#REF!*100</f>
        <v>#REF!</v>
      </c>
      <c r="M166" s="157">
        <f>K166/I166*100</f>
        <v>239.4464219306168</v>
      </c>
      <c r="N166" s="159"/>
      <c r="O166" s="159"/>
      <c r="P166" s="161">
        <f t="shared" si="58"/>
        <v>404.68879071939085</v>
      </c>
      <c r="Q166" s="157">
        <f t="shared" si="56"/>
        <v>105.90936220809189</v>
      </c>
      <c r="R166" s="162">
        <f t="shared" si="57"/>
        <v>81.18648158889245</v>
      </c>
      <c r="S166" s="162">
        <f t="shared" si="52"/>
        <v>96.64961165173459</v>
      </c>
    </row>
    <row r="167" spans="1:19" ht="12.75">
      <c r="A167" s="120" t="s">
        <v>250</v>
      </c>
      <c r="B167" s="120"/>
      <c r="C167" s="122" t="s">
        <v>251</v>
      </c>
      <c r="D167" s="173"/>
      <c r="E167" s="168">
        <f>G167+H167+I167+J167</f>
        <v>0</v>
      </c>
      <c r="F167" s="160">
        <f>G167</f>
        <v>0</v>
      </c>
      <c r="G167" s="164"/>
      <c r="H167" s="164"/>
      <c r="I167" s="161"/>
      <c r="J167" s="162"/>
      <c r="K167" s="162"/>
      <c r="L167" s="157" t="e">
        <f>K167/#REF!*100</f>
        <v>#REF!</v>
      </c>
      <c r="M167" s="157"/>
      <c r="N167" s="159"/>
      <c r="O167" s="159"/>
      <c r="P167" s="161" t="e">
        <f t="shared" si="58"/>
        <v>#DIV/0!</v>
      </c>
      <c r="Q167" s="157"/>
      <c r="R167" s="162"/>
      <c r="S167" s="162" t="e">
        <f t="shared" si="52"/>
        <v>#DIV/0!</v>
      </c>
    </row>
    <row r="168" spans="1:19" ht="12.75">
      <c r="A168" s="113"/>
      <c r="B168" s="133"/>
      <c r="C168" s="134" t="s">
        <v>256</v>
      </c>
      <c r="D168" s="257">
        <f aca="true" t="shared" si="65" ref="D168:K168">D165+D156</f>
        <v>27496.2</v>
      </c>
      <c r="E168" s="170">
        <f t="shared" si="65"/>
        <v>31798.2</v>
      </c>
      <c r="F168" s="170">
        <f t="shared" si="65"/>
        <v>24086.1</v>
      </c>
      <c r="G168" s="170">
        <f t="shared" si="65"/>
        <v>5887.4</v>
      </c>
      <c r="H168" s="170">
        <f t="shared" si="65"/>
        <v>7803.2</v>
      </c>
      <c r="I168" s="170">
        <f t="shared" si="65"/>
        <v>10395.5</v>
      </c>
      <c r="J168" s="170">
        <f t="shared" si="65"/>
        <v>6801.1</v>
      </c>
      <c r="K168" s="170">
        <f t="shared" si="65"/>
        <v>25605.2</v>
      </c>
      <c r="L168" s="256" t="e">
        <f>K168/#REF!*100</f>
        <v>#REF!</v>
      </c>
      <c r="M168" s="256">
        <f>K168/I168*100</f>
        <v>246.3104227790871</v>
      </c>
      <c r="N168" s="159"/>
      <c r="O168" s="166" t="e">
        <f>J168+#REF!+#REF!</f>
        <v>#REF!</v>
      </c>
      <c r="P168" s="257">
        <f t="shared" si="58"/>
        <v>376.48615665112993</v>
      </c>
      <c r="Q168" s="256">
        <f t="shared" si="56"/>
        <v>106.30695712464866</v>
      </c>
      <c r="R168" s="170">
        <f t="shared" si="57"/>
        <v>80.52405482071312</v>
      </c>
      <c r="S168" s="170">
        <f t="shared" si="52"/>
        <v>93.1226860438897</v>
      </c>
    </row>
    <row r="169" spans="1:19" ht="12.75">
      <c r="A169" s="266"/>
      <c r="B169" s="266"/>
      <c r="C169" s="266"/>
      <c r="D169" s="266"/>
      <c r="E169" s="266"/>
      <c r="F169" s="266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266"/>
    </row>
    <row r="170" spans="1:19" ht="12.75">
      <c r="A170" s="208" t="s">
        <v>268</v>
      </c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10"/>
    </row>
    <row r="171" spans="1:19" ht="12.75">
      <c r="A171" s="108" t="s">
        <v>218</v>
      </c>
      <c r="B171" s="108"/>
      <c r="C171" s="109" t="s">
        <v>219</v>
      </c>
      <c r="D171" s="128">
        <f aca="true" t="shared" si="66" ref="D171:K171">D172+D173+D174+D175+D176+D178+D180+D179+D177</f>
        <v>16123.3</v>
      </c>
      <c r="E171" s="128">
        <f t="shared" si="66"/>
        <v>15602.3</v>
      </c>
      <c r="F171" s="128">
        <f t="shared" si="66"/>
        <v>10530</v>
      </c>
      <c r="G171" s="128">
        <f t="shared" si="66"/>
        <v>3565</v>
      </c>
      <c r="H171" s="128">
        <f t="shared" si="66"/>
        <v>3755</v>
      </c>
      <c r="I171" s="128">
        <f t="shared" si="66"/>
        <v>3210</v>
      </c>
      <c r="J171" s="128">
        <f t="shared" si="66"/>
        <v>5072.3</v>
      </c>
      <c r="K171" s="128">
        <f t="shared" si="66"/>
        <v>14149.3</v>
      </c>
      <c r="L171" s="128" t="e">
        <f>K171/#REF!*100</f>
        <v>#REF!</v>
      </c>
      <c r="M171" s="128">
        <f>K171/I171*100</f>
        <v>440.78816199376945</v>
      </c>
      <c r="N171" s="159"/>
      <c r="O171" s="159"/>
      <c r="P171" s="128">
        <f t="shared" si="58"/>
        <v>278.9523490329831</v>
      </c>
      <c r="Q171" s="128">
        <f t="shared" si="56"/>
        <v>134.3713200379867</v>
      </c>
      <c r="R171" s="129">
        <f t="shared" si="57"/>
        <v>90.68727046653379</v>
      </c>
      <c r="S171" s="129">
        <f t="shared" si="52"/>
        <v>87.75684878405785</v>
      </c>
    </row>
    <row r="172" spans="1:19" ht="12.75">
      <c r="A172" s="110" t="s">
        <v>220</v>
      </c>
      <c r="B172" s="110"/>
      <c r="C172" s="111" t="s">
        <v>221</v>
      </c>
      <c r="D172" s="168">
        <v>13755</v>
      </c>
      <c r="E172" s="168">
        <v>13777</v>
      </c>
      <c r="F172" s="156">
        <f>G172+H172+I172</f>
        <v>9481</v>
      </c>
      <c r="G172" s="168">
        <v>3262</v>
      </c>
      <c r="H172" s="168">
        <v>3512</v>
      </c>
      <c r="I172" s="161">
        <v>2707</v>
      </c>
      <c r="J172" s="162">
        <f>4274+22</f>
        <v>4296</v>
      </c>
      <c r="K172" s="162">
        <v>12216.3</v>
      </c>
      <c r="L172" s="157" t="e">
        <f>K172/#REF!*100</f>
        <v>#REF!</v>
      </c>
      <c r="M172" s="157">
        <f>K172/I172*100</f>
        <v>451.28555596601404</v>
      </c>
      <c r="N172" s="159"/>
      <c r="O172" s="159"/>
      <c r="P172" s="161">
        <f t="shared" si="58"/>
        <v>284.3645251396648</v>
      </c>
      <c r="Q172" s="157">
        <f t="shared" si="56"/>
        <v>128.85033224343422</v>
      </c>
      <c r="R172" s="162">
        <f t="shared" si="57"/>
        <v>88.67169920882631</v>
      </c>
      <c r="S172" s="162">
        <f t="shared" si="52"/>
        <v>88.81352235550709</v>
      </c>
    </row>
    <row r="173" spans="1:19" ht="12.75">
      <c r="A173" s="112" t="s">
        <v>224</v>
      </c>
      <c r="B173" s="112"/>
      <c r="C173" s="111" t="s">
        <v>225</v>
      </c>
      <c r="D173" s="168"/>
      <c r="E173" s="168">
        <f>G173+H173+I173+J173</f>
        <v>0</v>
      </c>
      <c r="F173" s="156">
        <f aca="true" t="shared" si="67" ref="F173:F180">G173+H173+I173</f>
        <v>0</v>
      </c>
      <c r="G173" s="168"/>
      <c r="H173" s="168"/>
      <c r="I173" s="161"/>
      <c r="J173" s="162"/>
      <c r="K173" s="162"/>
      <c r="L173" s="157"/>
      <c r="M173" s="157"/>
      <c r="N173" s="159"/>
      <c r="O173" s="159"/>
      <c r="P173" s="161" t="e">
        <f t="shared" si="58"/>
        <v>#DIV/0!</v>
      </c>
      <c r="Q173" s="157"/>
      <c r="R173" s="162"/>
      <c r="S173" s="162" t="e">
        <f t="shared" si="52"/>
        <v>#DIV/0!</v>
      </c>
    </row>
    <row r="174" spans="1:19" ht="12.75">
      <c r="A174" s="112" t="s">
        <v>226</v>
      </c>
      <c r="B174" s="112"/>
      <c r="C174" s="111" t="s">
        <v>227</v>
      </c>
      <c r="D174" s="168">
        <v>1155</v>
      </c>
      <c r="E174" s="168">
        <v>1155</v>
      </c>
      <c r="F174" s="156">
        <f t="shared" si="67"/>
        <v>530</v>
      </c>
      <c r="G174" s="168">
        <v>130</v>
      </c>
      <c r="H174" s="168">
        <v>100</v>
      </c>
      <c r="I174" s="161">
        <v>300</v>
      </c>
      <c r="J174" s="162">
        <v>625</v>
      </c>
      <c r="K174" s="162">
        <v>1233.1</v>
      </c>
      <c r="L174" s="157" t="e">
        <f>K174/#REF!*100</f>
        <v>#REF!</v>
      </c>
      <c r="M174" s="157">
        <f>K174/I174*100</f>
        <v>411.0333333333333</v>
      </c>
      <c r="N174" s="159"/>
      <c r="O174" s="159"/>
      <c r="P174" s="161">
        <f t="shared" si="58"/>
        <v>197.29599999999996</v>
      </c>
      <c r="Q174" s="157">
        <f t="shared" si="56"/>
        <v>232.66037735849054</v>
      </c>
      <c r="R174" s="162">
        <f t="shared" si="57"/>
        <v>106.76190476190474</v>
      </c>
      <c r="S174" s="162">
        <f t="shared" si="52"/>
        <v>106.76190476190474</v>
      </c>
    </row>
    <row r="175" spans="1:19" ht="12.75">
      <c r="A175" s="112" t="s">
        <v>228</v>
      </c>
      <c r="B175" s="112"/>
      <c r="C175" s="111" t="s">
        <v>229</v>
      </c>
      <c r="D175" s="168">
        <v>198.5</v>
      </c>
      <c r="E175" s="168">
        <v>116.5</v>
      </c>
      <c r="F175" s="156">
        <f t="shared" si="67"/>
        <v>87</v>
      </c>
      <c r="G175" s="168">
        <v>49</v>
      </c>
      <c r="H175" s="168">
        <v>19</v>
      </c>
      <c r="I175" s="161">
        <v>19</v>
      </c>
      <c r="J175" s="162">
        <v>29.5</v>
      </c>
      <c r="K175" s="162">
        <v>103.4</v>
      </c>
      <c r="L175" s="157" t="e">
        <f>K175/#REF!*100</f>
        <v>#REF!</v>
      </c>
      <c r="M175" s="157">
        <f>K175/I175*100</f>
        <v>544.2105263157895</v>
      </c>
      <c r="N175" s="159"/>
      <c r="O175" s="159"/>
      <c r="P175" s="161">
        <f t="shared" si="58"/>
        <v>350.50847457627117</v>
      </c>
      <c r="Q175" s="157">
        <f t="shared" si="56"/>
        <v>118.85057471264368</v>
      </c>
      <c r="R175" s="162">
        <f t="shared" si="57"/>
        <v>88.75536480686695</v>
      </c>
      <c r="S175" s="162">
        <f t="shared" si="52"/>
        <v>52.09068010075567</v>
      </c>
    </row>
    <row r="176" spans="1:19" ht="24">
      <c r="A176" s="113" t="s">
        <v>232</v>
      </c>
      <c r="B176" s="113"/>
      <c r="C176" s="111" t="s">
        <v>233</v>
      </c>
      <c r="D176" s="168">
        <v>884.8</v>
      </c>
      <c r="E176" s="168">
        <v>371.8</v>
      </c>
      <c r="F176" s="156">
        <f t="shared" si="67"/>
        <v>276</v>
      </c>
      <c r="G176" s="168">
        <v>96</v>
      </c>
      <c r="H176" s="168">
        <v>96</v>
      </c>
      <c r="I176" s="161">
        <v>84</v>
      </c>
      <c r="J176" s="162">
        <v>95.8</v>
      </c>
      <c r="K176" s="162">
        <v>413.2</v>
      </c>
      <c r="L176" s="157" t="e">
        <f>K176/#REF!*100</f>
        <v>#REF!</v>
      </c>
      <c r="M176" s="157">
        <f>K176/I176*100</f>
        <v>491.9047619047619</v>
      </c>
      <c r="N176" s="159"/>
      <c r="O176" s="159"/>
      <c r="P176" s="161">
        <f t="shared" si="58"/>
        <v>431.3152400835073</v>
      </c>
      <c r="Q176" s="157">
        <f t="shared" si="56"/>
        <v>149.71014492753622</v>
      </c>
      <c r="R176" s="162">
        <f t="shared" si="57"/>
        <v>111.13501882732652</v>
      </c>
      <c r="S176" s="162">
        <f t="shared" si="52"/>
        <v>46.6998191681736</v>
      </c>
    </row>
    <row r="177" spans="1:19" ht="24">
      <c r="A177" s="115" t="s">
        <v>236</v>
      </c>
      <c r="B177" s="115"/>
      <c r="C177" s="111" t="s">
        <v>237</v>
      </c>
      <c r="D177" s="168">
        <v>110</v>
      </c>
      <c r="E177" s="168">
        <v>100</v>
      </c>
      <c r="F177" s="156">
        <f t="shared" si="67"/>
        <v>74</v>
      </c>
      <c r="G177" s="168">
        <v>28</v>
      </c>
      <c r="H177" s="168">
        <v>28</v>
      </c>
      <c r="I177" s="161">
        <v>18</v>
      </c>
      <c r="J177" s="162">
        <v>26</v>
      </c>
      <c r="K177" s="162">
        <v>101.3</v>
      </c>
      <c r="L177" s="157" t="e">
        <f>K177/#REF!*100</f>
        <v>#REF!</v>
      </c>
      <c r="M177" s="157">
        <f>K177/I177*100</f>
        <v>562.7777777777777</v>
      </c>
      <c r="N177" s="159"/>
      <c r="O177" s="159"/>
      <c r="P177" s="161">
        <f t="shared" si="58"/>
        <v>389.61538461538464</v>
      </c>
      <c r="Q177" s="157">
        <f t="shared" si="56"/>
        <v>136.8918918918919</v>
      </c>
      <c r="R177" s="162">
        <f t="shared" si="57"/>
        <v>101.3</v>
      </c>
      <c r="S177" s="162">
        <f t="shared" si="52"/>
        <v>92.0909090909091</v>
      </c>
    </row>
    <row r="178" spans="1:19" ht="24">
      <c r="A178" s="115" t="s">
        <v>238</v>
      </c>
      <c r="B178" s="115"/>
      <c r="C178" s="111" t="s">
        <v>239</v>
      </c>
      <c r="D178" s="168">
        <v>20</v>
      </c>
      <c r="E178" s="168">
        <v>82</v>
      </c>
      <c r="F178" s="156">
        <f t="shared" si="67"/>
        <v>82</v>
      </c>
      <c r="G178" s="168"/>
      <c r="H178" s="168"/>
      <c r="I178" s="161">
        <v>82</v>
      </c>
      <c r="J178" s="162"/>
      <c r="K178" s="162">
        <v>82</v>
      </c>
      <c r="L178" s="157" t="e">
        <f>K178/#REF!*100</f>
        <v>#REF!</v>
      </c>
      <c r="M178" s="157">
        <f>K178/I178*100</f>
        <v>100</v>
      </c>
      <c r="N178" s="159"/>
      <c r="O178" s="159"/>
      <c r="P178" s="161" t="e">
        <f t="shared" si="58"/>
        <v>#DIV/0!</v>
      </c>
      <c r="Q178" s="157">
        <f>K178*100/F178</f>
        <v>100</v>
      </c>
      <c r="R178" s="162">
        <f>K178*100/E178</f>
        <v>100</v>
      </c>
      <c r="S178" s="162">
        <f t="shared" si="52"/>
        <v>410</v>
      </c>
    </row>
    <row r="179" spans="1:19" ht="12.75">
      <c r="A179" s="110" t="s">
        <v>242</v>
      </c>
      <c r="B179" s="110"/>
      <c r="C179" s="111" t="s">
        <v>243</v>
      </c>
      <c r="D179" s="168"/>
      <c r="E179" s="168">
        <f>G179+H179+I179+J179</f>
        <v>0</v>
      </c>
      <c r="F179" s="156">
        <f t="shared" si="67"/>
        <v>0</v>
      </c>
      <c r="G179" s="168"/>
      <c r="H179" s="168"/>
      <c r="I179" s="161"/>
      <c r="J179" s="162"/>
      <c r="K179" s="162"/>
      <c r="L179" s="157" t="e">
        <f>K179/#REF!*100</f>
        <v>#REF!</v>
      </c>
      <c r="M179" s="157"/>
      <c r="N179" s="159"/>
      <c r="O179" s="159"/>
      <c r="P179" s="161" t="e">
        <f t="shared" si="58"/>
        <v>#DIV/0!</v>
      </c>
      <c r="Q179" s="157"/>
      <c r="R179" s="162"/>
      <c r="S179" s="162" t="e">
        <f t="shared" si="52"/>
        <v>#DIV/0!</v>
      </c>
    </row>
    <row r="180" spans="1:19" ht="12.75">
      <c r="A180" s="131" t="s">
        <v>244</v>
      </c>
      <c r="B180" s="117"/>
      <c r="C180" s="118" t="s">
        <v>245</v>
      </c>
      <c r="D180" s="175"/>
      <c r="E180" s="168"/>
      <c r="F180" s="156">
        <f t="shared" si="67"/>
        <v>0</v>
      </c>
      <c r="G180" s="175"/>
      <c r="H180" s="175"/>
      <c r="I180" s="161"/>
      <c r="J180" s="162"/>
      <c r="K180" s="162"/>
      <c r="L180" s="157" t="e">
        <f>K180/#REF!*100</f>
        <v>#REF!</v>
      </c>
      <c r="M180" s="157"/>
      <c r="N180" s="159"/>
      <c r="O180" s="159"/>
      <c r="P180" s="161" t="e">
        <f t="shared" si="58"/>
        <v>#DIV/0!</v>
      </c>
      <c r="Q180" s="128"/>
      <c r="R180" s="129"/>
      <c r="S180" s="162"/>
    </row>
    <row r="181" spans="1:19" ht="12.75">
      <c r="A181" s="108" t="s">
        <v>246</v>
      </c>
      <c r="B181" s="108"/>
      <c r="C181" s="119" t="s">
        <v>247</v>
      </c>
      <c r="D181" s="154">
        <f>D182+D183</f>
        <v>37509</v>
      </c>
      <c r="E181" s="154">
        <f>E182+E183</f>
        <v>61515.4</v>
      </c>
      <c r="F181" s="154">
        <f aca="true" t="shared" si="68" ref="F181:K181">F182+F183</f>
        <v>48110</v>
      </c>
      <c r="G181" s="154">
        <f t="shared" si="68"/>
        <v>10283.8</v>
      </c>
      <c r="H181" s="154">
        <f t="shared" si="68"/>
        <v>15120.7</v>
      </c>
      <c r="I181" s="154">
        <f t="shared" si="68"/>
        <v>22705.5</v>
      </c>
      <c r="J181" s="154">
        <f t="shared" si="68"/>
        <v>10642.599999999999</v>
      </c>
      <c r="K181" s="154">
        <f t="shared" si="68"/>
        <v>51790.100000000006</v>
      </c>
      <c r="L181" s="128" t="e">
        <f>K181/#REF!*100</f>
        <v>#REF!</v>
      </c>
      <c r="M181" s="128">
        <f>K181/I181*100</f>
        <v>228.09495496685827</v>
      </c>
      <c r="N181" s="159"/>
      <c r="O181" s="159"/>
      <c r="P181" s="154">
        <f t="shared" si="58"/>
        <v>486.6301467686469</v>
      </c>
      <c r="Q181" s="128">
        <f t="shared" si="56"/>
        <v>107.6493452504677</v>
      </c>
      <c r="R181" s="129">
        <f t="shared" si="57"/>
        <v>84.19046287596278</v>
      </c>
      <c r="S181" s="129">
        <f t="shared" si="52"/>
        <v>138.07379562238398</v>
      </c>
    </row>
    <row r="182" spans="1:19" ht="24">
      <c r="A182" s="120" t="s">
        <v>248</v>
      </c>
      <c r="B182" s="112"/>
      <c r="C182" s="121" t="s">
        <v>249</v>
      </c>
      <c r="D182" s="168">
        <v>37509</v>
      </c>
      <c r="E182" s="168">
        <v>61382.6</v>
      </c>
      <c r="F182" s="156">
        <f>G182+H182+I182</f>
        <v>47977.2</v>
      </c>
      <c r="G182" s="168">
        <v>10283.8</v>
      </c>
      <c r="H182" s="168">
        <v>15120.7</v>
      </c>
      <c r="I182" s="161">
        <f>22475.9+96.8</f>
        <v>22572.7</v>
      </c>
      <c r="J182" s="162">
        <f>9142.8+1499.8</f>
        <v>10642.599999999999</v>
      </c>
      <c r="K182" s="162">
        <v>51607.3</v>
      </c>
      <c r="L182" s="157" t="e">
        <f>K182/#REF!*100</f>
        <v>#REF!</v>
      </c>
      <c r="M182" s="157">
        <f>K182/I182*100</f>
        <v>228.62705834924492</v>
      </c>
      <c r="N182" s="159"/>
      <c r="O182" s="159"/>
      <c r="P182" s="161">
        <f t="shared" si="58"/>
        <v>484.91252137635547</v>
      </c>
      <c r="Q182" s="157">
        <f t="shared" si="56"/>
        <v>107.56630232693864</v>
      </c>
      <c r="R182" s="162">
        <f t="shared" si="57"/>
        <v>84.07480295718983</v>
      </c>
      <c r="S182" s="162">
        <f t="shared" si="52"/>
        <v>137.58644591964594</v>
      </c>
    </row>
    <row r="183" spans="1:19" ht="12.75">
      <c r="A183" s="120" t="s">
        <v>250</v>
      </c>
      <c r="B183" s="120"/>
      <c r="C183" s="122" t="s">
        <v>251</v>
      </c>
      <c r="D183" s="173"/>
      <c r="E183" s="168">
        <v>132.8</v>
      </c>
      <c r="F183" s="156">
        <f>G183+H183+I183</f>
        <v>132.8</v>
      </c>
      <c r="G183" s="168"/>
      <c r="H183" s="168"/>
      <c r="I183" s="161">
        <v>132.8</v>
      </c>
      <c r="J183" s="162"/>
      <c r="K183" s="162">
        <v>182.8</v>
      </c>
      <c r="L183" s="157"/>
      <c r="M183" s="157"/>
      <c r="N183" s="159"/>
      <c r="O183" s="159"/>
      <c r="P183" s="161"/>
      <c r="Q183" s="157">
        <f>K183*100/F183</f>
        <v>137.65060240963854</v>
      </c>
      <c r="R183" s="162">
        <f>K183*100/E183</f>
        <v>137.65060240963854</v>
      </c>
      <c r="S183" s="162"/>
    </row>
    <row r="184" spans="1:19" ht="12.75">
      <c r="A184" s="113"/>
      <c r="B184" s="133"/>
      <c r="C184" s="134" t="s">
        <v>256</v>
      </c>
      <c r="D184" s="257">
        <f aca="true" t="shared" si="69" ref="D184:K184">D181+D171</f>
        <v>53632.3</v>
      </c>
      <c r="E184" s="170">
        <f t="shared" si="69"/>
        <v>77117.7</v>
      </c>
      <c r="F184" s="170">
        <f t="shared" si="69"/>
        <v>58640</v>
      </c>
      <c r="G184" s="170">
        <f t="shared" si="69"/>
        <v>13848.8</v>
      </c>
      <c r="H184" s="170">
        <f t="shared" si="69"/>
        <v>18875.7</v>
      </c>
      <c r="I184" s="170">
        <f t="shared" si="69"/>
        <v>25915.5</v>
      </c>
      <c r="J184" s="170">
        <f t="shared" si="69"/>
        <v>15714.899999999998</v>
      </c>
      <c r="K184" s="170">
        <f t="shared" si="69"/>
        <v>65939.40000000001</v>
      </c>
      <c r="L184" s="256" t="e">
        <f>K184/#REF!*100</f>
        <v>#REF!</v>
      </c>
      <c r="M184" s="256">
        <f>K184/I184*100</f>
        <v>254.4400069456503</v>
      </c>
      <c r="N184" s="159"/>
      <c r="O184" s="166" t="e">
        <f>J184+#REF!+#REF!</f>
        <v>#REF!</v>
      </c>
      <c r="P184" s="257">
        <f t="shared" si="58"/>
        <v>419.5979611706089</v>
      </c>
      <c r="Q184" s="256">
        <f t="shared" si="56"/>
        <v>112.44781718963166</v>
      </c>
      <c r="R184" s="170">
        <f t="shared" si="57"/>
        <v>85.50488409275692</v>
      </c>
      <c r="S184" s="170">
        <f t="shared" si="52"/>
        <v>122.94717921849335</v>
      </c>
    </row>
    <row r="185" spans="1:19" ht="12.75">
      <c r="A185" s="269"/>
      <c r="B185" s="269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</row>
    <row r="186" spans="1:19" ht="12.75">
      <c r="A186" s="217" t="s">
        <v>269</v>
      </c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</row>
    <row r="187" spans="1:19" ht="12.75">
      <c r="A187" s="108" t="s">
        <v>218</v>
      </c>
      <c r="B187" s="108"/>
      <c r="C187" s="109" t="s">
        <v>219</v>
      </c>
      <c r="D187" s="128">
        <f aca="true" t="shared" si="70" ref="D187:K187">D188+D190+D192+D194+D191+D195+D196+D189+D193</f>
        <v>1471</v>
      </c>
      <c r="E187" s="128">
        <f t="shared" si="70"/>
        <v>1509.0000000000002</v>
      </c>
      <c r="F187" s="128">
        <f t="shared" si="70"/>
        <v>1002</v>
      </c>
      <c r="G187" s="128">
        <f t="shared" si="70"/>
        <v>147</v>
      </c>
      <c r="H187" s="128">
        <f t="shared" si="70"/>
        <v>431</v>
      </c>
      <c r="I187" s="128">
        <f t="shared" si="70"/>
        <v>423.99999999999994</v>
      </c>
      <c r="J187" s="128">
        <f t="shared" si="70"/>
        <v>507</v>
      </c>
      <c r="K187" s="128">
        <f t="shared" si="70"/>
        <v>1172.2000000000003</v>
      </c>
      <c r="L187" s="128" t="e">
        <f>K187/#REF!*100</f>
        <v>#REF!</v>
      </c>
      <c r="M187" s="128">
        <f aca="true" t="shared" si="71" ref="M187:M194">K187/I187*100</f>
        <v>276.4622641509435</v>
      </c>
      <c r="N187" s="159"/>
      <c r="O187" s="159"/>
      <c r="P187" s="128">
        <f t="shared" si="58"/>
        <v>231.2031558185405</v>
      </c>
      <c r="Q187" s="128">
        <f t="shared" si="56"/>
        <v>116.98602794411181</v>
      </c>
      <c r="R187" s="129">
        <f t="shared" si="57"/>
        <v>77.68058316766071</v>
      </c>
      <c r="S187" s="129">
        <f t="shared" si="52"/>
        <v>79.68728755948337</v>
      </c>
    </row>
    <row r="188" spans="1:19" ht="12.75">
      <c r="A188" s="110" t="s">
        <v>220</v>
      </c>
      <c r="B188" s="110"/>
      <c r="C188" s="111" t="s">
        <v>221</v>
      </c>
      <c r="D188" s="168">
        <v>1155</v>
      </c>
      <c r="E188" s="168">
        <v>1155</v>
      </c>
      <c r="F188" s="156">
        <f>G188+H188+I188</f>
        <v>700</v>
      </c>
      <c r="G188" s="168">
        <v>120</v>
      </c>
      <c r="H188" s="168">
        <v>300</v>
      </c>
      <c r="I188" s="161">
        <v>280</v>
      </c>
      <c r="J188" s="161">
        <v>455</v>
      </c>
      <c r="K188" s="162">
        <v>834.5</v>
      </c>
      <c r="L188" s="157" t="e">
        <f>K188/#REF!*100</f>
        <v>#REF!</v>
      </c>
      <c r="M188" s="157">
        <f t="shared" si="71"/>
        <v>298.0357142857143</v>
      </c>
      <c r="N188" s="159"/>
      <c r="O188" s="159"/>
      <c r="P188" s="161">
        <f t="shared" si="58"/>
        <v>183.4065934065934</v>
      </c>
      <c r="Q188" s="157">
        <f t="shared" si="56"/>
        <v>119.21428571428571</v>
      </c>
      <c r="R188" s="162">
        <f t="shared" si="57"/>
        <v>72.25108225108225</v>
      </c>
      <c r="S188" s="162">
        <f t="shared" si="52"/>
        <v>72.25108225108225</v>
      </c>
    </row>
    <row r="189" spans="1:19" ht="36">
      <c r="A189" s="112" t="s">
        <v>224</v>
      </c>
      <c r="B189" s="137" t="s">
        <v>270</v>
      </c>
      <c r="C189" s="111" t="s">
        <v>225</v>
      </c>
      <c r="D189" s="168">
        <v>16</v>
      </c>
      <c r="E189" s="168">
        <v>0.4</v>
      </c>
      <c r="F189" s="156">
        <f>G189+H189+I189</f>
        <v>0.4</v>
      </c>
      <c r="G189" s="168"/>
      <c r="H189" s="168"/>
      <c r="I189" s="161">
        <v>0.4</v>
      </c>
      <c r="J189" s="161"/>
      <c r="K189" s="162">
        <v>0.4</v>
      </c>
      <c r="L189" s="157" t="e">
        <f>K189/#REF!*100</f>
        <v>#REF!</v>
      </c>
      <c r="M189" s="157"/>
      <c r="N189" s="159"/>
      <c r="O189" s="159"/>
      <c r="P189" s="161" t="e">
        <f t="shared" si="58"/>
        <v>#DIV/0!</v>
      </c>
      <c r="Q189" s="157">
        <f t="shared" si="56"/>
        <v>100</v>
      </c>
      <c r="R189" s="162">
        <f t="shared" si="57"/>
        <v>100</v>
      </c>
      <c r="S189" s="162">
        <f t="shared" si="52"/>
        <v>2.5</v>
      </c>
    </row>
    <row r="190" spans="1:19" ht="12.75">
      <c r="A190" s="112" t="s">
        <v>226</v>
      </c>
      <c r="B190" s="112"/>
      <c r="C190" s="111" t="s">
        <v>227</v>
      </c>
      <c r="D190" s="168">
        <v>87</v>
      </c>
      <c r="E190" s="168">
        <v>87</v>
      </c>
      <c r="F190" s="156">
        <f aca="true" t="shared" si="72" ref="F190:F196">G190+H190+I190</f>
        <v>62</v>
      </c>
      <c r="G190" s="168">
        <v>3</v>
      </c>
      <c r="H190" s="168">
        <v>5</v>
      </c>
      <c r="I190" s="161">
        <v>54</v>
      </c>
      <c r="J190" s="161">
        <v>25</v>
      </c>
      <c r="K190" s="162">
        <v>66.2</v>
      </c>
      <c r="L190" s="157" t="e">
        <f>K190/#REF!*100</f>
        <v>#REF!</v>
      </c>
      <c r="M190" s="157">
        <f t="shared" si="71"/>
        <v>122.59259259259261</v>
      </c>
      <c r="N190" s="159"/>
      <c r="O190" s="159"/>
      <c r="P190" s="161">
        <f t="shared" si="58"/>
        <v>264.8</v>
      </c>
      <c r="Q190" s="157">
        <f t="shared" si="56"/>
        <v>106.7741935483871</v>
      </c>
      <c r="R190" s="162">
        <f t="shared" si="57"/>
        <v>76.0919540229885</v>
      </c>
      <c r="S190" s="162">
        <f t="shared" si="52"/>
        <v>76.0919540229885</v>
      </c>
    </row>
    <row r="191" spans="1:19" ht="12.75">
      <c r="A191" s="112" t="s">
        <v>228</v>
      </c>
      <c r="B191" s="112"/>
      <c r="C191" s="111" t="s">
        <v>229</v>
      </c>
      <c r="D191" s="168">
        <v>35</v>
      </c>
      <c r="E191" s="168">
        <v>35</v>
      </c>
      <c r="F191" s="156">
        <f t="shared" si="72"/>
        <v>28</v>
      </c>
      <c r="G191" s="168">
        <v>4</v>
      </c>
      <c r="H191" s="168">
        <v>12</v>
      </c>
      <c r="I191" s="161">
        <v>12</v>
      </c>
      <c r="J191" s="161">
        <v>7</v>
      </c>
      <c r="K191" s="162">
        <v>30</v>
      </c>
      <c r="L191" s="157" t="e">
        <f>K191/#REF!*100</f>
        <v>#REF!</v>
      </c>
      <c r="M191" s="157">
        <f t="shared" si="71"/>
        <v>250</v>
      </c>
      <c r="N191" s="159"/>
      <c r="O191" s="159"/>
      <c r="P191" s="161">
        <f t="shared" si="58"/>
        <v>428.57142857142856</v>
      </c>
      <c r="Q191" s="157">
        <f t="shared" si="56"/>
        <v>107.14285714285714</v>
      </c>
      <c r="R191" s="162">
        <f t="shared" si="57"/>
        <v>85.71428571428571</v>
      </c>
      <c r="S191" s="162">
        <f t="shared" si="52"/>
        <v>85.71428571428571</v>
      </c>
    </row>
    <row r="192" spans="1:19" ht="24">
      <c r="A192" s="113" t="s">
        <v>232</v>
      </c>
      <c r="B192" s="113"/>
      <c r="C192" s="111" t="s">
        <v>233</v>
      </c>
      <c r="D192" s="168">
        <v>177</v>
      </c>
      <c r="E192" s="168">
        <v>137.2</v>
      </c>
      <c r="F192" s="156">
        <f t="shared" si="72"/>
        <v>117.2</v>
      </c>
      <c r="G192" s="168">
        <v>20</v>
      </c>
      <c r="H192" s="168">
        <v>20</v>
      </c>
      <c r="I192" s="161">
        <v>77.2</v>
      </c>
      <c r="J192" s="161">
        <v>20</v>
      </c>
      <c r="K192" s="162">
        <v>146.7</v>
      </c>
      <c r="L192" s="157" t="e">
        <f>K192/#REF!*100</f>
        <v>#REF!</v>
      </c>
      <c r="M192" s="157">
        <f t="shared" si="71"/>
        <v>190.02590673575128</v>
      </c>
      <c r="N192" s="159"/>
      <c r="O192" s="159"/>
      <c r="P192" s="161">
        <f t="shared" si="58"/>
        <v>733.4999999999999</v>
      </c>
      <c r="Q192" s="157">
        <f t="shared" si="56"/>
        <v>125.1706484641638</v>
      </c>
      <c r="R192" s="162">
        <f t="shared" si="57"/>
        <v>106.92419825072886</v>
      </c>
      <c r="S192" s="162">
        <f t="shared" si="52"/>
        <v>82.88135593220338</v>
      </c>
    </row>
    <row r="193" spans="1:19" ht="24">
      <c r="A193" s="115" t="s">
        <v>236</v>
      </c>
      <c r="B193" s="115"/>
      <c r="C193" s="111" t="s">
        <v>237</v>
      </c>
      <c r="D193" s="168"/>
      <c r="E193" s="168">
        <v>94</v>
      </c>
      <c r="F193" s="156">
        <f t="shared" si="72"/>
        <v>94</v>
      </c>
      <c r="G193" s="168"/>
      <c r="H193" s="168">
        <v>94</v>
      </c>
      <c r="I193" s="161"/>
      <c r="J193" s="161"/>
      <c r="K193" s="162">
        <v>94</v>
      </c>
      <c r="L193" s="157"/>
      <c r="M193" s="157"/>
      <c r="N193" s="159"/>
      <c r="O193" s="159"/>
      <c r="P193" s="161"/>
      <c r="Q193" s="157">
        <f t="shared" si="56"/>
        <v>100</v>
      </c>
      <c r="R193" s="162">
        <f t="shared" si="57"/>
        <v>100</v>
      </c>
      <c r="S193" s="162"/>
    </row>
    <row r="194" spans="1:19" ht="24">
      <c r="A194" s="114" t="s">
        <v>238</v>
      </c>
      <c r="B194" s="114"/>
      <c r="C194" s="111" t="s">
        <v>239</v>
      </c>
      <c r="D194" s="168">
        <v>1</v>
      </c>
      <c r="E194" s="168">
        <f>G194+H194+I194+J194</f>
        <v>0</v>
      </c>
      <c r="F194" s="156">
        <f t="shared" si="72"/>
        <v>0</v>
      </c>
      <c r="G194" s="168"/>
      <c r="H194" s="168"/>
      <c r="I194" s="161"/>
      <c r="J194" s="161"/>
      <c r="K194" s="162"/>
      <c r="L194" s="157" t="e">
        <f>K194/#REF!*100</f>
        <v>#REF!</v>
      </c>
      <c r="M194" s="157" t="e">
        <f t="shared" si="71"/>
        <v>#DIV/0!</v>
      </c>
      <c r="N194" s="159"/>
      <c r="O194" s="159"/>
      <c r="P194" s="161" t="e">
        <f t="shared" si="58"/>
        <v>#DIV/0!</v>
      </c>
      <c r="Q194" s="157"/>
      <c r="R194" s="162"/>
      <c r="S194" s="162">
        <f t="shared" si="52"/>
        <v>0</v>
      </c>
    </row>
    <row r="195" spans="1:19" ht="12.75">
      <c r="A195" s="114" t="s">
        <v>242</v>
      </c>
      <c r="B195" s="136"/>
      <c r="C195" s="111" t="s">
        <v>243</v>
      </c>
      <c r="D195" s="168"/>
      <c r="E195" s="168">
        <f>G195+H195+I195+J195</f>
        <v>0.4</v>
      </c>
      <c r="F195" s="156">
        <f t="shared" si="72"/>
        <v>0.4</v>
      </c>
      <c r="G195" s="168"/>
      <c r="H195" s="168"/>
      <c r="I195" s="161">
        <v>0.4</v>
      </c>
      <c r="J195" s="161"/>
      <c r="K195" s="162">
        <v>0.4</v>
      </c>
      <c r="L195" s="157" t="e">
        <f>K195/#REF!*100</f>
        <v>#REF!</v>
      </c>
      <c r="M195" s="157"/>
      <c r="N195" s="159"/>
      <c r="O195" s="159"/>
      <c r="P195" s="161" t="e">
        <f t="shared" si="58"/>
        <v>#DIV/0!</v>
      </c>
      <c r="Q195" s="157"/>
      <c r="R195" s="162"/>
      <c r="S195" s="162"/>
    </row>
    <row r="196" spans="1:19" ht="12.75">
      <c r="A196" s="131" t="s">
        <v>244</v>
      </c>
      <c r="B196" s="117"/>
      <c r="C196" s="118" t="s">
        <v>245</v>
      </c>
      <c r="D196" s="175"/>
      <c r="E196" s="168">
        <f>G196+H196+I196+J196</f>
        <v>0</v>
      </c>
      <c r="F196" s="156">
        <f t="shared" si="72"/>
        <v>0</v>
      </c>
      <c r="G196" s="168"/>
      <c r="H196" s="168"/>
      <c r="I196" s="161"/>
      <c r="J196" s="161"/>
      <c r="K196" s="162">
        <v>0</v>
      </c>
      <c r="L196" s="157" t="e">
        <f>K196/#REF!*100</f>
        <v>#REF!</v>
      </c>
      <c r="M196" s="157"/>
      <c r="N196" s="159"/>
      <c r="O196" s="159"/>
      <c r="P196" s="161"/>
      <c r="Q196" s="157"/>
      <c r="R196" s="162"/>
      <c r="S196" s="162"/>
    </row>
    <row r="197" spans="1:19" ht="12.75">
      <c r="A197" s="108" t="s">
        <v>246</v>
      </c>
      <c r="B197" s="108"/>
      <c r="C197" s="119" t="s">
        <v>247</v>
      </c>
      <c r="D197" s="163">
        <f>D198+D199+D200</f>
        <v>21779.4</v>
      </c>
      <c r="E197" s="163">
        <f>E198+E199+E200</f>
        <v>26945.6</v>
      </c>
      <c r="F197" s="163">
        <f aca="true" t="shared" si="73" ref="F197:K197">F198+F199+F200</f>
        <v>20011.5</v>
      </c>
      <c r="G197" s="163">
        <f t="shared" si="73"/>
        <v>5925.2</v>
      </c>
      <c r="H197" s="163">
        <f t="shared" si="73"/>
        <v>6470.1</v>
      </c>
      <c r="I197" s="163">
        <f t="shared" si="73"/>
        <v>7616.200000000001</v>
      </c>
      <c r="J197" s="163">
        <f t="shared" si="73"/>
        <v>6539.8</v>
      </c>
      <c r="K197" s="163">
        <f t="shared" si="73"/>
        <v>22891.6</v>
      </c>
      <c r="L197" s="163" t="e">
        <f>L198+L199</f>
        <v>#REF!</v>
      </c>
      <c r="M197" s="163">
        <f>M198+M199</f>
        <v>296.1489256155191</v>
      </c>
      <c r="N197" s="163">
        <f>N198+N199</f>
        <v>0</v>
      </c>
      <c r="O197" s="163">
        <f>O198+O199</f>
        <v>0</v>
      </c>
      <c r="P197" s="163">
        <f>P198+P199</f>
        <v>346.88522584788524</v>
      </c>
      <c r="Q197" s="128">
        <f t="shared" si="56"/>
        <v>114.39222447092922</v>
      </c>
      <c r="R197" s="129">
        <f t="shared" si="57"/>
        <v>84.95487203847753</v>
      </c>
      <c r="S197" s="129">
        <f t="shared" si="52"/>
        <v>105.10666042223384</v>
      </c>
    </row>
    <row r="198" spans="1:19" ht="24">
      <c r="A198" s="120" t="s">
        <v>248</v>
      </c>
      <c r="B198" s="112"/>
      <c r="C198" s="121" t="s">
        <v>249</v>
      </c>
      <c r="D198" s="168">
        <v>21779.4</v>
      </c>
      <c r="E198" s="168">
        <v>26739.6</v>
      </c>
      <c r="F198" s="156">
        <f>G198+H198+I198</f>
        <v>19805.5</v>
      </c>
      <c r="G198" s="168">
        <f>5827.2+98</f>
        <v>5925.2</v>
      </c>
      <c r="H198" s="168">
        <f>5844.5+60.6+315</f>
        <v>6220.1</v>
      </c>
      <c r="I198" s="161">
        <f>5544.5+199.1+1711+205.6</f>
        <v>7660.200000000001</v>
      </c>
      <c r="J198" s="161">
        <f>5074.6+1465.2</f>
        <v>6539.8</v>
      </c>
      <c r="K198" s="162">
        <v>22685.6</v>
      </c>
      <c r="L198" s="157" t="e">
        <f>K198/#REF!*100</f>
        <v>#REF!</v>
      </c>
      <c r="M198" s="157">
        <f>K198/I198*100</f>
        <v>296.1489256155191</v>
      </c>
      <c r="N198" s="159"/>
      <c r="O198" s="159"/>
      <c r="P198" s="161">
        <f t="shared" si="58"/>
        <v>346.88522584788524</v>
      </c>
      <c r="Q198" s="157">
        <f t="shared" si="56"/>
        <v>114.54192017368912</v>
      </c>
      <c r="R198" s="162">
        <f t="shared" si="57"/>
        <v>84.83896542955019</v>
      </c>
      <c r="S198" s="162">
        <f t="shared" si="52"/>
        <v>104.16081251090479</v>
      </c>
    </row>
    <row r="199" spans="1:19" ht="12.75">
      <c r="A199" s="120" t="s">
        <v>250</v>
      </c>
      <c r="B199" s="120"/>
      <c r="C199" s="122" t="s">
        <v>251</v>
      </c>
      <c r="D199" s="173"/>
      <c r="E199" s="168">
        <v>300</v>
      </c>
      <c r="F199" s="156">
        <f>G199+H199+I199</f>
        <v>300</v>
      </c>
      <c r="G199" s="168"/>
      <c r="H199" s="168">
        <v>250</v>
      </c>
      <c r="I199" s="161">
        <v>50</v>
      </c>
      <c r="J199" s="161"/>
      <c r="K199" s="162">
        <v>300</v>
      </c>
      <c r="L199" s="157"/>
      <c r="M199" s="157"/>
      <c r="N199" s="159"/>
      <c r="O199" s="159"/>
      <c r="P199" s="161"/>
      <c r="Q199" s="157">
        <f>K199*100/F199</f>
        <v>100</v>
      </c>
      <c r="R199" s="162">
        <f>K199*100/E199</f>
        <v>100</v>
      </c>
      <c r="S199" s="162"/>
    </row>
    <row r="200" spans="1:19" ht="36">
      <c r="A200" s="120" t="s">
        <v>254</v>
      </c>
      <c r="B200" s="124"/>
      <c r="C200" s="125" t="s">
        <v>255</v>
      </c>
      <c r="D200" s="275"/>
      <c r="E200" s="168">
        <v>-94</v>
      </c>
      <c r="F200" s="156">
        <f>G200+H200+I200</f>
        <v>-94</v>
      </c>
      <c r="G200" s="168"/>
      <c r="H200" s="168"/>
      <c r="I200" s="161">
        <v>-94</v>
      </c>
      <c r="J200" s="161"/>
      <c r="K200" s="162">
        <v>-94</v>
      </c>
      <c r="L200" s="157"/>
      <c r="M200" s="157"/>
      <c r="N200" s="159"/>
      <c r="O200" s="159"/>
      <c r="P200" s="161"/>
      <c r="Q200" s="157">
        <f>K200*100/F200</f>
        <v>100</v>
      </c>
      <c r="R200" s="162">
        <f>K200*100/E200</f>
        <v>100</v>
      </c>
      <c r="S200" s="162"/>
    </row>
    <row r="201" spans="1:19" ht="12.75">
      <c r="A201" s="113"/>
      <c r="B201" s="133"/>
      <c r="C201" s="134" t="s">
        <v>256</v>
      </c>
      <c r="D201" s="257">
        <f aca="true" t="shared" si="74" ref="D201:K201">D197+D187</f>
        <v>23250.4</v>
      </c>
      <c r="E201" s="170">
        <f t="shared" si="74"/>
        <v>28454.6</v>
      </c>
      <c r="F201" s="170">
        <f t="shared" si="74"/>
        <v>21013.5</v>
      </c>
      <c r="G201" s="257">
        <f t="shared" si="74"/>
        <v>6072.2</v>
      </c>
      <c r="H201" s="257">
        <f t="shared" si="74"/>
        <v>6901.1</v>
      </c>
      <c r="I201" s="257">
        <f t="shared" si="74"/>
        <v>8040.200000000001</v>
      </c>
      <c r="J201" s="257">
        <f t="shared" si="74"/>
        <v>7046.8</v>
      </c>
      <c r="K201" s="170">
        <f t="shared" si="74"/>
        <v>24063.8</v>
      </c>
      <c r="L201" s="256" t="e">
        <f>K201/#REF!*100</f>
        <v>#REF!</v>
      </c>
      <c r="M201" s="256">
        <f>K201/I201*100</f>
        <v>299.29354991169373</v>
      </c>
      <c r="N201" s="159"/>
      <c r="O201" s="166" t="e">
        <f>J201+#REF!+#REF!</f>
        <v>#REF!</v>
      </c>
      <c r="P201" s="257">
        <f t="shared" si="58"/>
        <v>341.4854969631606</v>
      </c>
      <c r="Q201" s="256">
        <f t="shared" si="56"/>
        <v>114.51590644109739</v>
      </c>
      <c r="R201" s="170">
        <f t="shared" si="57"/>
        <v>84.56910306242224</v>
      </c>
      <c r="S201" s="170">
        <f aca="true" t="shared" si="75" ref="S201:S222">K201*100/D201</f>
        <v>103.49843443553658</v>
      </c>
    </row>
    <row r="202" spans="1:19" ht="12.75">
      <c r="A202" s="269"/>
      <c r="B202" s="269"/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</row>
    <row r="203" spans="1:19" ht="12.75">
      <c r="A203" s="217" t="s">
        <v>271</v>
      </c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</row>
    <row r="204" spans="1:19" ht="12.75">
      <c r="A204" s="108" t="s">
        <v>218</v>
      </c>
      <c r="B204" s="138"/>
      <c r="C204" s="109" t="s">
        <v>219</v>
      </c>
      <c r="D204" s="128">
        <f aca="true" t="shared" si="76" ref="D204:K204">D205+D207+D208+D209+D211+D212+D214+D216+D213+D210+D217+D215+D206</f>
        <v>781777.1</v>
      </c>
      <c r="E204" s="128">
        <f t="shared" si="76"/>
        <v>837602.5999999999</v>
      </c>
      <c r="F204" s="128">
        <f t="shared" si="76"/>
        <v>592849.5000000001</v>
      </c>
      <c r="G204" s="128">
        <f t="shared" si="76"/>
        <v>168981.5</v>
      </c>
      <c r="H204" s="128">
        <f t="shared" si="76"/>
        <v>221823.00000000003</v>
      </c>
      <c r="I204" s="128">
        <f t="shared" si="76"/>
        <v>202045</v>
      </c>
      <c r="J204" s="128">
        <f t="shared" si="76"/>
        <v>231611.10000000003</v>
      </c>
      <c r="K204" s="128">
        <f t="shared" si="76"/>
        <v>715582.2999999999</v>
      </c>
      <c r="L204" s="128" t="e">
        <f>K204/#REF!*100</f>
        <v>#REF!</v>
      </c>
      <c r="M204" s="128">
        <f aca="true" t="shared" si="77" ref="M204:M215">K204/I204*100</f>
        <v>354.16976416144917</v>
      </c>
      <c r="N204" s="159"/>
      <c r="O204" s="159"/>
      <c r="P204" s="128">
        <f t="shared" si="58"/>
        <v>308.95855164109145</v>
      </c>
      <c r="Q204" s="128">
        <f t="shared" si="56"/>
        <v>120.70218495587832</v>
      </c>
      <c r="R204" s="129">
        <f t="shared" si="57"/>
        <v>85.43219660492937</v>
      </c>
      <c r="S204" s="129">
        <f t="shared" si="75"/>
        <v>91.53277833285216</v>
      </c>
    </row>
    <row r="205" spans="1:19" ht="36">
      <c r="A205" s="110" t="s">
        <v>220</v>
      </c>
      <c r="B205" s="139" t="s">
        <v>272</v>
      </c>
      <c r="C205" s="111" t="s">
        <v>221</v>
      </c>
      <c r="D205" s="162">
        <f>D9+D31+D46+D62+D78+D95+D110+D126+D141+D157+D172+D188</f>
        <v>574720.1</v>
      </c>
      <c r="E205" s="162">
        <f aca="true" t="shared" si="78" ref="E205:J205">E9+E31+E46+E62+E78+E95+E110+E126+E141+E157+E172+E188</f>
        <v>582141.2</v>
      </c>
      <c r="F205" s="162">
        <f t="shared" si="78"/>
        <v>421996.9</v>
      </c>
      <c r="G205" s="162">
        <f t="shared" si="78"/>
        <v>132000.09999999998</v>
      </c>
      <c r="H205" s="162">
        <f t="shared" si="78"/>
        <v>154903.2</v>
      </c>
      <c r="I205" s="162">
        <f t="shared" si="78"/>
        <v>135093.6</v>
      </c>
      <c r="J205" s="162">
        <f t="shared" si="78"/>
        <v>159664.30000000002</v>
      </c>
      <c r="K205" s="162">
        <f>K9+K31+K46+K62+K78+K95+K110+K126+K141+K157+K172+K188</f>
        <v>473926.29999999993</v>
      </c>
      <c r="L205" s="157" t="e">
        <f>K205/#REF!*100</f>
        <v>#REF!</v>
      </c>
      <c r="M205" s="157">
        <f t="shared" si="77"/>
        <v>350.81328797219106</v>
      </c>
      <c r="N205" s="159"/>
      <c r="O205" s="159"/>
      <c r="P205" s="161">
        <f t="shared" si="58"/>
        <v>296.82671705572244</v>
      </c>
      <c r="Q205" s="157">
        <f t="shared" si="56"/>
        <v>112.30563542054453</v>
      </c>
      <c r="R205" s="162">
        <f t="shared" si="57"/>
        <v>81.41088450705773</v>
      </c>
      <c r="S205" s="162">
        <f t="shared" si="75"/>
        <v>82.46210633663237</v>
      </c>
    </row>
    <row r="206" spans="1:19" ht="12.75">
      <c r="A206" s="112" t="s">
        <v>222</v>
      </c>
      <c r="B206" s="112"/>
      <c r="C206" s="111" t="s">
        <v>223</v>
      </c>
      <c r="D206" s="162">
        <f>D10</f>
        <v>33926</v>
      </c>
      <c r="E206" s="162">
        <f aca="true" t="shared" si="79" ref="E206:P206">E10</f>
        <v>33926</v>
      </c>
      <c r="F206" s="162">
        <f t="shared" si="79"/>
        <v>25444.5</v>
      </c>
      <c r="G206" s="162">
        <f t="shared" si="79"/>
        <v>8482</v>
      </c>
      <c r="H206" s="162">
        <f t="shared" si="79"/>
        <v>8481.3</v>
      </c>
      <c r="I206" s="162">
        <f t="shared" si="79"/>
        <v>8481.2</v>
      </c>
      <c r="J206" s="162">
        <f t="shared" si="79"/>
        <v>8481.5</v>
      </c>
      <c r="K206" s="162">
        <f t="shared" si="79"/>
        <v>30433.3</v>
      </c>
      <c r="L206" s="162">
        <f t="shared" si="79"/>
        <v>0</v>
      </c>
      <c r="M206" s="162">
        <f t="shared" si="79"/>
        <v>0</v>
      </c>
      <c r="N206" s="162">
        <f t="shared" si="79"/>
        <v>0</v>
      </c>
      <c r="O206" s="162">
        <f t="shared" si="79"/>
        <v>0</v>
      </c>
      <c r="P206" s="162">
        <f t="shared" si="79"/>
        <v>0</v>
      </c>
      <c r="Q206" s="157">
        <f t="shared" si="56"/>
        <v>119.60659474542632</v>
      </c>
      <c r="R206" s="162">
        <f t="shared" si="57"/>
        <v>89.70494605906974</v>
      </c>
      <c r="S206" s="162">
        <f t="shared" si="75"/>
        <v>89.70494605906974</v>
      </c>
    </row>
    <row r="207" spans="1:19" ht="36">
      <c r="A207" s="112" t="s">
        <v>224</v>
      </c>
      <c r="B207" s="137" t="s">
        <v>270</v>
      </c>
      <c r="C207" s="111" t="s">
        <v>225</v>
      </c>
      <c r="D207" s="162">
        <f>D11+D47+D63+D189+D142+D111+D173+D79+D96</f>
        <v>31307.6</v>
      </c>
      <c r="E207" s="162">
        <f aca="true" t="shared" si="80" ref="E207:J207">E11+E47+E63+E189+E142+E111+E173+E79+E96</f>
        <v>35747.1</v>
      </c>
      <c r="F207" s="162">
        <f t="shared" si="80"/>
        <v>25200.5</v>
      </c>
      <c r="G207" s="162">
        <f t="shared" si="80"/>
        <v>8113.5</v>
      </c>
      <c r="H207" s="162">
        <f t="shared" si="80"/>
        <v>9885.5</v>
      </c>
      <c r="I207" s="162">
        <f t="shared" si="80"/>
        <v>7201.499999999999</v>
      </c>
      <c r="J207" s="162">
        <f t="shared" si="80"/>
        <v>10541.9</v>
      </c>
      <c r="K207" s="162">
        <f>K11+K47+K63+K189+K142+K111+K173+K79+K96</f>
        <v>35869.19999999999</v>
      </c>
      <c r="L207" s="157" t="e">
        <f>K207/#REF!*100</f>
        <v>#REF!</v>
      </c>
      <c r="M207" s="157">
        <f t="shared" si="77"/>
        <v>498.07956675692554</v>
      </c>
      <c r="N207" s="159"/>
      <c r="O207" s="159"/>
      <c r="P207" s="161">
        <f t="shared" si="58"/>
        <v>340.25365446456516</v>
      </c>
      <c r="Q207" s="157">
        <f t="shared" si="56"/>
        <v>142.33527112557286</v>
      </c>
      <c r="R207" s="162">
        <f t="shared" si="57"/>
        <v>100.3415661690039</v>
      </c>
      <c r="S207" s="162">
        <f t="shared" si="75"/>
        <v>114.5702640892307</v>
      </c>
    </row>
    <row r="208" spans="1:19" ht="36">
      <c r="A208" s="112" t="s">
        <v>226</v>
      </c>
      <c r="B208" s="137" t="s">
        <v>273</v>
      </c>
      <c r="C208" s="111" t="s">
        <v>227</v>
      </c>
      <c r="D208" s="162">
        <f>D12+D32+D48+D64+D80+D97+D112+D127+D143+D158+D174+D190</f>
        <v>15760</v>
      </c>
      <c r="E208" s="162">
        <f aca="true" t="shared" si="81" ref="E208:J208">E12+E32+E48+E64+E80+E97+E112+E127+E143+E158+E174+E190-0.1</f>
        <v>17367.7</v>
      </c>
      <c r="F208" s="162">
        <f t="shared" si="81"/>
        <v>12073.2</v>
      </c>
      <c r="G208" s="162">
        <f t="shared" si="81"/>
        <v>4748.4</v>
      </c>
      <c r="H208" s="162">
        <f t="shared" si="81"/>
        <v>2496.2000000000003</v>
      </c>
      <c r="I208" s="162">
        <f t="shared" si="81"/>
        <v>4828.400000000001</v>
      </c>
      <c r="J208" s="162">
        <f t="shared" si="81"/>
        <v>4154.7</v>
      </c>
      <c r="K208" s="162">
        <f>K12+K32+K48+K64+K80+K97+K112+K127+K143+K158+K174+K190-0.1</f>
        <v>17001.600000000002</v>
      </c>
      <c r="L208" s="157" t="e">
        <f>K208/#REF!*100</f>
        <v>#REF!</v>
      </c>
      <c r="M208" s="157">
        <f t="shared" si="77"/>
        <v>352.116643194433</v>
      </c>
      <c r="N208" s="159"/>
      <c r="O208" s="159"/>
      <c r="P208" s="161">
        <f t="shared" si="58"/>
        <v>409.2136616362193</v>
      </c>
      <c r="Q208" s="157">
        <f t="shared" si="56"/>
        <v>140.82099194911044</v>
      </c>
      <c r="R208" s="162">
        <f t="shared" si="57"/>
        <v>97.89206400386927</v>
      </c>
      <c r="S208" s="162">
        <f t="shared" si="75"/>
        <v>107.8781725888325</v>
      </c>
    </row>
    <row r="209" spans="1:19" ht="36">
      <c r="A209" s="112" t="s">
        <v>228</v>
      </c>
      <c r="B209" s="137" t="s">
        <v>274</v>
      </c>
      <c r="C209" s="111" t="s">
        <v>229</v>
      </c>
      <c r="D209" s="162">
        <f>D13+D33+D65+D81+D98+D113+D128+D144+D159+D175+D191</f>
        <v>2394.2</v>
      </c>
      <c r="E209" s="162">
        <f aca="true" t="shared" si="82" ref="E209:J209">E13+E33+E49+E65+E81+E98+E113+E128+E144+E159+E175+E191</f>
        <v>3338.2</v>
      </c>
      <c r="F209" s="162">
        <f t="shared" si="82"/>
        <v>2309.3</v>
      </c>
      <c r="G209" s="162">
        <f t="shared" si="82"/>
        <v>563.5</v>
      </c>
      <c r="H209" s="162">
        <f t="shared" si="82"/>
        <v>883.4</v>
      </c>
      <c r="I209" s="162">
        <f t="shared" si="82"/>
        <v>862.4</v>
      </c>
      <c r="J209" s="162">
        <f t="shared" si="82"/>
        <v>702.9000000000001</v>
      </c>
      <c r="K209" s="162">
        <f>K13+K33+K49+K65+K81+K98+K113+K128+K144+K159+K175+K191</f>
        <v>3355.0000000000005</v>
      </c>
      <c r="L209" s="157" t="e">
        <f>K209/#REF!*100</f>
        <v>#REF!</v>
      </c>
      <c r="M209" s="157">
        <f t="shared" si="77"/>
        <v>389.030612244898</v>
      </c>
      <c r="N209" s="159"/>
      <c r="O209" s="159"/>
      <c r="P209" s="161">
        <f t="shared" si="58"/>
        <v>477.3082942097027</v>
      </c>
      <c r="Q209" s="157">
        <f t="shared" si="56"/>
        <v>145.282120122981</v>
      </c>
      <c r="R209" s="162">
        <f t="shared" si="57"/>
        <v>100.5032652327602</v>
      </c>
      <c r="S209" s="162">
        <f t="shared" si="75"/>
        <v>140.1303149277421</v>
      </c>
    </row>
    <row r="210" spans="1:19" ht="24">
      <c r="A210" s="112" t="s">
        <v>230</v>
      </c>
      <c r="B210" s="137" t="s">
        <v>275</v>
      </c>
      <c r="C210" s="111" t="s">
        <v>231</v>
      </c>
      <c r="D210" s="176">
        <f>D14</f>
        <v>0</v>
      </c>
      <c r="E210" s="176">
        <f aca="true" t="shared" si="83" ref="E210:J210">E14</f>
        <v>0</v>
      </c>
      <c r="F210" s="176">
        <f t="shared" si="83"/>
        <v>0</v>
      </c>
      <c r="G210" s="176">
        <f t="shared" si="83"/>
        <v>0</v>
      </c>
      <c r="H210" s="176">
        <f t="shared" si="83"/>
        <v>0</v>
      </c>
      <c r="I210" s="176">
        <f t="shared" si="83"/>
        <v>0</v>
      </c>
      <c r="J210" s="176">
        <f t="shared" si="83"/>
        <v>0</v>
      </c>
      <c r="K210" s="176">
        <f>K14</f>
        <v>0</v>
      </c>
      <c r="L210" s="157" t="e">
        <f>K210/#REF!*100</f>
        <v>#REF!</v>
      </c>
      <c r="M210" s="157"/>
      <c r="N210" s="159"/>
      <c r="O210" s="159"/>
      <c r="P210" s="161" t="e">
        <f t="shared" si="58"/>
        <v>#DIV/0!</v>
      </c>
      <c r="Q210" s="157"/>
      <c r="R210" s="162"/>
      <c r="S210" s="162" t="e">
        <f t="shared" si="75"/>
        <v>#DIV/0!</v>
      </c>
    </row>
    <row r="211" spans="1:19" ht="36">
      <c r="A211" s="113" t="s">
        <v>232</v>
      </c>
      <c r="B211" s="140" t="s">
        <v>276</v>
      </c>
      <c r="C211" s="111" t="s">
        <v>233</v>
      </c>
      <c r="D211" s="162">
        <f>D15+D34+D50+D66+D82+D99+D114+D129+D145+D160+D176+D192</f>
        <v>89497.80000000002</v>
      </c>
      <c r="E211" s="162">
        <f aca="true" t="shared" si="84" ref="E211:J211">E15+E34+E50+E66+E82+E99+E114+E129+E145+E160+E176+E192</f>
        <v>105806.90000000002</v>
      </c>
      <c r="F211" s="162">
        <f t="shared" si="84"/>
        <v>63926.099999999984</v>
      </c>
      <c r="G211" s="162">
        <f t="shared" si="84"/>
        <v>7888.599999999999</v>
      </c>
      <c r="H211" s="162">
        <f t="shared" si="84"/>
        <v>26993.600000000002</v>
      </c>
      <c r="I211" s="162">
        <f t="shared" si="84"/>
        <v>29043.9</v>
      </c>
      <c r="J211" s="162">
        <f t="shared" si="84"/>
        <v>34265.00000000001</v>
      </c>
      <c r="K211" s="162">
        <f>K15+K34+K50+K66+K82+K99+K114+K129+K145+K160+K176+K192</f>
        <v>96905.2</v>
      </c>
      <c r="L211" s="157" t="e">
        <f>K211/#REF!*100</f>
        <v>#REF!</v>
      </c>
      <c r="M211" s="157">
        <f t="shared" si="77"/>
        <v>333.65078381346854</v>
      </c>
      <c r="N211" s="159"/>
      <c r="O211" s="159"/>
      <c r="P211" s="161">
        <f t="shared" si="58"/>
        <v>282.81103166496416</v>
      </c>
      <c r="Q211" s="157">
        <f aca="true" t="shared" si="85" ref="Q211:Q222">K211*100/F211</f>
        <v>151.58941340078627</v>
      </c>
      <c r="R211" s="162">
        <f aca="true" t="shared" si="86" ref="R211:R222">K211*100/E211</f>
        <v>91.58684358014456</v>
      </c>
      <c r="S211" s="162">
        <f t="shared" si="75"/>
        <v>108.27662802884538</v>
      </c>
    </row>
    <row r="212" spans="1:19" ht="12.75">
      <c r="A212" s="114" t="s">
        <v>234</v>
      </c>
      <c r="B212" s="141" t="s">
        <v>277</v>
      </c>
      <c r="C212" s="111" t="s">
        <v>235</v>
      </c>
      <c r="D212" s="162">
        <f>D16</f>
        <v>9202.4</v>
      </c>
      <c r="E212" s="162">
        <f aca="true" t="shared" si="87" ref="E212:J212">E16</f>
        <v>20451.9</v>
      </c>
      <c r="F212" s="162">
        <f t="shared" si="87"/>
        <v>17300.5</v>
      </c>
      <c r="G212" s="162">
        <f t="shared" si="87"/>
        <v>2300.6</v>
      </c>
      <c r="H212" s="162">
        <f t="shared" si="87"/>
        <v>10697.5</v>
      </c>
      <c r="I212" s="162">
        <f t="shared" si="87"/>
        <v>4302.4</v>
      </c>
      <c r="J212" s="162">
        <f t="shared" si="87"/>
        <v>3732.7</v>
      </c>
      <c r="K212" s="162">
        <f>K16</f>
        <v>23120.1</v>
      </c>
      <c r="L212" s="157" t="e">
        <f>K212/#REF!*100</f>
        <v>#REF!</v>
      </c>
      <c r="M212" s="157">
        <f t="shared" si="77"/>
        <v>537.376812941614</v>
      </c>
      <c r="N212" s="159"/>
      <c r="O212" s="159"/>
      <c r="P212" s="161">
        <f t="shared" si="58"/>
        <v>619.3934685348407</v>
      </c>
      <c r="Q212" s="157">
        <f t="shared" si="85"/>
        <v>133.63833415219213</v>
      </c>
      <c r="R212" s="162">
        <f t="shared" si="86"/>
        <v>113.04622064453669</v>
      </c>
      <c r="S212" s="162">
        <f t="shared" si="75"/>
        <v>251.23989394071114</v>
      </c>
    </row>
    <row r="213" spans="1:19" ht="24">
      <c r="A213" s="115" t="s">
        <v>236</v>
      </c>
      <c r="B213" s="142" t="s">
        <v>278</v>
      </c>
      <c r="C213" s="111" t="s">
        <v>237</v>
      </c>
      <c r="D213" s="177">
        <f>D17+D83+D100+D130+D146+D161+D177+D115+D67+D35+D193</f>
        <v>7607</v>
      </c>
      <c r="E213" s="177">
        <f aca="true" t="shared" si="88" ref="E213:J213">E17+E83+E100+E130+E146+E161+E177+E115+E67+E35+E193+0.1</f>
        <v>9209.2</v>
      </c>
      <c r="F213" s="177">
        <f t="shared" si="88"/>
        <v>6560.3</v>
      </c>
      <c r="G213" s="177">
        <f t="shared" si="88"/>
        <v>1855.6999999999998</v>
      </c>
      <c r="H213" s="177">
        <f t="shared" si="88"/>
        <v>1962.1999999999998</v>
      </c>
      <c r="I213" s="177">
        <f t="shared" si="88"/>
        <v>2742.5999999999995</v>
      </c>
      <c r="J213" s="177">
        <f t="shared" si="88"/>
        <v>2630.9</v>
      </c>
      <c r="K213" s="177">
        <f>K17+K83+K100+K130+K146+K161+K177+K115+K67+K35+K193+0.1</f>
        <v>8202.9</v>
      </c>
      <c r="L213" s="157" t="e">
        <f>K213/#REF!*100</f>
        <v>#REF!</v>
      </c>
      <c r="M213" s="157">
        <f t="shared" si="77"/>
        <v>299.0921023845986</v>
      </c>
      <c r="N213" s="159"/>
      <c r="O213" s="159"/>
      <c r="P213" s="161">
        <f t="shared" si="58"/>
        <v>311.7906419856323</v>
      </c>
      <c r="Q213" s="157">
        <f t="shared" si="85"/>
        <v>125.03848909348658</v>
      </c>
      <c r="R213" s="162">
        <f t="shared" si="86"/>
        <v>89.07288363810102</v>
      </c>
      <c r="S213" s="162">
        <f t="shared" si="75"/>
        <v>107.83357433942422</v>
      </c>
    </row>
    <row r="214" spans="1:19" ht="24">
      <c r="A214" s="115" t="s">
        <v>238</v>
      </c>
      <c r="B214" s="142" t="s">
        <v>279</v>
      </c>
      <c r="C214" s="111" t="s">
        <v>239</v>
      </c>
      <c r="D214" s="162">
        <f>D18+D36+D51+D68+D84+D101+D116+D147+D162+D178+D194+D131</f>
        <v>16220</v>
      </c>
      <c r="E214" s="162">
        <f aca="true" t="shared" si="89" ref="E214:J214">E18+E36+E51+E68+E84+E101+E116+E147+E162+E178+E194+E131</f>
        <v>24331</v>
      </c>
      <c r="F214" s="162">
        <f t="shared" si="89"/>
        <v>14623.8</v>
      </c>
      <c r="G214" s="162">
        <f t="shared" si="89"/>
        <v>2388.7</v>
      </c>
      <c r="H214" s="162">
        <f t="shared" si="89"/>
        <v>4854.199999999999</v>
      </c>
      <c r="I214" s="162">
        <f t="shared" si="89"/>
        <v>7380.900000000001</v>
      </c>
      <c r="J214" s="162">
        <f t="shared" si="89"/>
        <v>5888.2</v>
      </c>
      <c r="K214" s="162">
        <f>K18+K36+K51+K68+K84+K101+K116+K147+K162+K178+K194+K131</f>
        <v>21997.4</v>
      </c>
      <c r="L214" s="157" t="e">
        <f>K214/#REF!*100</f>
        <v>#REF!</v>
      </c>
      <c r="M214" s="157">
        <f t="shared" si="77"/>
        <v>298.0314053841672</v>
      </c>
      <c r="N214" s="159"/>
      <c r="O214" s="159"/>
      <c r="P214" s="161">
        <f aca="true" t="shared" si="90" ref="P214:P222">K214*100/J214</f>
        <v>373.5844570496926</v>
      </c>
      <c r="Q214" s="157">
        <f t="shared" si="85"/>
        <v>150.42191496054377</v>
      </c>
      <c r="R214" s="162">
        <f t="shared" si="86"/>
        <v>90.40894332333238</v>
      </c>
      <c r="S214" s="162">
        <f t="shared" si="75"/>
        <v>135.6189889025894</v>
      </c>
    </row>
    <row r="215" spans="1:19" ht="12.75">
      <c r="A215" s="115" t="s">
        <v>240</v>
      </c>
      <c r="B215" s="115"/>
      <c r="C215" s="111" t="s">
        <v>241</v>
      </c>
      <c r="D215" s="162">
        <f>D19</f>
        <v>7</v>
      </c>
      <c r="E215" s="162">
        <f aca="true" t="shared" si="91" ref="E215:J215">E19</f>
        <v>3</v>
      </c>
      <c r="F215" s="162">
        <f t="shared" si="91"/>
        <v>2</v>
      </c>
      <c r="G215" s="162">
        <f t="shared" si="91"/>
        <v>2</v>
      </c>
      <c r="H215" s="162">
        <f t="shared" si="91"/>
        <v>0</v>
      </c>
      <c r="I215" s="162">
        <f t="shared" si="91"/>
        <v>0</v>
      </c>
      <c r="J215" s="162">
        <f t="shared" si="91"/>
        <v>1</v>
      </c>
      <c r="K215" s="162">
        <f>K19</f>
        <v>2.2</v>
      </c>
      <c r="L215" s="157" t="e">
        <f>K215/#REF!*100</f>
        <v>#REF!</v>
      </c>
      <c r="M215" s="157" t="e">
        <f t="shared" si="77"/>
        <v>#DIV/0!</v>
      </c>
      <c r="N215" s="159"/>
      <c r="O215" s="159"/>
      <c r="P215" s="161">
        <f t="shared" si="90"/>
        <v>220.00000000000003</v>
      </c>
      <c r="Q215" s="157">
        <f t="shared" si="85"/>
        <v>110.00000000000001</v>
      </c>
      <c r="R215" s="162">
        <f t="shared" si="86"/>
        <v>73.33333333333334</v>
      </c>
      <c r="S215" s="162">
        <f t="shared" si="75"/>
        <v>31.428571428571434</v>
      </c>
    </row>
    <row r="216" spans="1:19" ht="36">
      <c r="A216" s="110" t="s">
        <v>242</v>
      </c>
      <c r="B216" s="139" t="s">
        <v>280</v>
      </c>
      <c r="C216" s="111" t="s">
        <v>243</v>
      </c>
      <c r="D216" s="162">
        <f>D20+D179+D195+D69+D132+D52+D148+D85</f>
        <v>1135</v>
      </c>
      <c r="E216" s="162">
        <f aca="true" t="shared" si="92" ref="E216:J216">E20+E37+E69+E148+E195+E52</f>
        <v>5280.4</v>
      </c>
      <c r="F216" s="162">
        <f t="shared" si="92"/>
        <v>3412.4</v>
      </c>
      <c r="G216" s="162">
        <f t="shared" si="92"/>
        <v>638.4</v>
      </c>
      <c r="H216" s="162">
        <f t="shared" si="92"/>
        <v>665.9</v>
      </c>
      <c r="I216" s="162">
        <f t="shared" si="92"/>
        <v>2108.1</v>
      </c>
      <c r="J216" s="162">
        <f t="shared" si="92"/>
        <v>1548</v>
      </c>
      <c r="K216" s="162">
        <f>K20+K37+K69+K148+K195+K52</f>
        <v>4323.000000000001</v>
      </c>
      <c r="L216" s="162" t="e">
        <f>L20+L179+L195+L69+L132+L52+L148+L85</f>
        <v>#REF!</v>
      </c>
      <c r="M216" s="162">
        <f>M20+M179+M195+M69+M132+M52+M148+M85</f>
        <v>200.76861033353896</v>
      </c>
      <c r="N216" s="162">
        <f>N20+N179+N195+N69+N132+N52+N148+N85</f>
        <v>0</v>
      </c>
      <c r="O216" s="162">
        <f>O20+O179+O195+O69+O132+O52+O148+O85</f>
        <v>0</v>
      </c>
      <c r="P216" s="162" t="e">
        <f>P20+P179+P195+P69+P132+P52+P148+P85</f>
        <v>#DIV/0!</v>
      </c>
      <c r="Q216" s="157">
        <f t="shared" si="85"/>
        <v>126.68503106318137</v>
      </c>
      <c r="R216" s="162">
        <f t="shared" si="86"/>
        <v>81.86879781834712</v>
      </c>
      <c r="S216" s="162">
        <f t="shared" si="75"/>
        <v>380.88105726872254</v>
      </c>
    </row>
    <row r="217" spans="1:19" ht="24">
      <c r="A217" s="116" t="s">
        <v>244</v>
      </c>
      <c r="B217" s="143" t="s">
        <v>275</v>
      </c>
      <c r="C217" s="118" t="s">
        <v>245</v>
      </c>
      <c r="D217" s="162">
        <f>D21+D38+D53+D70+D86+D102+D118+D133+D149+D164+D180+D196</f>
        <v>0</v>
      </c>
      <c r="E217" s="162">
        <f aca="true" t="shared" si="93" ref="E217:J217">E21+E38+E53+E70+E86+E102+E118+E133+E149+E164+E180+E196</f>
        <v>0</v>
      </c>
      <c r="F217" s="162">
        <f t="shared" si="93"/>
        <v>0</v>
      </c>
      <c r="G217" s="162">
        <f t="shared" si="93"/>
        <v>0</v>
      </c>
      <c r="H217" s="162">
        <f t="shared" si="93"/>
        <v>0</v>
      </c>
      <c r="I217" s="162">
        <f t="shared" si="93"/>
        <v>0</v>
      </c>
      <c r="J217" s="162">
        <f t="shared" si="93"/>
        <v>0</v>
      </c>
      <c r="K217" s="162">
        <f>K21+K38+K53+K70+K86+K102+K118+K133+K149+K164+K180+K196</f>
        <v>446.1</v>
      </c>
      <c r="L217" s="157"/>
      <c r="M217" s="157"/>
      <c r="N217" s="159"/>
      <c r="O217" s="159"/>
      <c r="P217" s="161" t="e">
        <f t="shared" si="90"/>
        <v>#DIV/0!</v>
      </c>
      <c r="Q217" s="157"/>
      <c r="R217" s="162"/>
      <c r="S217" s="162"/>
    </row>
    <row r="218" spans="1:19" ht="12.75">
      <c r="A218" s="108" t="s">
        <v>246</v>
      </c>
      <c r="B218" s="138"/>
      <c r="C218" s="119" t="s">
        <v>247</v>
      </c>
      <c r="D218" s="163">
        <f>D219+D220+D221</f>
        <v>2668826</v>
      </c>
      <c r="E218" s="163">
        <f aca="true" t="shared" si="94" ref="E218:J218">E219+E220+E221</f>
        <v>3358615.6999999997</v>
      </c>
      <c r="F218" s="163">
        <f t="shared" si="94"/>
        <v>2537947.2</v>
      </c>
      <c r="G218" s="163">
        <f t="shared" si="94"/>
        <v>656683.2999999999</v>
      </c>
      <c r="H218" s="163">
        <f t="shared" si="94"/>
        <v>814898.2999999999</v>
      </c>
      <c r="I218" s="163">
        <f t="shared" si="94"/>
        <v>1041190.2000000001</v>
      </c>
      <c r="J218" s="163">
        <f t="shared" si="94"/>
        <v>805331.2</v>
      </c>
      <c r="K218" s="163">
        <f>K219+K220+K221</f>
        <v>2799089.4000000004</v>
      </c>
      <c r="L218" s="128" t="e">
        <f>K218/#REF!*100</f>
        <v>#REF!</v>
      </c>
      <c r="M218" s="128">
        <f>K218/I218*100</f>
        <v>268.83554993122294</v>
      </c>
      <c r="N218" s="159"/>
      <c r="O218" s="159"/>
      <c r="P218" s="154">
        <f t="shared" si="90"/>
        <v>347.5699687283941</v>
      </c>
      <c r="Q218" s="128">
        <f t="shared" si="85"/>
        <v>110.28950484076266</v>
      </c>
      <c r="R218" s="129">
        <f t="shared" si="86"/>
        <v>83.3405679607822</v>
      </c>
      <c r="S218" s="129">
        <f t="shared" si="75"/>
        <v>104.88092517084293</v>
      </c>
    </row>
    <row r="219" spans="1:19" ht="36">
      <c r="A219" s="120" t="s">
        <v>248</v>
      </c>
      <c r="B219" s="137" t="s">
        <v>281</v>
      </c>
      <c r="C219" s="121" t="s">
        <v>249</v>
      </c>
      <c r="D219" s="162">
        <f>D23-16137.7</f>
        <v>2648826</v>
      </c>
      <c r="E219" s="161">
        <f>E23-16175.2</f>
        <v>3318209.8</v>
      </c>
      <c r="F219" s="161">
        <f aca="true" t="shared" si="95" ref="F219:K219">F23-12587.8</f>
        <v>2507596.3000000003</v>
      </c>
      <c r="G219" s="161">
        <f t="shared" si="95"/>
        <v>656098.2999999999</v>
      </c>
      <c r="H219" s="161">
        <f t="shared" si="95"/>
        <v>791336.2999999999</v>
      </c>
      <c r="I219" s="161">
        <f t="shared" si="95"/>
        <v>1034986.1</v>
      </c>
      <c r="J219" s="161">
        <f t="shared" si="95"/>
        <v>795331.1</v>
      </c>
      <c r="K219" s="161">
        <f t="shared" si="95"/>
        <v>2751700.3000000003</v>
      </c>
      <c r="L219" s="157" t="e">
        <f>K219/#REF!*100</f>
        <v>#REF!</v>
      </c>
      <c r="M219" s="157">
        <f>K219/I219*100</f>
        <v>265.86833388390437</v>
      </c>
      <c r="N219" s="159"/>
      <c r="O219" s="159"/>
      <c r="P219" s="161">
        <f t="shared" si="90"/>
        <v>345.98173012472415</v>
      </c>
      <c r="Q219" s="157">
        <f t="shared" si="85"/>
        <v>109.73458128008882</v>
      </c>
      <c r="R219" s="162">
        <f t="shared" si="86"/>
        <v>82.92725493125842</v>
      </c>
      <c r="S219" s="162">
        <f t="shared" si="75"/>
        <v>103.88376963983289</v>
      </c>
    </row>
    <row r="220" spans="1:19" ht="36">
      <c r="A220" s="120" t="s">
        <v>250</v>
      </c>
      <c r="B220" s="120" t="s">
        <v>282</v>
      </c>
      <c r="C220" s="122" t="s">
        <v>251</v>
      </c>
      <c r="D220" s="162">
        <v>20000</v>
      </c>
      <c r="E220" s="162">
        <f aca="true" t="shared" si="96" ref="E220:J220">E24+E90+E105+E167+E136+E56+E41+E152+E73+E199+E121+E183+0.1</f>
        <v>56138.50000000001</v>
      </c>
      <c r="F220" s="162">
        <f t="shared" si="96"/>
        <v>46083.50000000001</v>
      </c>
      <c r="G220" s="162">
        <f t="shared" si="96"/>
        <v>8800.1</v>
      </c>
      <c r="H220" s="162">
        <f t="shared" si="96"/>
        <v>25374.8</v>
      </c>
      <c r="I220" s="162">
        <f t="shared" si="96"/>
        <v>11908.8</v>
      </c>
      <c r="J220" s="162">
        <f t="shared" si="96"/>
        <v>10000.1</v>
      </c>
      <c r="K220" s="162">
        <f>K24+K90+K105+K167+K136+K56+K41+K152+K73+K199+K121+K183+0.1</f>
        <v>64554.200000000004</v>
      </c>
      <c r="L220" s="157" t="e">
        <f>K220/#REF!*100</f>
        <v>#REF!</v>
      </c>
      <c r="M220" s="157">
        <f>K220/I220*100</f>
        <v>542.0714093779391</v>
      </c>
      <c r="N220" s="159"/>
      <c r="O220" s="159"/>
      <c r="P220" s="161">
        <f t="shared" si="90"/>
        <v>645.5355446445535</v>
      </c>
      <c r="Q220" s="157">
        <f t="shared" si="85"/>
        <v>140.0809400327666</v>
      </c>
      <c r="R220" s="162">
        <f t="shared" si="86"/>
        <v>114.99095985820782</v>
      </c>
      <c r="S220" s="162">
        <f t="shared" si="75"/>
        <v>322.771</v>
      </c>
    </row>
    <row r="221" spans="1:19" ht="36">
      <c r="A221" s="120" t="s">
        <v>254</v>
      </c>
      <c r="B221" s="123"/>
      <c r="C221" s="125" t="s">
        <v>255</v>
      </c>
      <c r="D221" s="162"/>
      <c r="E221" s="162">
        <f aca="true" t="shared" si="97" ref="E221:J221">E26</f>
        <v>-15732.6</v>
      </c>
      <c r="F221" s="162">
        <f t="shared" si="97"/>
        <v>-15732.599999999999</v>
      </c>
      <c r="G221" s="162">
        <f t="shared" si="97"/>
        <v>-8215.1</v>
      </c>
      <c r="H221" s="162">
        <f t="shared" si="97"/>
        <v>-1812.8</v>
      </c>
      <c r="I221" s="162">
        <f t="shared" si="97"/>
        <v>-5704.7</v>
      </c>
      <c r="J221" s="162">
        <f t="shared" si="97"/>
        <v>0</v>
      </c>
      <c r="K221" s="162">
        <f>K26</f>
        <v>-17165.1</v>
      </c>
      <c r="L221" s="157" t="e">
        <f>K221/#REF!*100</f>
        <v>#REF!</v>
      </c>
      <c r="M221" s="157"/>
      <c r="N221" s="159"/>
      <c r="O221" s="159"/>
      <c r="P221" s="161" t="e">
        <f t="shared" si="90"/>
        <v>#DIV/0!</v>
      </c>
      <c r="Q221" s="157">
        <f t="shared" si="85"/>
        <v>109.10529728080546</v>
      </c>
      <c r="R221" s="162">
        <f t="shared" si="86"/>
        <v>109.10529728080544</v>
      </c>
      <c r="S221" s="162"/>
    </row>
    <row r="222" spans="1:19" ht="12.75">
      <c r="A222" s="110"/>
      <c r="B222" s="126"/>
      <c r="C222" s="127" t="s">
        <v>256</v>
      </c>
      <c r="D222" s="129">
        <f>D218+D204</f>
        <v>3450603.1</v>
      </c>
      <c r="E222" s="129">
        <f aca="true" t="shared" si="98" ref="E222:J222">E218+E204</f>
        <v>4196218.3</v>
      </c>
      <c r="F222" s="129">
        <f t="shared" si="98"/>
        <v>3130796.7</v>
      </c>
      <c r="G222" s="129">
        <f t="shared" si="98"/>
        <v>825664.7999999999</v>
      </c>
      <c r="H222" s="129">
        <f t="shared" si="98"/>
        <v>1036721.2999999999</v>
      </c>
      <c r="I222" s="129">
        <f t="shared" si="98"/>
        <v>1243235.2000000002</v>
      </c>
      <c r="J222" s="129">
        <f t="shared" si="98"/>
        <v>1036942.3</v>
      </c>
      <c r="K222" s="129">
        <f>K218+K204</f>
        <v>3514671.7</v>
      </c>
      <c r="L222" s="128" t="e">
        <f>K222/#REF!*100</f>
        <v>#REF!</v>
      </c>
      <c r="M222" s="128">
        <f>K222/I222*100</f>
        <v>282.7036831003498</v>
      </c>
      <c r="N222" s="159"/>
      <c r="O222" s="166" t="e">
        <f>J222+#REF!+#REF!</f>
        <v>#REF!</v>
      </c>
      <c r="P222" s="154">
        <f t="shared" si="90"/>
        <v>338.945734974839</v>
      </c>
      <c r="Q222" s="128">
        <f t="shared" si="85"/>
        <v>112.26125605664525</v>
      </c>
      <c r="R222" s="129">
        <f t="shared" si="86"/>
        <v>83.75807569401239</v>
      </c>
      <c r="S222" s="129">
        <f t="shared" si="75"/>
        <v>101.85673629053426</v>
      </c>
    </row>
  </sheetData>
  <sheetProtection/>
  <mergeCells count="42">
    <mergeCell ref="A185:S185"/>
    <mergeCell ref="A186:S186"/>
    <mergeCell ref="A202:S202"/>
    <mergeCell ref="A203:S203"/>
    <mergeCell ref="A107:S107"/>
    <mergeCell ref="A108:S108"/>
    <mergeCell ref="A123:S123"/>
    <mergeCell ref="A124:S124"/>
    <mergeCell ref="A138:S138"/>
    <mergeCell ref="A139:S139"/>
    <mergeCell ref="A59:S59"/>
    <mergeCell ref="A60:S60"/>
    <mergeCell ref="A75:S75"/>
    <mergeCell ref="A76:S76"/>
    <mergeCell ref="A92:S92"/>
    <mergeCell ref="A93:S93"/>
    <mergeCell ref="R4:R6"/>
    <mergeCell ref="S4:S6"/>
    <mergeCell ref="A7:R7"/>
    <mergeCell ref="A29:S29"/>
    <mergeCell ref="A43:S43"/>
    <mergeCell ref="A44:S44"/>
    <mergeCell ref="A155:S155"/>
    <mergeCell ref="A169:S169"/>
    <mergeCell ref="A170:S170"/>
    <mergeCell ref="A154:S154"/>
    <mergeCell ref="F4:F6"/>
    <mergeCell ref="L4:L6"/>
    <mergeCell ref="N4:N6"/>
    <mergeCell ref="O4:O6"/>
    <mergeCell ref="P4:P6"/>
    <mergeCell ref="A1:S1"/>
    <mergeCell ref="A2:M2"/>
    <mergeCell ref="Q4:Q6"/>
    <mergeCell ref="D4:D6"/>
    <mergeCell ref="E4:E6"/>
    <mergeCell ref="G4:G6"/>
    <mergeCell ref="H4:H6"/>
    <mergeCell ref="I4:I6"/>
    <mergeCell ref="J4:J6"/>
    <mergeCell ref="K4:K6"/>
    <mergeCell ref="M4:M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PageLayoutView="0" workbookViewId="0" topLeftCell="A1">
      <selection activeCell="A1" sqref="A1:K125"/>
    </sheetView>
  </sheetViews>
  <sheetFormatPr defaultColWidth="9.00390625" defaultRowHeight="12.75"/>
  <cols>
    <col min="2" max="2" width="49.875" style="0" customWidth="1"/>
    <col min="3" max="3" width="14.375" style="0" customWidth="1"/>
    <col min="4" max="4" width="14.25390625" style="0" customWidth="1"/>
    <col min="5" max="5" width="8.375" style="0" customWidth="1"/>
    <col min="6" max="6" width="12.625" style="0" customWidth="1"/>
    <col min="7" max="7" width="12.375" style="0" customWidth="1"/>
    <col min="8" max="8" width="8.875" style="0" customWidth="1"/>
    <col min="9" max="9" width="14.75390625" style="0" customWidth="1"/>
    <col min="10" max="10" width="14.00390625" style="0" customWidth="1"/>
  </cols>
  <sheetData>
    <row r="1" spans="1:11" ht="24" customHeight="1">
      <c r="A1" s="234" t="s">
        <v>318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7.25" customHeight="1">
      <c r="A3" s="235" t="s">
        <v>98</v>
      </c>
      <c r="B3" s="237" t="s">
        <v>97</v>
      </c>
      <c r="C3" s="239" t="s">
        <v>113</v>
      </c>
      <c r="D3" s="239"/>
      <c r="E3" s="239"/>
      <c r="F3" s="240" t="s">
        <v>112</v>
      </c>
      <c r="G3" s="240"/>
      <c r="H3" s="240"/>
      <c r="I3" s="245" t="s">
        <v>111</v>
      </c>
      <c r="J3" s="245"/>
      <c r="K3" s="246"/>
    </row>
    <row r="4" spans="1:11" ht="16.5" customHeight="1">
      <c r="A4" s="236"/>
      <c r="B4" s="238"/>
      <c r="C4" s="227" t="s">
        <v>78</v>
      </c>
      <c r="D4" s="227" t="s">
        <v>319</v>
      </c>
      <c r="E4" s="227" t="s">
        <v>77</v>
      </c>
      <c r="F4" s="227" t="s">
        <v>78</v>
      </c>
      <c r="G4" s="226" t="s">
        <v>319</v>
      </c>
      <c r="H4" s="226" t="s">
        <v>77</v>
      </c>
      <c r="I4" s="224" t="s">
        <v>78</v>
      </c>
      <c r="J4" s="220" t="s">
        <v>320</v>
      </c>
      <c r="K4" s="241" t="s">
        <v>77</v>
      </c>
    </row>
    <row r="5" spans="1:11" ht="31.5" customHeight="1">
      <c r="A5" s="236"/>
      <c r="B5" s="238"/>
      <c r="C5" s="233"/>
      <c r="D5" s="227"/>
      <c r="E5" s="228"/>
      <c r="F5" s="233"/>
      <c r="G5" s="226"/>
      <c r="H5" s="233"/>
      <c r="I5" s="225"/>
      <c r="J5" s="220"/>
      <c r="K5" s="242"/>
    </row>
    <row r="6" spans="1:11" ht="12.75" customHeight="1">
      <c r="A6" s="236"/>
      <c r="B6" s="243" t="s">
        <v>0</v>
      </c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 customHeight="1">
      <c r="A7" s="236"/>
      <c r="B7" s="243"/>
      <c r="C7" s="243"/>
      <c r="D7" s="243"/>
      <c r="E7" s="243"/>
      <c r="F7" s="243"/>
      <c r="G7" s="243"/>
      <c r="H7" s="243"/>
      <c r="I7" s="243"/>
      <c r="J7" s="243"/>
      <c r="K7" s="244"/>
    </row>
    <row r="8" spans="1:11" ht="12.75" customHeight="1">
      <c r="A8" s="236"/>
      <c r="B8" s="243"/>
      <c r="C8" s="243"/>
      <c r="D8" s="243"/>
      <c r="E8" s="243"/>
      <c r="F8" s="243"/>
      <c r="G8" s="243"/>
      <c r="H8" s="243"/>
      <c r="I8" s="243"/>
      <c r="J8" s="243"/>
      <c r="K8" s="244"/>
    </row>
    <row r="9" spans="1:11" ht="15">
      <c r="A9" s="81" t="s">
        <v>1</v>
      </c>
      <c r="B9" s="82" t="s">
        <v>2</v>
      </c>
      <c r="C9" s="83">
        <f>SUM(C10:C17)</f>
        <v>278603.30000000005</v>
      </c>
      <c r="D9" s="83">
        <f>SUM(D10:D17)</f>
        <v>214257.3</v>
      </c>
      <c r="E9" s="83">
        <f>D9/C9*100</f>
        <v>76.90407830775871</v>
      </c>
      <c r="F9" s="83">
        <f>F10+F11+F12+F13+F14+F16+F17+F15</f>
        <v>198007.1</v>
      </c>
      <c r="G9" s="83">
        <f>SUM(G10:G17)</f>
        <v>155980.3</v>
      </c>
      <c r="H9" s="84">
        <f>G9/F9*100</f>
        <v>78.77510452908001</v>
      </c>
      <c r="I9" s="83">
        <f>SUM(I10:I17)</f>
        <v>476066.4</v>
      </c>
      <c r="J9" s="83">
        <f>SUM(J10:J17)</f>
        <v>369776</v>
      </c>
      <c r="K9" s="85">
        <f>J9/I9*100</f>
        <v>77.67319852860861</v>
      </c>
    </row>
    <row r="10" spans="1:11" ht="15">
      <c r="A10" s="86" t="s">
        <v>3</v>
      </c>
      <c r="B10" s="87" t="s">
        <v>4</v>
      </c>
      <c r="C10" s="79">
        <v>12322.9</v>
      </c>
      <c r="D10" s="79">
        <v>10718.7</v>
      </c>
      <c r="E10" s="79">
        <f>D10/C10*100</f>
        <v>86.98196041516202</v>
      </c>
      <c r="F10" s="88">
        <v>39486.2</v>
      </c>
      <c r="G10" s="88">
        <v>33529.5</v>
      </c>
      <c r="H10" s="88">
        <f>G10/F10*100</f>
        <v>84.91447645000027</v>
      </c>
      <c r="I10" s="89">
        <f aca="true" t="shared" si="0" ref="I10:J82">C10+F10</f>
        <v>51809.1</v>
      </c>
      <c r="J10" s="80">
        <f t="shared" si="0"/>
        <v>44248.2</v>
      </c>
      <c r="K10" s="90">
        <f aca="true" t="shared" si="1" ref="K10:K84">J10/I10*100</f>
        <v>85.40623172377053</v>
      </c>
    </row>
    <row r="11" spans="1:11" ht="30">
      <c r="A11" s="86" t="s">
        <v>5</v>
      </c>
      <c r="B11" s="87" t="s">
        <v>89</v>
      </c>
      <c r="C11" s="79">
        <v>25045</v>
      </c>
      <c r="D11" s="79">
        <v>20423.4</v>
      </c>
      <c r="E11" s="79">
        <f aca="true" t="shared" si="2" ref="E11:E19">D11/C11*100</f>
        <v>81.54681573168297</v>
      </c>
      <c r="F11" s="88">
        <v>0</v>
      </c>
      <c r="G11" s="88">
        <v>0</v>
      </c>
      <c r="H11" s="88">
        <v>0</v>
      </c>
      <c r="I11" s="89">
        <f t="shared" si="0"/>
        <v>25045</v>
      </c>
      <c r="J11" s="80">
        <f t="shared" si="0"/>
        <v>20423.4</v>
      </c>
      <c r="K11" s="90">
        <f t="shared" si="1"/>
        <v>81.54681573168297</v>
      </c>
    </row>
    <row r="12" spans="1:11" ht="30">
      <c r="A12" s="86" t="s">
        <v>6</v>
      </c>
      <c r="B12" s="87" t="s">
        <v>7</v>
      </c>
      <c r="C12" s="79">
        <v>123878.8</v>
      </c>
      <c r="D12" s="79">
        <v>103697</v>
      </c>
      <c r="E12" s="79">
        <f t="shared" si="2"/>
        <v>83.70843114398913</v>
      </c>
      <c r="F12" s="88">
        <v>118275.1</v>
      </c>
      <c r="G12" s="88">
        <v>95919.4</v>
      </c>
      <c r="H12" s="88">
        <f aca="true" t="shared" si="3" ref="H12:H19">G12/F12*100</f>
        <v>81.09855751548719</v>
      </c>
      <c r="I12" s="89">
        <f t="shared" si="0"/>
        <v>242153.90000000002</v>
      </c>
      <c r="J12" s="80">
        <f t="shared" si="0"/>
        <v>199616.4</v>
      </c>
      <c r="K12" s="90">
        <f t="shared" si="1"/>
        <v>82.43369196201257</v>
      </c>
    </row>
    <row r="13" spans="1:11" ht="15">
      <c r="A13" s="86" t="s">
        <v>8</v>
      </c>
      <c r="B13" s="87" t="s">
        <v>9</v>
      </c>
      <c r="C13" s="79">
        <v>5.1</v>
      </c>
      <c r="D13" s="79">
        <v>5.1</v>
      </c>
      <c r="E13" s="79">
        <f t="shared" si="2"/>
        <v>100</v>
      </c>
      <c r="F13" s="88">
        <v>0</v>
      </c>
      <c r="G13" s="88">
        <v>0</v>
      </c>
      <c r="H13" s="88">
        <v>0</v>
      </c>
      <c r="I13" s="89">
        <f t="shared" si="0"/>
        <v>5.1</v>
      </c>
      <c r="J13" s="80">
        <f t="shared" si="0"/>
        <v>5.1</v>
      </c>
      <c r="K13" s="90"/>
    </row>
    <row r="14" spans="1:11" ht="15">
      <c r="A14" s="86" t="s">
        <v>10</v>
      </c>
      <c r="B14" s="87" t="s">
        <v>11</v>
      </c>
      <c r="C14" s="79">
        <v>30761.4</v>
      </c>
      <c r="D14" s="79">
        <v>25106.8</v>
      </c>
      <c r="E14" s="79">
        <f t="shared" si="2"/>
        <v>81.61787174835995</v>
      </c>
      <c r="F14" s="88">
        <v>0</v>
      </c>
      <c r="G14" s="88">
        <v>0</v>
      </c>
      <c r="H14" s="88">
        <v>0</v>
      </c>
      <c r="I14" s="89">
        <f>C14+F14</f>
        <v>30761.4</v>
      </c>
      <c r="J14" s="80">
        <f>D14+G14</f>
        <v>25106.8</v>
      </c>
      <c r="K14" s="90">
        <f t="shared" si="1"/>
        <v>81.61787174835995</v>
      </c>
    </row>
    <row r="15" spans="1:11" ht="15">
      <c r="A15" s="91" t="s">
        <v>12</v>
      </c>
      <c r="B15" s="87" t="s">
        <v>169</v>
      </c>
      <c r="C15" s="79">
        <v>0</v>
      </c>
      <c r="D15" s="79">
        <v>0</v>
      </c>
      <c r="E15" s="79">
        <v>0</v>
      </c>
      <c r="F15" s="88">
        <v>913</v>
      </c>
      <c r="G15" s="88">
        <v>913</v>
      </c>
      <c r="H15" s="88">
        <f t="shared" si="3"/>
        <v>100</v>
      </c>
      <c r="I15" s="89">
        <f>C15+F15</f>
        <v>913</v>
      </c>
      <c r="J15" s="80">
        <f t="shared" si="0"/>
        <v>913</v>
      </c>
      <c r="K15" s="90">
        <f t="shared" si="1"/>
        <v>100</v>
      </c>
    </row>
    <row r="16" spans="1:11" ht="15">
      <c r="A16" s="91" t="s">
        <v>13</v>
      </c>
      <c r="B16" s="87" t="s">
        <v>14</v>
      </c>
      <c r="C16" s="79">
        <v>4036</v>
      </c>
      <c r="D16" s="79">
        <v>0</v>
      </c>
      <c r="E16" s="79">
        <f t="shared" si="2"/>
        <v>0</v>
      </c>
      <c r="F16" s="88">
        <v>843.7</v>
      </c>
      <c r="G16" s="88">
        <v>0</v>
      </c>
      <c r="H16" s="88">
        <f t="shared" si="3"/>
        <v>0</v>
      </c>
      <c r="I16" s="89">
        <f t="shared" si="0"/>
        <v>4879.7</v>
      </c>
      <c r="J16" s="80">
        <f t="shared" si="0"/>
        <v>0</v>
      </c>
      <c r="K16" s="90">
        <f t="shared" si="1"/>
        <v>0</v>
      </c>
    </row>
    <row r="17" spans="1:11" ht="15">
      <c r="A17" s="86" t="s">
        <v>80</v>
      </c>
      <c r="B17" s="87" t="s">
        <v>15</v>
      </c>
      <c r="C17" s="79">
        <v>82554.1</v>
      </c>
      <c r="D17" s="79">
        <v>54306.3</v>
      </c>
      <c r="E17" s="79">
        <f t="shared" si="2"/>
        <v>65.78268069060168</v>
      </c>
      <c r="F17" s="88">
        <v>38489.1</v>
      </c>
      <c r="G17" s="88">
        <v>25618.4</v>
      </c>
      <c r="H17" s="88">
        <f t="shared" si="3"/>
        <v>66.56014300152512</v>
      </c>
      <c r="I17" s="89">
        <f>C17+F17-305.8-238.2</f>
        <v>120499.20000000001</v>
      </c>
      <c r="J17" s="80">
        <f>D17+G17-305.8-155.8</f>
        <v>79463.1</v>
      </c>
      <c r="K17" s="90">
        <f t="shared" si="1"/>
        <v>65.94491913639261</v>
      </c>
    </row>
    <row r="18" spans="1:11" ht="15">
      <c r="A18" s="81" t="s">
        <v>16</v>
      </c>
      <c r="B18" s="82" t="s">
        <v>17</v>
      </c>
      <c r="C18" s="83">
        <f aca="true" t="shared" si="4" ref="C18:J18">C19</f>
        <v>4496</v>
      </c>
      <c r="D18" s="83">
        <f t="shared" si="4"/>
        <v>4496</v>
      </c>
      <c r="E18" s="83">
        <f t="shared" si="4"/>
        <v>100</v>
      </c>
      <c r="F18" s="83">
        <f t="shared" si="4"/>
        <v>4496</v>
      </c>
      <c r="G18" s="83">
        <f t="shared" si="4"/>
        <v>3218.9</v>
      </c>
      <c r="H18" s="92">
        <f t="shared" si="4"/>
        <v>71.59475088967972</v>
      </c>
      <c r="I18" s="83">
        <f t="shared" si="4"/>
        <v>4496</v>
      </c>
      <c r="J18" s="83">
        <f t="shared" si="4"/>
        <v>3218.8999999999996</v>
      </c>
      <c r="K18" s="93">
        <f t="shared" si="1"/>
        <v>71.5947508896797</v>
      </c>
    </row>
    <row r="19" spans="1:11" ht="15">
      <c r="A19" s="86" t="s">
        <v>18</v>
      </c>
      <c r="B19" s="87" t="s">
        <v>19</v>
      </c>
      <c r="C19" s="79">
        <v>4496</v>
      </c>
      <c r="D19" s="79">
        <v>4496</v>
      </c>
      <c r="E19" s="79">
        <f t="shared" si="2"/>
        <v>100</v>
      </c>
      <c r="F19" s="88">
        <v>4496</v>
      </c>
      <c r="G19" s="88">
        <v>3218.9</v>
      </c>
      <c r="H19" s="88">
        <f t="shared" si="3"/>
        <v>71.59475088967972</v>
      </c>
      <c r="I19" s="89">
        <f>C19+F19-4496</f>
        <v>4496</v>
      </c>
      <c r="J19" s="80">
        <f>D19+G19-4496</f>
        <v>3218.8999999999996</v>
      </c>
      <c r="K19" s="90">
        <f t="shared" si="1"/>
        <v>71.5947508896797</v>
      </c>
    </row>
    <row r="20" spans="1:11" ht="12.75" customHeight="1">
      <c r="A20" s="221" t="s">
        <v>20</v>
      </c>
      <c r="B20" s="222" t="s">
        <v>196</v>
      </c>
      <c r="C20" s="223">
        <f>C23+C24+C22</f>
        <v>14720.699999999999</v>
      </c>
      <c r="D20" s="223">
        <f>D23+D24+D22</f>
        <v>4519.4</v>
      </c>
      <c r="E20" s="223">
        <f>D20/C20*100</f>
        <v>30.70098568682196</v>
      </c>
      <c r="F20" s="223">
        <f>F23+F24+F22</f>
        <v>11272.6</v>
      </c>
      <c r="G20" s="223">
        <f>G23+G24+G22</f>
        <v>5778.3</v>
      </c>
      <c r="H20" s="223">
        <f>G20/F20*100</f>
        <v>51.25969164167983</v>
      </c>
      <c r="I20" s="223">
        <f>I23+I24+I22</f>
        <v>24675.800000000003</v>
      </c>
      <c r="J20" s="223">
        <f>SUM(J22:J24)</f>
        <v>9171.8</v>
      </c>
      <c r="K20" s="223">
        <f>J20/I20*100</f>
        <v>37.16921031942226</v>
      </c>
    </row>
    <row r="21" spans="1:11" ht="18" customHeight="1">
      <c r="A21" s="221"/>
      <c r="B21" s="222"/>
      <c r="C21" s="223"/>
      <c r="D21" s="223"/>
      <c r="E21" s="223"/>
      <c r="F21" s="223"/>
      <c r="G21" s="223"/>
      <c r="H21" s="223"/>
      <c r="I21" s="223"/>
      <c r="J21" s="223"/>
      <c r="K21" s="223"/>
    </row>
    <row r="22" spans="1:11" ht="15">
      <c r="A22" s="91" t="s">
        <v>116</v>
      </c>
      <c r="B22" s="87" t="s">
        <v>174</v>
      </c>
      <c r="C22" s="79">
        <v>4398.9</v>
      </c>
      <c r="D22" s="79">
        <v>3612.1</v>
      </c>
      <c r="E22" s="79">
        <f aca="true" t="shared" si="5" ref="E22:E97">D22/C22*100</f>
        <v>82.11371024574325</v>
      </c>
      <c r="F22" s="88">
        <v>759</v>
      </c>
      <c r="G22" s="88">
        <v>490.3</v>
      </c>
      <c r="H22" s="88">
        <f>G22/F22*100</f>
        <v>64.59815546772069</v>
      </c>
      <c r="I22" s="89">
        <f>C22+F22-759</f>
        <v>4398.9</v>
      </c>
      <c r="J22" s="80">
        <f>D22+G22-759</f>
        <v>3343.3999999999996</v>
      </c>
      <c r="K22" s="90">
        <f>J22/I22*100</f>
        <v>76.00536497760804</v>
      </c>
    </row>
    <row r="23" spans="1:11" ht="15">
      <c r="A23" s="86" t="s">
        <v>21</v>
      </c>
      <c r="B23" s="87" t="s">
        <v>117</v>
      </c>
      <c r="C23" s="79">
        <v>5812.4</v>
      </c>
      <c r="D23" s="79">
        <v>601.5</v>
      </c>
      <c r="E23" s="79">
        <f t="shared" si="5"/>
        <v>10.3485651366045</v>
      </c>
      <c r="F23" s="88">
        <v>10413.6</v>
      </c>
      <c r="G23" s="88">
        <v>5288</v>
      </c>
      <c r="H23" s="88">
        <f>G23/F23*100</f>
        <v>50.77974955826995</v>
      </c>
      <c r="I23" s="89">
        <f>C23+F23-458.5</f>
        <v>15767.5</v>
      </c>
      <c r="J23" s="80">
        <f>D23+G23-266.9</f>
        <v>5622.6</v>
      </c>
      <c r="K23" s="90">
        <f>J23/I23*100</f>
        <v>35.659426034564774</v>
      </c>
    </row>
    <row r="24" spans="1:11" ht="30">
      <c r="A24" s="91" t="s">
        <v>107</v>
      </c>
      <c r="B24" s="87" t="s">
        <v>108</v>
      </c>
      <c r="C24" s="79">
        <v>4509.4</v>
      </c>
      <c r="D24" s="79">
        <v>305.8</v>
      </c>
      <c r="E24" s="79">
        <f t="shared" si="5"/>
        <v>6.781389985363908</v>
      </c>
      <c r="F24" s="88">
        <v>100</v>
      </c>
      <c r="G24" s="88">
        <v>0</v>
      </c>
      <c r="H24" s="88">
        <v>0</v>
      </c>
      <c r="I24" s="89">
        <f>C24+F24-100</f>
        <v>4509.4</v>
      </c>
      <c r="J24" s="80">
        <f>D24+G24-100</f>
        <v>205.8</v>
      </c>
      <c r="K24" s="90">
        <f>J24/I24*100</f>
        <v>4.563800062092518</v>
      </c>
    </row>
    <row r="25" spans="1:11" ht="15">
      <c r="A25" s="81" t="s">
        <v>22</v>
      </c>
      <c r="B25" s="82" t="s">
        <v>23</v>
      </c>
      <c r="C25" s="83">
        <f>SUM(C26:C46)</f>
        <v>219298.5</v>
      </c>
      <c r="D25" s="83">
        <f>SUM(D26:D46)</f>
        <v>183005.99999999997</v>
      </c>
      <c r="E25" s="83">
        <f>D25/C25*100</f>
        <v>83.45063919725851</v>
      </c>
      <c r="F25" s="83">
        <f>SUM(F26:F46)</f>
        <v>98301.4</v>
      </c>
      <c r="G25" s="83">
        <f>SUM(G26:G46)</f>
        <v>71698.9</v>
      </c>
      <c r="H25" s="84">
        <f>G25/F25*100</f>
        <v>72.93782184180489</v>
      </c>
      <c r="I25" s="83">
        <f>SUM(I26:I46)</f>
        <v>253742</v>
      </c>
      <c r="J25" s="83">
        <f>SUM(J26:J46)</f>
        <v>205665.3</v>
      </c>
      <c r="K25" s="85">
        <f t="shared" si="1"/>
        <v>81.05291989501147</v>
      </c>
    </row>
    <row r="26" spans="1:11" ht="45">
      <c r="A26" s="91" t="s">
        <v>24</v>
      </c>
      <c r="B26" s="94" t="s">
        <v>175</v>
      </c>
      <c r="C26" s="79">
        <v>13648.2</v>
      </c>
      <c r="D26" s="79">
        <v>11528.3</v>
      </c>
      <c r="E26" s="79">
        <f t="shared" si="5"/>
        <v>84.4675488342785</v>
      </c>
      <c r="F26" s="79">
        <v>12001.7</v>
      </c>
      <c r="G26" s="88">
        <v>11158.4</v>
      </c>
      <c r="H26" s="88">
        <f>G26/F26*100</f>
        <v>92.97349542148194</v>
      </c>
      <c r="I26" s="89">
        <f>C26+F26-9701.8</f>
        <v>15948.100000000002</v>
      </c>
      <c r="J26" s="89">
        <f>D26+G26-9701.8</f>
        <v>12984.899999999998</v>
      </c>
      <c r="K26" s="90">
        <f t="shared" si="1"/>
        <v>81.41973024999841</v>
      </c>
    </row>
    <row r="27" spans="1:11" ht="15">
      <c r="A27" s="86" t="s">
        <v>25</v>
      </c>
      <c r="B27" s="87" t="s">
        <v>26</v>
      </c>
      <c r="C27" s="79">
        <v>54119.2</v>
      </c>
      <c r="D27" s="79">
        <v>48983.4</v>
      </c>
      <c r="E27" s="79">
        <f t="shared" si="5"/>
        <v>90.510207098405</v>
      </c>
      <c r="F27" s="88">
        <v>0</v>
      </c>
      <c r="G27" s="88">
        <v>0</v>
      </c>
      <c r="H27" s="88">
        <v>0</v>
      </c>
      <c r="I27" s="89">
        <f t="shared" si="0"/>
        <v>54119.2</v>
      </c>
      <c r="J27" s="80">
        <f t="shared" si="0"/>
        <v>48983.4</v>
      </c>
      <c r="K27" s="90">
        <f t="shared" si="1"/>
        <v>90.510207098405</v>
      </c>
    </row>
    <row r="28" spans="1:11" ht="15">
      <c r="A28" s="86" t="s">
        <v>27</v>
      </c>
      <c r="B28" s="87" t="s">
        <v>176</v>
      </c>
      <c r="C28" s="79">
        <v>12350</v>
      </c>
      <c r="D28" s="79">
        <v>10362.4</v>
      </c>
      <c r="E28" s="79">
        <f t="shared" si="5"/>
        <v>83.90607287449392</v>
      </c>
      <c r="F28" s="88">
        <v>0</v>
      </c>
      <c r="G28" s="88">
        <v>0</v>
      </c>
      <c r="H28" s="88">
        <v>0</v>
      </c>
      <c r="I28" s="89">
        <f t="shared" si="0"/>
        <v>12350</v>
      </c>
      <c r="J28" s="80">
        <f t="shared" si="0"/>
        <v>10362.4</v>
      </c>
      <c r="K28" s="90">
        <f t="shared" si="1"/>
        <v>83.90607287449392</v>
      </c>
    </row>
    <row r="29" spans="1:11" ht="15">
      <c r="A29" s="86" t="s">
        <v>27</v>
      </c>
      <c r="B29" s="87" t="s">
        <v>177</v>
      </c>
      <c r="C29" s="79">
        <v>17896</v>
      </c>
      <c r="D29" s="79">
        <v>17759.8</v>
      </c>
      <c r="E29" s="79">
        <f t="shared" si="5"/>
        <v>99.23893607510058</v>
      </c>
      <c r="F29" s="88">
        <v>12871.8</v>
      </c>
      <c r="G29" s="88">
        <v>8450.4</v>
      </c>
      <c r="H29" s="88">
        <f>G29/F29*100</f>
        <v>65.65049177271244</v>
      </c>
      <c r="I29" s="89">
        <f t="shared" si="0"/>
        <v>30767.8</v>
      </c>
      <c r="J29" s="80">
        <f t="shared" si="0"/>
        <v>26210.199999999997</v>
      </c>
      <c r="K29" s="90">
        <f t="shared" si="1"/>
        <v>85.18711120067083</v>
      </c>
    </row>
    <row r="30" spans="1:11" ht="15">
      <c r="A30" s="86" t="s">
        <v>27</v>
      </c>
      <c r="B30" s="87" t="s">
        <v>178</v>
      </c>
      <c r="C30" s="79">
        <v>8931</v>
      </c>
      <c r="D30" s="79">
        <v>8931</v>
      </c>
      <c r="E30" s="79">
        <f t="shared" si="5"/>
        <v>100</v>
      </c>
      <c r="F30" s="88">
        <v>0</v>
      </c>
      <c r="G30" s="88">
        <v>0</v>
      </c>
      <c r="H30" s="88">
        <v>0</v>
      </c>
      <c r="I30" s="89">
        <f>C30+F30</f>
        <v>8931</v>
      </c>
      <c r="J30" s="80">
        <f t="shared" si="0"/>
        <v>8931</v>
      </c>
      <c r="K30" s="90">
        <f t="shared" si="1"/>
        <v>100</v>
      </c>
    </row>
    <row r="31" spans="1:11" ht="60">
      <c r="A31" s="86" t="s">
        <v>27</v>
      </c>
      <c r="B31" s="87" t="s">
        <v>304</v>
      </c>
      <c r="C31" s="79">
        <v>18777.9</v>
      </c>
      <c r="D31" s="79">
        <v>11302.4</v>
      </c>
      <c r="E31" s="79">
        <f t="shared" si="5"/>
        <v>60.18990408938166</v>
      </c>
      <c r="F31" s="88">
        <v>14492.2</v>
      </c>
      <c r="G31" s="88">
        <v>7070.7</v>
      </c>
      <c r="H31" s="88">
        <f>G31/F31*100</f>
        <v>48.789693766301866</v>
      </c>
      <c r="I31" s="89">
        <f>C31+F31-14492.2</f>
        <v>18777.900000000005</v>
      </c>
      <c r="J31" s="80">
        <f>D31+G31-7070.7</f>
        <v>11302.399999999998</v>
      </c>
      <c r="K31" s="90">
        <f t="shared" si="1"/>
        <v>60.18990408938164</v>
      </c>
    </row>
    <row r="32" spans="1:11" ht="60">
      <c r="A32" s="86" t="s">
        <v>74</v>
      </c>
      <c r="B32" s="95" t="s">
        <v>308</v>
      </c>
      <c r="C32" s="79">
        <v>2471.8</v>
      </c>
      <c r="D32" s="79">
        <v>1257.9</v>
      </c>
      <c r="E32" s="79">
        <f t="shared" si="5"/>
        <v>50.890039647220654</v>
      </c>
      <c r="F32" s="88">
        <v>0</v>
      </c>
      <c r="G32" s="88">
        <v>0</v>
      </c>
      <c r="H32" s="88">
        <v>0</v>
      </c>
      <c r="I32" s="89">
        <f t="shared" si="0"/>
        <v>2471.8</v>
      </c>
      <c r="J32" s="80">
        <f t="shared" si="0"/>
        <v>1257.9</v>
      </c>
      <c r="K32" s="90">
        <f t="shared" si="1"/>
        <v>50.890039647220654</v>
      </c>
    </row>
    <row r="33" spans="1:11" ht="60">
      <c r="A33" s="91" t="s">
        <v>74</v>
      </c>
      <c r="B33" s="95" t="s">
        <v>197</v>
      </c>
      <c r="C33" s="79">
        <v>11660.9</v>
      </c>
      <c r="D33" s="79">
        <v>10859.3</v>
      </c>
      <c r="E33" s="79">
        <f t="shared" si="5"/>
        <v>93.1257450111055</v>
      </c>
      <c r="F33" s="88">
        <v>10981.8</v>
      </c>
      <c r="G33" s="88">
        <v>9295</v>
      </c>
      <c r="H33" s="88">
        <f aca="true" t="shared" si="6" ref="H33:H38">G33/F33*100</f>
        <v>84.64004079476953</v>
      </c>
      <c r="I33" s="89">
        <f>C33+F33-10981.8</f>
        <v>11660.899999999998</v>
      </c>
      <c r="J33" s="89">
        <f>D33+G33-10180.3</f>
        <v>9974</v>
      </c>
      <c r="K33" s="90">
        <f>J33/I33*100</f>
        <v>85.53370666072088</v>
      </c>
    </row>
    <row r="34" spans="1:11" ht="60">
      <c r="A34" s="91" t="s">
        <v>74</v>
      </c>
      <c r="B34" s="95" t="s">
        <v>198</v>
      </c>
      <c r="C34" s="79">
        <v>98.4</v>
      </c>
      <c r="D34" s="79">
        <v>98.4</v>
      </c>
      <c r="E34" s="79">
        <f t="shared" si="5"/>
        <v>100</v>
      </c>
      <c r="F34" s="88">
        <v>3515</v>
      </c>
      <c r="G34" s="88">
        <v>3473.8</v>
      </c>
      <c r="H34" s="88">
        <f t="shared" si="6"/>
        <v>98.82788051209104</v>
      </c>
      <c r="I34" s="89">
        <f>C34+F34</f>
        <v>3613.4</v>
      </c>
      <c r="J34" s="80">
        <f>D34+G34</f>
        <v>3572.2000000000003</v>
      </c>
      <c r="K34" s="90">
        <f>J34/I34*100</f>
        <v>98.85979963469309</v>
      </c>
    </row>
    <row r="35" spans="1:11" ht="105">
      <c r="A35" s="91" t="s">
        <v>74</v>
      </c>
      <c r="B35" s="87" t="s">
        <v>199</v>
      </c>
      <c r="C35" s="79">
        <v>2500</v>
      </c>
      <c r="D35" s="79">
        <v>1031.7</v>
      </c>
      <c r="E35" s="79">
        <f t="shared" si="5"/>
        <v>41.268</v>
      </c>
      <c r="F35" s="88">
        <v>2500</v>
      </c>
      <c r="G35" s="88">
        <v>1031.7</v>
      </c>
      <c r="H35" s="88">
        <f t="shared" si="6"/>
        <v>41.268</v>
      </c>
      <c r="I35" s="89">
        <f>C35+F35-2500</f>
        <v>2500</v>
      </c>
      <c r="J35" s="80">
        <f>D35+G35-1031.7</f>
        <v>1031.7</v>
      </c>
      <c r="K35" s="90">
        <f>J35/I35*100</f>
        <v>41.268</v>
      </c>
    </row>
    <row r="36" spans="1:11" ht="30">
      <c r="A36" s="91" t="s">
        <v>74</v>
      </c>
      <c r="B36" s="87" t="s">
        <v>179</v>
      </c>
      <c r="C36" s="79">
        <v>25182.1</v>
      </c>
      <c r="D36" s="79">
        <v>21055.1</v>
      </c>
      <c r="E36" s="79">
        <f t="shared" si="5"/>
        <v>83.6113747463476</v>
      </c>
      <c r="F36" s="88">
        <v>33979.2</v>
      </c>
      <c r="G36" s="88">
        <v>26319.5</v>
      </c>
      <c r="H36" s="88">
        <f t="shared" si="6"/>
        <v>77.45767999246598</v>
      </c>
      <c r="I36" s="89">
        <f>C36+F36-25182.1</f>
        <v>33979.2</v>
      </c>
      <c r="J36" s="80">
        <f>D36+G36-21055.1</f>
        <v>26319.5</v>
      </c>
      <c r="K36" s="90">
        <f>J36/I36*100</f>
        <v>77.45767999246598</v>
      </c>
    </row>
    <row r="37" spans="1:11" ht="15">
      <c r="A37" s="86" t="s">
        <v>67</v>
      </c>
      <c r="B37" s="87" t="s">
        <v>68</v>
      </c>
      <c r="C37" s="79">
        <v>6069.9</v>
      </c>
      <c r="D37" s="79">
        <v>4746.2</v>
      </c>
      <c r="E37" s="79">
        <f t="shared" si="5"/>
        <v>78.19239196691873</v>
      </c>
      <c r="F37" s="88">
        <v>4572.3</v>
      </c>
      <c r="G37" s="88">
        <v>3703</v>
      </c>
      <c r="H37" s="88">
        <f t="shared" si="6"/>
        <v>80.98768672221858</v>
      </c>
      <c r="I37" s="89">
        <f t="shared" si="0"/>
        <v>10642.2</v>
      </c>
      <c r="J37" s="89">
        <f t="shared" si="0"/>
        <v>8449.2</v>
      </c>
      <c r="K37" s="90">
        <f t="shared" si="1"/>
        <v>79.3933585160963</v>
      </c>
    </row>
    <row r="38" spans="1:11" ht="30">
      <c r="A38" s="86" t="s">
        <v>28</v>
      </c>
      <c r="B38" s="87" t="s">
        <v>200</v>
      </c>
      <c r="C38" s="79">
        <v>0</v>
      </c>
      <c r="D38" s="79">
        <v>0</v>
      </c>
      <c r="E38" s="79">
        <v>0</v>
      </c>
      <c r="F38" s="88">
        <v>2387.4</v>
      </c>
      <c r="G38" s="88">
        <v>1196.4</v>
      </c>
      <c r="H38" s="88">
        <f t="shared" si="6"/>
        <v>50.113093742146276</v>
      </c>
      <c r="I38" s="89">
        <f t="shared" si="0"/>
        <v>2387.4</v>
      </c>
      <c r="J38" s="80">
        <f t="shared" si="0"/>
        <v>1196.4</v>
      </c>
      <c r="K38" s="90">
        <f t="shared" si="1"/>
        <v>50.113093742146276</v>
      </c>
    </row>
    <row r="39" spans="1:11" ht="60">
      <c r="A39" s="86" t="s">
        <v>28</v>
      </c>
      <c r="B39" s="95" t="s">
        <v>201</v>
      </c>
      <c r="C39" s="179">
        <v>3120</v>
      </c>
      <c r="D39" s="79">
        <v>2766.9</v>
      </c>
      <c r="E39" s="79">
        <f t="shared" si="5"/>
        <v>88.6826923076923</v>
      </c>
      <c r="F39" s="88">
        <v>0</v>
      </c>
      <c r="G39" s="88">
        <v>0</v>
      </c>
      <c r="H39" s="88">
        <v>0</v>
      </c>
      <c r="I39" s="89">
        <f t="shared" si="0"/>
        <v>3120</v>
      </c>
      <c r="J39" s="80">
        <f t="shared" si="0"/>
        <v>2766.9</v>
      </c>
      <c r="K39" s="90">
        <f t="shared" si="1"/>
        <v>88.6826923076923</v>
      </c>
    </row>
    <row r="40" spans="1:11" ht="120">
      <c r="A40" s="91" t="s">
        <v>28</v>
      </c>
      <c r="B40" s="95" t="s">
        <v>301</v>
      </c>
      <c r="C40" s="179">
        <v>6546</v>
      </c>
      <c r="D40" s="79">
        <v>4880</v>
      </c>
      <c r="E40" s="79">
        <f t="shared" si="5"/>
        <v>74.54934311029636</v>
      </c>
      <c r="F40" s="88"/>
      <c r="G40" s="88"/>
      <c r="H40" s="88"/>
      <c r="I40" s="89">
        <f t="shared" si="0"/>
        <v>6546</v>
      </c>
      <c r="J40" s="80">
        <f t="shared" si="0"/>
        <v>4880</v>
      </c>
      <c r="K40" s="90">
        <f t="shared" si="1"/>
        <v>74.54934311029636</v>
      </c>
    </row>
    <row r="41" spans="1:11" ht="75">
      <c r="A41" s="91" t="s">
        <v>28</v>
      </c>
      <c r="B41" s="95" t="s">
        <v>302</v>
      </c>
      <c r="C41" s="179">
        <v>3738</v>
      </c>
      <c r="D41" s="79">
        <v>1274.4</v>
      </c>
      <c r="E41" s="79">
        <f t="shared" si="5"/>
        <v>34.09309791332264</v>
      </c>
      <c r="F41" s="88"/>
      <c r="G41" s="88"/>
      <c r="H41" s="88"/>
      <c r="I41" s="89">
        <f t="shared" si="0"/>
        <v>3738</v>
      </c>
      <c r="J41" s="80">
        <f t="shared" si="0"/>
        <v>1274.4</v>
      </c>
      <c r="K41" s="90">
        <f t="shared" si="1"/>
        <v>34.09309791332264</v>
      </c>
    </row>
    <row r="42" spans="1:11" ht="75">
      <c r="A42" s="86" t="s">
        <v>28</v>
      </c>
      <c r="B42" s="95" t="s">
        <v>321</v>
      </c>
      <c r="C42" s="179">
        <f>937+2800</f>
        <v>3737</v>
      </c>
      <c r="D42" s="79">
        <v>2711.1</v>
      </c>
      <c r="E42" s="79">
        <f t="shared" si="5"/>
        <v>72.54749799304254</v>
      </c>
      <c r="F42" s="88"/>
      <c r="G42" s="88"/>
      <c r="H42" s="88"/>
      <c r="I42" s="89">
        <f t="shared" si="0"/>
        <v>3737</v>
      </c>
      <c r="J42" s="80">
        <f t="shared" si="0"/>
        <v>2711.1</v>
      </c>
      <c r="K42" s="90">
        <f t="shared" si="1"/>
        <v>72.54749799304254</v>
      </c>
    </row>
    <row r="43" spans="1:11" ht="60">
      <c r="A43" s="86" t="s">
        <v>28</v>
      </c>
      <c r="B43" s="95" t="s">
        <v>180</v>
      </c>
      <c r="C43" s="179">
        <v>4500</v>
      </c>
      <c r="D43" s="88">
        <v>3953.8</v>
      </c>
      <c r="E43" s="79">
        <f t="shared" si="5"/>
        <v>87.86222222222223</v>
      </c>
      <c r="F43" s="88">
        <v>0</v>
      </c>
      <c r="G43" s="88">
        <v>0</v>
      </c>
      <c r="H43" s="88">
        <v>0</v>
      </c>
      <c r="I43" s="89">
        <f t="shared" si="0"/>
        <v>4500</v>
      </c>
      <c r="J43" s="80">
        <f t="shared" si="0"/>
        <v>3953.8</v>
      </c>
      <c r="K43" s="90">
        <f t="shared" si="1"/>
        <v>87.86222222222223</v>
      </c>
    </row>
    <row r="44" spans="1:11" ht="75">
      <c r="A44" s="91" t="s">
        <v>28</v>
      </c>
      <c r="B44" s="95" t="s">
        <v>207</v>
      </c>
      <c r="C44" s="179">
        <v>21538.7</v>
      </c>
      <c r="D44" s="88">
        <v>18474.5</v>
      </c>
      <c r="E44" s="79">
        <f t="shared" si="5"/>
        <v>85.7735146503735</v>
      </c>
      <c r="F44" s="88"/>
      <c r="G44" s="88"/>
      <c r="H44" s="88"/>
      <c r="I44" s="89">
        <f t="shared" si="0"/>
        <v>21538.7</v>
      </c>
      <c r="J44" s="80">
        <f t="shared" si="0"/>
        <v>18474.5</v>
      </c>
      <c r="K44" s="90">
        <f t="shared" si="1"/>
        <v>85.7735146503735</v>
      </c>
    </row>
    <row r="45" spans="1:11" ht="30">
      <c r="A45" s="91" t="s">
        <v>28</v>
      </c>
      <c r="B45" s="95" t="s">
        <v>181</v>
      </c>
      <c r="C45" s="179">
        <v>1413.4</v>
      </c>
      <c r="D45" s="88">
        <v>1029.4</v>
      </c>
      <c r="E45" s="79">
        <f t="shared" si="5"/>
        <v>72.83147021366916</v>
      </c>
      <c r="F45" s="88">
        <v>0</v>
      </c>
      <c r="G45" s="88">
        <v>0</v>
      </c>
      <c r="H45" s="88">
        <v>0</v>
      </c>
      <c r="I45" s="89">
        <f t="shared" si="0"/>
        <v>1413.4</v>
      </c>
      <c r="J45" s="80">
        <f t="shared" si="0"/>
        <v>1029.4</v>
      </c>
      <c r="K45" s="90">
        <f t="shared" si="1"/>
        <v>72.83147021366916</v>
      </c>
    </row>
    <row r="46" spans="1:11" ht="90">
      <c r="A46" s="91" t="s">
        <v>28</v>
      </c>
      <c r="B46" s="95" t="s">
        <v>202</v>
      </c>
      <c r="C46" s="179">
        <v>1000</v>
      </c>
      <c r="D46" s="88">
        <v>0</v>
      </c>
      <c r="E46" s="79">
        <f t="shared" si="5"/>
        <v>0</v>
      </c>
      <c r="F46" s="88">
        <v>1000</v>
      </c>
      <c r="G46" s="88">
        <v>0</v>
      </c>
      <c r="H46" s="88"/>
      <c r="I46" s="89">
        <f>C46+F46-1000</f>
        <v>1000</v>
      </c>
      <c r="J46" s="80">
        <f t="shared" si="0"/>
        <v>0</v>
      </c>
      <c r="K46" s="90">
        <f t="shared" si="1"/>
        <v>0</v>
      </c>
    </row>
    <row r="47" spans="1:11" ht="14.25">
      <c r="A47" s="81" t="s">
        <v>29</v>
      </c>
      <c r="B47" s="82" t="s">
        <v>30</v>
      </c>
      <c r="C47" s="178">
        <f>SUM(C48:C74)</f>
        <v>490021.1</v>
      </c>
      <c r="D47" s="178">
        <f>SUM(D48:D74)</f>
        <v>412893.7999999999</v>
      </c>
      <c r="E47" s="83">
        <f t="shared" si="5"/>
        <v>84.26041245978998</v>
      </c>
      <c r="F47" s="96">
        <f>SUM(F48:F74)</f>
        <v>165160.6</v>
      </c>
      <c r="G47" s="96">
        <f>SUM(G48:G74)</f>
        <v>110303.4</v>
      </c>
      <c r="H47" s="96">
        <f>G47/F47*100</f>
        <v>66.78554086144032</v>
      </c>
      <c r="I47" s="178">
        <f>SUM(I48:I74)</f>
        <v>595637.3999999999</v>
      </c>
      <c r="J47" s="178">
        <f>SUM(J48:J74)</f>
        <v>485973.19999999995</v>
      </c>
      <c r="K47" s="85">
        <f t="shared" si="1"/>
        <v>81.58876524543288</v>
      </c>
    </row>
    <row r="48" spans="1:11" ht="15">
      <c r="A48" s="97" t="s">
        <v>31</v>
      </c>
      <c r="B48" s="98" t="s">
        <v>182</v>
      </c>
      <c r="C48" s="79">
        <v>664.2</v>
      </c>
      <c r="D48" s="79">
        <v>0</v>
      </c>
      <c r="E48" s="79">
        <f t="shared" si="5"/>
        <v>0</v>
      </c>
      <c r="F48" s="88">
        <v>27548.9</v>
      </c>
      <c r="G48" s="88">
        <v>20915.2</v>
      </c>
      <c r="H48" s="88">
        <f>G48/F48*100</f>
        <v>75.92027267876395</v>
      </c>
      <c r="I48" s="89">
        <f t="shared" si="0"/>
        <v>28213.100000000002</v>
      </c>
      <c r="J48" s="80">
        <f t="shared" si="0"/>
        <v>20915.2</v>
      </c>
      <c r="K48" s="90">
        <f t="shared" si="1"/>
        <v>74.13293824499966</v>
      </c>
    </row>
    <row r="49" spans="1:11" ht="90">
      <c r="A49" s="86" t="s">
        <v>31</v>
      </c>
      <c r="B49" s="87" t="s">
        <v>283</v>
      </c>
      <c r="C49" s="79">
        <v>293652.3</v>
      </c>
      <c r="D49" s="79">
        <v>293152.3</v>
      </c>
      <c r="E49" s="79">
        <f t="shared" si="5"/>
        <v>99.82973060316571</v>
      </c>
      <c r="F49" s="88">
        <v>0</v>
      </c>
      <c r="G49" s="88">
        <v>0</v>
      </c>
      <c r="H49" s="88">
        <v>0</v>
      </c>
      <c r="I49" s="89">
        <f t="shared" si="0"/>
        <v>293652.3</v>
      </c>
      <c r="J49" s="80">
        <f t="shared" si="0"/>
        <v>293152.3</v>
      </c>
      <c r="K49" s="90">
        <f t="shared" si="1"/>
        <v>99.82973060316571</v>
      </c>
    </row>
    <row r="50" spans="1:11" ht="120">
      <c r="A50" s="91" t="s">
        <v>31</v>
      </c>
      <c r="B50" s="87" t="s">
        <v>309</v>
      </c>
      <c r="C50" s="79">
        <v>2115.3</v>
      </c>
      <c r="D50" s="79">
        <v>2115.3</v>
      </c>
      <c r="E50" s="79">
        <f t="shared" si="5"/>
        <v>100</v>
      </c>
      <c r="F50" s="88"/>
      <c r="G50" s="88"/>
      <c r="H50" s="88"/>
      <c r="I50" s="89">
        <f t="shared" si="0"/>
        <v>2115.3</v>
      </c>
      <c r="J50" s="80">
        <f t="shared" si="0"/>
        <v>2115.3</v>
      </c>
      <c r="K50" s="90">
        <f t="shared" si="1"/>
        <v>100</v>
      </c>
    </row>
    <row r="51" spans="1:11" ht="45">
      <c r="A51" s="91" t="s">
        <v>31</v>
      </c>
      <c r="B51" s="87" t="s">
        <v>303</v>
      </c>
      <c r="C51" s="79">
        <v>1580.8</v>
      </c>
      <c r="D51" s="79">
        <v>1071.3</v>
      </c>
      <c r="E51" s="79">
        <f t="shared" si="5"/>
        <v>67.76948380566802</v>
      </c>
      <c r="F51" s="88">
        <v>6879.3</v>
      </c>
      <c r="G51" s="88">
        <v>6839.6</v>
      </c>
      <c r="H51" s="88">
        <f>G51/F51*100</f>
        <v>99.4229064003605</v>
      </c>
      <c r="I51" s="89">
        <f t="shared" si="0"/>
        <v>8460.1</v>
      </c>
      <c r="J51" s="89">
        <f t="shared" si="0"/>
        <v>7910.900000000001</v>
      </c>
      <c r="K51" s="90">
        <f t="shared" si="1"/>
        <v>93.50835096511861</v>
      </c>
    </row>
    <row r="52" spans="1:11" ht="135">
      <c r="A52" s="86" t="s">
        <v>32</v>
      </c>
      <c r="B52" s="87" t="s">
        <v>192</v>
      </c>
      <c r="C52" s="79">
        <v>9423</v>
      </c>
      <c r="D52" s="79">
        <v>8520</v>
      </c>
      <c r="E52" s="79">
        <f t="shared" si="5"/>
        <v>90.417064629099</v>
      </c>
      <c r="F52" s="88"/>
      <c r="G52" s="88"/>
      <c r="H52" s="88"/>
      <c r="I52" s="89">
        <f t="shared" si="0"/>
        <v>9423</v>
      </c>
      <c r="J52" s="89">
        <f t="shared" si="0"/>
        <v>8520</v>
      </c>
      <c r="K52" s="90">
        <f t="shared" si="1"/>
        <v>90.417064629099</v>
      </c>
    </row>
    <row r="53" spans="1:11" ht="40.5" customHeight="1">
      <c r="A53" s="86" t="s">
        <v>32</v>
      </c>
      <c r="B53" s="87" t="s">
        <v>193</v>
      </c>
      <c r="C53" s="79">
        <v>9923</v>
      </c>
      <c r="D53" s="105">
        <v>9146.8</v>
      </c>
      <c r="E53" s="79">
        <f t="shared" si="5"/>
        <v>92.17776881991333</v>
      </c>
      <c r="F53" s="88"/>
      <c r="G53" s="88"/>
      <c r="H53" s="88"/>
      <c r="I53" s="89">
        <f t="shared" si="0"/>
        <v>9923</v>
      </c>
      <c r="J53" s="89">
        <f t="shared" si="0"/>
        <v>9146.8</v>
      </c>
      <c r="K53" s="90">
        <f t="shared" si="1"/>
        <v>92.17776881991333</v>
      </c>
    </row>
    <row r="54" spans="1:11" ht="191.25">
      <c r="A54" s="86" t="s">
        <v>32</v>
      </c>
      <c r="B54" s="144" t="s">
        <v>284</v>
      </c>
      <c r="C54" s="79">
        <v>5448.4</v>
      </c>
      <c r="D54" s="105">
        <v>2853.8</v>
      </c>
      <c r="E54" s="79">
        <f>D54/C54*100</f>
        <v>52.37867997944351</v>
      </c>
      <c r="F54" s="88"/>
      <c r="G54" s="88"/>
      <c r="H54" s="88"/>
      <c r="I54" s="89">
        <f t="shared" si="0"/>
        <v>5448.4</v>
      </c>
      <c r="J54" s="89">
        <f t="shared" si="0"/>
        <v>2853.8</v>
      </c>
      <c r="K54" s="90">
        <f>J54/I54*100</f>
        <v>52.37867997944351</v>
      </c>
    </row>
    <row r="55" spans="1:11" ht="191.25">
      <c r="A55" s="86" t="s">
        <v>32</v>
      </c>
      <c r="B55" s="144" t="s">
        <v>285</v>
      </c>
      <c r="C55" s="79">
        <v>3632.3</v>
      </c>
      <c r="D55" s="105">
        <v>1647.3</v>
      </c>
      <c r="E55" s="79">
        <f>D55/C55*100</f>
        <v>45.351430223274505</v>
      </c>
      <c r="F55" s="88"/>
      <c r="G55" s="88"/>
      <c r="H55" s="88"/>
      <c r="I55" s="89">
        <f t="shared" si="0"/>
        <v>3632.3</v>
      </c>
      <c r="J55" s="89">
        <f t="shared" si="0"/>
        <v>1647.3</v>
      </c>
      <c r="K55" s="90">
        <f>J55/I55*100</f>
        <v>45.351430223274505</v>
      </c>
    </row>
    <row r="56" spans="1:11" ht="165.75">
      <c r="A56" s="86" t="s">
        <v>32</v>
      </c>
      <c r="B56" s="144" t="s">
        <v>286</v>
      </c>
      <c r="C56" s="79">
        <v>44196.3</v>
      </c>
      <c r="D56" s="105">
        <v>27770</v>
      </c>
      <c r="E56" s="79">
        <f>D56/C56*100</f>
        <v>62.833314100954155</v>
      </c>
      <c r="F56" s="88"/>
      <c r="G56" s="88"/>
      <c r="H56" s="88"/>
      <c r="I56" s="89">
        <f t="shared" si="0"/>
        <v>44196.3</v>
      </c>
      <c r="J56" s="89">
        <f t="shared" si="0"/>
        <v>27770</v>
      </c>
      <c r="K56" s="90">
        <f>J56/I56*100</f>
        <v>62.833314100954155</v>
      </c>
    </row>
    <row r="57" spans="1:11" ht="150">
      <c r="A57" s="91" t="s">
        <v>32</v>
      </c>
      <c r="B57" s="95" t="s">
        <v>287</v>
      </c>
      <c r="C57" s="79">
        <v>80866.4</v>
      </c>
      <c r="D57" s="105">
        <v>37314.1</v>
      </c>
      <c r="E57" s="79">
        <f t="shared" si="5"/>
        <v>46.14289742093132</v>
      </c>
      <c r="F57" s="88">
        <v>37714.2</v>
      </c>
      <c r="G57" s="88">
        <v>12614</v>
      </c>
      <c r="H57" s="88">
        <f>G57/F57*100</f>
        <v>33.44628813550334</v>
      </c>
      <c r="I57" s="89">
        <f>C57+F57-35824.2</f>
        <v>82756.4</v>
      </c>
      <c r="J57" s="89">
        <f>D57+G57-17846.9</f>
        <v>32081.199999999997</v>
      </c>
      <c r="K57" s="90">
        <f t="shared" si="1"/>
        <v>38.76582354959858</v>
      </c>
    </row>
    <row r="58" spans="1:11" ht="135">
      <c r="A58" s="91" t="s">
        <v>32</v>
      </c>
      <c r="B58" s="95" t="s">
        <v>322</v>
      </c>
      <c r="C58" s="79">
        <v>2769.9</v>
      </c>
      <c r="D58" s="105">
        <v>1434.4</v>
      </c>
      <c r="E58" s="79">
        <f t="shared" si="5"/>
        <v>51.78526300588469</v>
      </c>
      <c r="F58" s="88"/>
      <c r="G58" s="88"/>
      <c r="H58" s="88"/>
      <c r="I58" s="89">
        <f>C58+F58</f>
        <v>2769.9</v>
      </c>
      <c r="J58" s="89">
        <f t="shared" si="0"/>
        <v>1434.4</v>
      </c>
      <c r="K58" s="90">
        <f t="shared" si="1"/>
        <v>51.78526300588469</v>
      </c>
    </row>
    <row r="59" spans="1:11" ht="90">
      <c r="A59" s="91" t="s">
        <v>32</v>
      </c>
      <c r="B59" s="95" t="s">
        <v>305</v>
      </c>
      <c r="C59" s="79">
        <v>1785.5</v>
      </c>
      <c r="D59" s="105">
        <v>261.8</v>
      </c>
      <c r="E59" s="79">
        <f t="shared" si="5"/>
        <v>14.662559507140857</v>
      </c>
      <c r="F59" s="88">
        <v>38.2</v>
      </c>
      <c r="G59" s="88"/>
      <c r="H59" s="88"/>
      <c r="I59" s="89">
        <f>C59+F59-261.8</f>
        <v>1561.9</v>
      </c>
      <c r="J59" s="89">
        <f>D59+G59-261.8</f>
        <v>0</v>
      </c>
      <c r="K59" s="90">
        <f t="shared" si="1"/>
        <v>0</v>
      </c>
    </row>
    <row r="60" spans="1:11" ht="45">
      <c r="A60" s="91" t="s">
        <v>32</v>
      </c>
      <c r="B60" s="87" t="s">
        <v>310</v>
      </c>
      <c r="C60" s="79">
        <v>2652</v>
      </c>
      <c r="D60" s="105">
        <v>2652</v>
      </c>
      <c r="E60" s="79">
        <f t="shared" si="5"/>
        <v>100</v>
      </c>
      <c r="F60" s="88"/>
      <c r="G60" s="88"/>
      <c r="H60" s="88"/>
      <c r="I60" s="89">
        <f>C60+F60</f>
        <v>2652</v>
      </c>
      <c r="J60" s="89">
        <f t="shared" si="0"/>
        <v>2652</v>
      </c>
      <c r="K60" s="90">
        <f t="shared" si="1"/>
        <v>100</v>
      </c>
    </row>
    <row r="61" spans="1:11" ht="30">
      <c r="A61" s="91" t="s">
        <v>32</v>
      </c>
      <c r="B61" s="87" t="s">
        <v>311</v>
      </c>
      <c r="C61" s="79"/>
      <c r="D61" s="105"/>
      <c r="E61" s="79"/>
      <c r="F61" s="88">
        <v>8130.3</v>
      </c>
      <c r="G61" s="88">
        <v>6147.5</v>
      </c>
      <c r="H61" s="88">
        <f>G61/F61*100</f>
        <v>75.61221603138875</v>
      </c>
      <c r="I61" s="89">
        <f>C61+F61</f>
        <v>8130.3</v>
      </c>
      <c r="J61" s="89">
        <f t="shared" si="0"/>
        <v>6147.5</v>
      </c>
      <c r="K61" s="90">
        <f t="shared" si="1"/>
        <v>75.61221603138875</v>
      </c>
    </row>
    <row r="62" spans="1:11" ht="60">
      <c r="A62" s="91" t="s">
        <v>32</v>
      </c>
      <c r="B62" s="95" t="s">
        <v>306</v>
      </c>
      <c r="C62" s="79">
        <v>3686.1</v>
      </c>
      <c r="D62" s="105">
        <v>3295.3</v>
      </c>
      <c r="E62" s="79">
        <f t="shared" si="5"/>
        <v>89.39800873551992</v>
      </c>
      <c r="F62" s="88"/>
      <c r="G62" s="88"/>
      <c r="H62" s="88"/>
      <c r="I62" s="89">
        <f>C62+F62</f>
        <v>3686.1</v>
      </c>
      <c r="J62" s="89">
        <f t="shared" si="0"/>
        <v>3295.3</v>
      </c>
      <c r="K62" s="90">
        <f t="shared" si="1"/>
        <v>89.39800873551992</v>
      </c>
    </row>
    <row r="63" spans="1:11" ht="105">
      <c r="A63" s="91" t="s">
        <v>32</v>
      </c>
      <c r="B63" s="95" t="s">
        <v>323</v>
      </c>
      <c r="C63" s="79">
        <v>6080.2</v>
      </c>
      <c r="D63" s="105">
        <v>6080.2</v>
      </c>
      <c r="E63" s="79">
        <f t="shared" si="5"/>
        <v>100</v>
      </c>
      <c r="F63" s="88"/>
      <c r="G63" s="88"/>
      <c r="H63" s="88"/>
      <c r="I63" s="89">
        <f>C63+F63</f>
        <v>6080.2</v>
      </c>
      <c r="J63" s="89">
        <f t="shared" si="0"/>
        <v>6080.2</v>
      </c>
      <c r="K63" s="90">
        <f t="shared" si="1"/>
        <v>100</v>
      </c>
    </row>
    <row r="64" spans="1:11" ht="60">
      <c r="A64" s="91" t="s">
        <v>32</v>
      </c>
      <c r="B64" s="95" t="s">
        <v>194</v>
      </c>
      <c r="C64" s="79"/>
      <c r="D64" s="105"/>
      <c r="E64" s="79"/>
      <c r="F64" s="88">
        <v>14216.2</v>
      </c>
      <c r="G64" s="88">
        <v>13184.2</v>
      </c>
      <c r="H64" s="88">
        <f aca="true" t="shared" si="7" ref="H64:H73">G64/F64*100</f>
        <v>92.74067613004881</v>
      </c>
      <c r="I64" s="89">
        <f t="shared" si="0"/>
        <v>14216.2</v>
      </c>
      <c r="J64" s="89">
        <f t="shared" si="0"/>
        <v>13184.2</v>
      </c>
      <c r="K64" s="90">
        <f t="shared" si="1"/>
        <v>92.74067613004881</v>
      </c>
    </row>
    <row r="65" spans="1:11" ht="45">
      <c r="A65" s="91" t="s">
        <v>32</v>
      </c>
      <c r="B65" s="95" t="s">
        <v>204</v>
      </c>
      <c r="C65" s="79"/>
      <c r="D65" s="105"/>
      <c r="E65" s="79"/>
      <c r="F65" s="88">
        <v>0</v>
      </c>
      <c r="G65" s="88">
        <v>0</v>
      </c>
      <c r="H65" s="88">
        <v>0</v>
      </c>
      <c r="I65" s="89">
        <f t="shared" si="0"/>
        <v>0</v>
      </c>
      <c r="J65" s="89">
        <f t="shared" si="0"/>
        <v>0</v>
      </c>
      <c r="K65" s="90">
        <v>0</v>
      </c>
    </row>
    <row r="66" spans="1:11" ht="30">
      <c r="A66" s="91" t="s">
        <v>32</v>
      </c>
      <c r="B66" s="95" t="s">
        <v>195</v>
      </c>
      <c r="C66" s="79"/>
      <c r="D66" s="105"/>
      <c r="E66" s="79"/>
      <c r="F66" s="88">
        <v>4521.3</v>
      </c>
      <c r="G66" s="88">
        <v>4958.6</v>
      </c>
      <c r="H66" s="88">
        <f t="shared" si="7"/>
        <v>109.67199699201558</v>
      </c>
      <c r="I66" s="89">
        <f t="shared" si="0"/>
        <v>4521.3</v>
      </c>
      <c r="J66" s="89">
        <f t="shared" si="0"/>
        <v>4958.6</v>
      </c>
      <c r="K66" s="90">
        <f t="shared" si="1"/>
        <v>109.67199699201558</v>
      </c>
    </row>
    <row r="67" spans="1:11" ht="75">
      <c r="A67" s="91" t="s">
        <v>32</v>
      </c>
      <c r="B67" s="95" t="s">
        <v>288</v>
      </c>
      <c r="C67" s="79"/>
      <c r="D67" s="105"/>
      <c r="E67" s="79"/>
      <c r="F67" s="88">
        <v>15478.6</v>
      </c>
      <c r="G67" s="88">
        <v>12165.1</v>
      </c>
      <c r="H67" s="88">
        <f t="shared" si="7"/>
        <v>78.59302520899824</v>
      </c>
      <c r="I67" s="89">
        <f>C67+F67-15478.6</f>
        <v>0</v>
      </c>
      <c r="J67" s="89">
        <f>D67+G67-12165.1</f>
        <v>0</v>
      </c>
      <c r="K67" s="90" t="e">
        <f t="shared" si="1"/>
        <v>#DIV/0!</v>
      </c>
    </row>
    <row r="68" spans="1:11" ht="60">
      <c r="A68" s="91" t="s">
        <v>33</v>
      </c>
      <c r="B68" s="95" t="s">
        <v>183</v>
      </c>
      <c r="C68" s="79">
        <v>16288.6</v>
      </c>
      <c r="D68" s="105">
        <v>11052.5</v>
      </c>
      <c r="E68" s="79">
        <f>D68/C68*100</f>
        <v>67.85420478125805</v>
      </c>
      <c r="F68" s="88">
        <v>2978.5</v>
      </c>
      <c r="G68" s="88">
        <v>2461.6</v>
      </c>
      <c r="H68" s="88">
        <f t="shared" si="7"/>
        <v>82.64562699345308</v>
      </c>
      <c r="I68" s="89">
        <f>C68+F68-2978.5</f>
        <v>16288.599999999999</v>
      </c>
      <c r="J68" s="89">
        <f>D68+G68-2479</f>
        <v>11035.1</v>
      </c>
      <c r="K68" s="90">
        <f t="shared" si="1"/>
        <v>67.74738160431222</v>
      </c>
    </row>
    <row r="69" spans="1:11" ht="45">
      <c r="A69" s="91" t="s">
        <v>33</v>
      </c>
      <c r="B69" s="95" t="s">
        <v>184</v>
      </c>
      <c r="C69" s="79">
        <v>3501.2</v>
      </c>
      <c r="D69" s="105">
        <v>3501.1</v>
      </c>
      <c r="E69" s="79">
        <f>D69/C69*100</f>
        <v>99.99714383639895</v>
      </c>
      <c r="F69" s="88">
        <v>3501.1</v>
      </c>
      <c r="G69" s="88">
        <v>3049.9</v>
      </c>
      <c r="H69" s="88">
        <f t="shared" si="7"/>
        <v>87.1126217474508</v>
      </c>
      <c r="I69" s="89">
        <f>C69+F69-3501.2</f>
        <v>3501.0999999999995</v>
      </c>
      <c r="J69" s="89">
        <f>D69+G69-3501.2</f>
        <v>3049.8</v>
      </c>
      <c r="K69" s="90">
        <f t="shared" si="1"/>
        <v>87.10976550227073</v>
      </c>
    </row>
    <row r="70" spans="1:11" ht="60">
      <c r="A70" s="91" t="s">
        <v>33</v>
      </c>
      <c r="B70" s="95" t="s">
        <v>208</v>
      </c>
      <c r="C70" s="79">
        <v>200</v>
      </c>
      <c r="D70" s="105">
        <v>0</v>
      </c>
      <c r="E70" s="79">
        <f>D70/C70*100</f>
        <v>0</v>
      </c>
      <c r="F70" s="88"/>
      <c r="G70" s="88"/>
      <c r="H70" s="88"/>
      <c r="I70" s="89">
        <f t="shared" si="0"/>
        <v>200</v>
      </c>
      <c r="J70" s="80">
        <f t="shared" si="0"/>
        <v>0</v>
      </c>
      <c r="K70" s="90">
        <f t="shared" si="1"/>
        <v>0</v>
      </c>
    </row>
    <row r="71" spans="1:11" ht="75">
      <c r="A71" s="91" t="s">
        <v>33</v>
      </c>
      <c r="B71" s="87" t="s">
        <v>185</v>
      </c>
      <c r="C71" s="79">
        <v>1500</v>
      </c>
      <c r="D71" s="79">
        <v>970</v>
      </c>
      <c r="E71" s="79">
        <f t="shared" si="5"/>
        <v>64.66666666666666</v>
      </c>
      <c r="F71" s="79">
        <v>1500</v>
      </c>
      <c r="G71" s="88">
        <v>450</v>
      </c>
      <c r="H71" s="88">
        <f t="shared" si="7"/>
        <v>30</v>
      </c>
      <c r="I71" s="89">
        <f>C71+F71-1500</f>
        <v>1500</v>
      </c>
      <c r="J71" s="89">
        <f>D71+G71-970</f>
        <v>450</v>
      </c>
      <c r="K71" s="90">
        <f t="shared" si="1"/>
        <v>30</v>
      </c>
    </row>
    <row r="72" spans="1:11" ht="60">
      <c r="A72" s="91" t="s">
        <v>33</v>
      </c>
      <c r="B72" s="87" t="s">
        <v>289</v>
      </c>
      <c r="C72" s="79"/>
      <c r="D72" s="79"/>
      <c r="E72" s="79"/>
      <c r="F72" s="79">
        <v>3007.4</v>
      </c>
      <c r="G72" s="88">
        <v>2242.4</v>
      </c>
      <c r="H72" s="88">
        <f t="shared" si="7"/>
        <v>74.56274522843653</v>
      </c>
      <c r="I72" s="89">
        <f aca="true" t="shared" si="8" ref="I72:J74">C72+F72</f>
        <v>3007.4</v>
      </c>
      <c r="J72" s="80">
        <f t="shared" si="8"/>
        <v>2242.4</v>
      </c>
      <c r="K72" s="90">
        <f t="shared" si="1"/>
        <v>74.56274522843653</v>
      </c>
    </row>
    <row r="73" spans="1:11" ht="15">
      <c r="A73" s="86" t="s">
        <v>33</v>
      </c>
      <c r="B73" s="87" t="s">
        <v>186</v>
      </c>
      <c r="C73" s="79">
        <v>0</v>
      </c>
      <c r="D73" s="79">
        <v>0</v>
      </c>
      <c r="E73" s="79">
        <v>0</v>
      </c>
      <c r="F73" s="79">
        <v>39646.6</v>
      </c>
      <c r="G73" s="88">
        <v>25275.3</v>
      </c>
      <c r="H73" s="88">
        <f t="shared" si="7"/>
        <v>63.75149445349665</v>
      </c>
      <c r="I73" s="89">
        <f t="shared" si="8"/>
        <v>39646.6</v>
      </c>
      <c r="J73" s="80">
        <f t="shared" si="8"/>
        <v>25275.3</v>
      </c>
      <c r="K73" s="90">
        <f t="shared" si="1"/>
        <v>63.75149445349665</v>
      </c>
    </row>
    <row r="74" spans="1:11" ht="30">
      <c r="A74" s="91" t="s">
        <v>138</v>
      </c>
      <c r="B74" s="87" t="s">
        <v>307</v>
      </c>
      <c r="C74" s="79">
        <v>55.6</v>
      </c>
      <c r="D74" s="79">
        <v>55.6</v>
      </c>
      <c r="E74" s="79">
        <f>D74/C74*100</f>
        <v>100</v>
      </c>
      <c r="F74" s="79">
        <v>0</v>
      </c>
      <c r="G74" s="88">
        <v>0</v>
      </c>
      <c r="H74" s="88">
        <v>0</v>
      </c>
      <c r="I74" s="89">
        <f t="shared" si="8"/>
        <v>55.6</v>
      </c>
      <c r="J74" s="80">
        <f t="shared" si="8"/>
        <v>55.6</v>
      </c>
      <c r="K74" s="90">
        <f t="shared" si="1"/>
        <v>100</v>
      </c>
    </row>
    <row r="75" spans="1:11" ht="15">
      <c r="A75" s="81" t="s">
        <v>38</v>
      </c>
      <c r="B75" s="82" t="s">
        <v>39</v>
      </c>
      <c r="C75" s="83">
        <f>SUM(C76:C82)</f>
        <v>2045673.7</v>
      </c>
      <c r="D75" s="83">
        <f>SUM(D76:D82)</f>
        <v>1572489.1000000003</v>
      </c>
      <c r="E75" s="83">
        <f>D75/C75*100</f>
        <v>76.86900897244759</v>
      </c>
      <c r="F75" s="96">
        <f>F76+F78+F79+F81+F82</f>
        <v>0</v>
      </c>
      <c r="G75" s="96">
        <f>SUM(G76:G82)</f>
        <v>0</v>
      </c>
      <c r="H75" s="84">
        <v>0</v>
      </c>
      <c r="I75" s="83">
        <f>SUM(I76:I82)</f>
        <v>2045673.7</v>
      </c>
      <c r="J75" s="83">
        <f>SUM(J76:J82)</f>
        <v>1572489.1000000003</v>
      </c>
      <c r="K75" s="85">
        <f t="shared" si="1"/>
        <v>76.86900897244759</v>
      </c>
    </row>
    <row r="76" spans="1:11" ht="15">
      <c r="A76" s="86" t="s">
        <v>40</v>
      </c>
      <c r="B76" s="87" t="s">
        <v>41</v>
      </c>
      <c r="C76" s="79">
        <f>537341.2-C77</f>
        <v>356554.69999999995</v>
      </c>
      <c r="D76" s="79">
        <f>433626.5-D77</f>
        <v>315783.8</v>
      </c>
      <c r="E76" s="79">
        <f t="shared" si="5"/>
        <v>88.5653169064943</v>
      </c>
      <c r="F76" s="88">
        <v>0</v>
      </c>
      <c r="G76" s="88">
        <v>0</v>
      </c>
      <c r="H76" s="88">
        <v>0</v>
      </c>
      <c r="I76" s="89">
        <f t="shared" si="0"/>
        <v>356554.69999999995</v>
      </c>
      <c r="J76" s="80">
        <f t="shared" si="0"/>
        <v>315783.8</v>
      </c>
      <c r="K76" s="90">
        <f t="shared" si="1"/>
        <v>88.5653169064943</v>
      </c>
    </row>
    <row r="77" spans="1:11" ht="120">
      <c r="A77" s="86" t="s">
        <v>40</v>
      </c>
      <c r="B77" s="87" t="s">
        <v>188</v>
      </c>
      <c r="C77" s="79">
        <v>180786.5</v>
      </c>
      <c r="D77" s="79">
        <v>117842.7</v>
      </c>
      <c r="E77" s="79">
        <f t="shared" si="5"/>
        <v>65.18335163300357</v>
      </c>
      <c r="F77" s="88"/>
      <c r="G77" s="88"/>
      <c r="H77" s="88"/>
      <c r="I77" s="89">
        <f t="shared" si="0"/>
        <v>180786.5</v>
      </c>
      <c r="J77" s="80">
        <f t="shared" si="0"/>
        <v>117842.7</v>
      </c>
      <c r="K77" s="90">
        <f t="shared" si="1"/>
        <v>65.18335163300357</v>
      </c>
    </row>
    <row r="78" spans="1:11" ht="15">
      <c r="A78" s="86" t="s">
        <v>42</v>
      </c>
      <c r="B78" s="87" t="s">
        <v>43</v>
      </c>
      <c r="C78" s="79">
        <f>1438419.9-C79-C80</f>
        <v>1151849.0999999999</v>
      </c>
      <c r="D78" s="79">
        <f>1075597.3-D79-D80</f>
        <v>877725.4000000001</v>
      </c>
      <c r="E78" s="79">
        <f t="shared" si="5"/>
        <v>76.20142256481341</v>
      </c>
      <c r="F78" s="88">
        <v>0</v>
      </c>
      <c r="G78" s="88">
        <v>0</v>
      </c>
      <c r="H78" s="88">
        <v>0</v>
      </c>
      <c r="I78" s="89">
        <f t="shared" si="0"/>
        <v>1151849.0999999999</v>
      </c>
      <c r="J78" s="80">
        <f t="shared" si="0"/>
        <v>877725.4000000001</v>
      </c>
      <c r="K78" s="90">
        <f t="shared" si="1"/>
        <v>76.20142256481341</v>
      </c>
    </row>
    <row r="79" spans="1:11" ht="15">
      <c r="A79" s="86" t="s">
        <v>42</v>
      </c>
      <c r="B79" s="87" t="s">
        <v>187</v>
      </c>
      <c r="C79" s="79">
        <v>47064.2</v>
      </c>
      <c r="D79" s="79">
        <v>29481.6</v>
      </c>
      <c r="E79" s="79">
        <f t="shared" si="5"/>
        <v>62.64124323796006</v>
      </c>
      <c r="F79" s="88">
        <v>0</v>
      </c>
      <c r="G79" s="88">
        <v>0</v>
      </c>
      <c r="H79" s="88">
        <v>0</v>
      </c>
      <c r="I79" s="89">
        <f t="shared" si="0"/>
        <v>47064.2</v>
      </c>
      <c r="J79" s="80">
        <f t="shared" si="0"/>
        <v>29481.6</v>
      </c>
      <c r="K79" s="90">
        <f t="shared" si="1"/>
        <v>62.64124323796006</v>
      </c>
    </row>
    <row r="80" spans="1:11" ht="120">
      <c r="A80" s="86" t="s">
        <v>42</v>
      </c>
      <c r="B80" s="87" t="s">
        <v>188</v>
      </c>
      <c r="C80" s="79">
        <v>239506.6</v>
      </c>
      <c r="D80" s="79">
        <v>168390.3</v>
      </c>
      <c r="E80" s="79">
        <f t="shared" si="5"/>
        <v>70.3071648129947</v>
      </c>
      <c r="F80" s="88">
        <v>0</v>
      </c>
      <c r="G80" s="88">
        <v>0</v>
      </c>
      <c r="H80" s="88">
        <v>0</v>
      </c>
      <c r="I80" s="89">
        <f t="shared" si="0"/>
        <v>239506.6</v>
      </c>
      <c r="J80" s="80">
        <f t="shared" si="0"/>
        <v>168390.3</v>
      </c>
      <c r="K80" s="90">
        <f t="shared" si="1"/>
        <v>70.3071648129947</v>
      </c>
    </row>
    <row r="81" spans="1:11" ht="15">
      <c r="A81" s="86" t="s">
        <v>44</v>
      </c>
      <c r="B81" s="87" t="s">
        <v>45</v>
      </c>
      <c r="C81" s="79">
        <v>21852.3</v>
      </c>
      <c r="D81" s="79">
        <v>21165.6</v>
      </c>
      <c r="E81" s="79">
        <f t="shared" si="5"/>
        <v>96.85753902335223</v>
      </c>
      <c r="F81" s="88">
        <v>0</v>
      </c>
      <c r="G81" s="88">
        <v>0</v>
      </c>
      <c r="H81" s="88">
        <v>0</v>
      </c>
      <c r="I81" s="89">
        <f t="shared" si="0"/>
        <v>21852.3</v>
      </c>
      <c r="J81" s="80">
        <f t="shared" si="0"/>
        <v>21165.6</v>
      </c>
      <c r="K81" s="90">
        <f t="shared" si="1"/>
        <v>96.85753902335223</v>
      </c>
    </row>
    <row r="82" spans="1:11" ht="15">
      <c r="A82" s="86" t="s">
        <v>46</v>
      </c>
      <c r="B82" s="87" t="s">
        <v>47</v>
      </c>
      <c r="C82" s="79">
        <v>48060.3</v>
      </c>
      <c r="D82" s="79">
        <v>42099.7</v>
      </c>
      <c r="E82" s="79">
        <f t="shared" si="5"/>
        <v>87.59766376822449</v>
      </c>
      <c r="F82" s="88">
        <v>0</v>
      </c>
      <c r="G82" s="88">
        <v>0</v>
      </c>
      <c r="H82" s="88">
        <v>0</v>
      </c>
      <c r="I82" s="89">
        <f t="shared" si="0"/>
        <v>48060.3</v>
      </c>
      <c r="J82" s="80">
        <f t="shared" si="0"/>
        <v>42099.7</v>
      </c>
      <c r="K82" s="90">
        <f t="shared" si="1"/>
        <v>87.59766376822449</v>
      </c>
    </row>
    <row r="83" spans="1:11" ht="15">
      <c r="A83" s="81" t="s">
        <v>48</v>
      </c>
      <c r="B83" s="82" t="s">
        <v>49</v>
      </c>
      <c r="C83" s="83">
        <f>SUM(C84:C88)</f>
        <v>263528.3</v>
      </c>
      <c r="D83" s="83">
        <f>SUM(D84:D88)</f>
        <v>121796.8</v>
      </c>
      <c r="E83" s="83">
        <f>D83/C83*100</f>
        <v>46.21773069533709</v>
      </c>
      <c r="F83" s="96">
        <f>SUM(F84:F88)</f>
        <v>106238.2</v>
      </c>
      <c r="G83" s="96">
        <f>SUM(G84:G88)</f>
        <v>78232.9</v>
      </c>
      <c r="H83" s="84">
        <f>G83/F83*100</f>
        <v>73.6391429824677</v>
      </c>
      <c r="I83" s="96">
        <f>SUM(I84:I88)</f>
        <v>367732.00000000006</v>
      </c>
      <c r="J83" s="96">
        <f>SUM(J84:J88)</f>
        <v>198097.6</v>
      </c>
      <c r="K83" s="85">
        <f t="shared" si="1"/>
        <v>53.87010105185297</v>
      </c>
    </row>
    <row r="84" spans="1:11" ht="15">
      <c r="A84" s="86" t="s">
        <v>50</v>
      </c>
      <c r="B84" s="87" t="s">
        <v>90</v>
      </c>
      <c r="C84" s="79">
        <f>254738.5-C85-C86</f>
        <v>150325.90000000002</v>
      </c>
      <c r="D84" s="79">
        <f>115067.2-D85-D86</f>
        <v>47921</v>
      </c>
      <c r="E84" s="79">
        <f t="shared" si="5"/>
        <v>31.87807290693087</v>
      </c>
      <c r="F84" s="88">
        <f>105370.7-F86</f>
        <v>105014.2</v>
      </c>
      <c r="G84" s="88">
        <f>77992.2-G85-G86</f>
        <v>77985.59999999999</v>
      </c>
      <c r="H84" s="88">
        <f>G84/F84*100</f>
        <v>74.26195695439283</v>
      </c>
      <c r="I84" s="89">
        <f>C84+F84-1314.6</f>
        <v>254025.50000000003</v>
      </c>
      <c r="J84" s="80">
        <f>D84+G84-1314.6</f>
        <v>124591.99999999999</v>
      </c>
      <c r="K84" s="90">
        <f t="shared" si="1"/>
        <v>49.047044489628</v>
      </c>
    </row>
    <row r="85" spans="1:11" ht="75">
      <c r="A85" s="100" t="s">
        <v>50</v>
      </c>
      <c r="B85" s="101" t="s">
        <v>290</v>
      </c>
      <c r="C85" s="79">
        <v>103241.8</v>
      </c>
      <c r="D85" s="79">
        <v>66898.7</v>
      </c>
      <c r="E85" s="79">
        <f t="shared" si="5"/>
        <v>64.7980759731039</v>
      </c>
      <c r="F85" s="88">
        <v>0</v>
      </c>
      <c r="G85" s="88">
        <v>0</v>
      </c>
      <c r="H85" s="88">
        <v>0</v>
      </c>
      <c r="I85" s="89">
        <f aca="true" t="shared" si="9" ref="I85:J99">C85+F85</f>
        <v>103241.8</v>
      </c>
      <c r="J85" s="80">
        <f t="shared" si="9"/>
        <v>66898.7</v>
      </c>
      <c r="K85" s="90">
        <f>J85/I85*100</f>
        <v>64.7980759731039</v>
      </c>
    </row>
    <row r="86" spans="1:11" ht="15">
      <c r="A86" s="100" t="s">
        <v>50</v>
      </c>
      <c r="B86" s="101" t="s">
        <v>291</v>
      </c>
      <c r="C86" s="79">
        <v>1170.8</v>
      </c>
      <c r="D86" s="79">
        <v>247.5</v>
      </c>
      <c r="E86" s="79">
        <f t="shared" si="5"/>
        <v>21.139391868807653</v>
      </c>
      <c r="F86" s="88">
        <v>356.5</v>
      </c>
      <c r="G86" s="88">
        <v>6.6</v>
      </c>
      <c r="H86" s="88">
        <f>G86/F86*100</f>
        <v>1.8513323983169703</v>
      </c>
      <c r="I86" s="89">
        <f>C86+F86-349.9</f>
        <v>1177.4</v>
      </c>
      <c r="J86" s="80">
        <f>D86+G86-247.5</f>
        <v>6.599999999999994</v>
      </c>
      <c r="K86" s="90">
        <f>J86/I86*100</f>
        <v>0.560557159843723</v>
      </c>
    </row>
    <row r="87" spans="1:11" ht="15">
      <c r="A87" s="86" t="s">
        <v>51</v>
      </c>
      <c r="B87" s="87" t="s">
        <v>52</v>
      </c>
      <c r="C87" s="79">
        <v>267</v>
      </c>
      <c r="D87" s="79">
        <v>251</v>
      </c>
      <c r="E87" s="79">
        <f t="shared" si="5"/>
        <v>94.00749063670412</v>
      </c>
      <c r="F87" s="88">
        <v>497.5</v>
      </c>
      <c r="G87" s="88">
        <v>155.7</v>
      </c>
      <c r="H87" s="88">
        <f>G87/F87*100</f>
        <v>31.2964824120603</v>
      </c>
      <c r="I87" s="89">
        <f t="shared" si="9"/>
        <v>764.5</v>
      </c>
      <c r="J87" s="80">
        <f t="shared" si="9"/>
        <v>406.7</v>
      </c>
      <c r="K87" s="90">
        <f aca="true" t="shared" si="10" ref="K87:K114">J87/I87*100</f>
        <v>53.198168737737085</v>
      </c>
    </row>
    <row r="88" spans="1:11" ht="30">
      <c r="A88" s="86" t="s">
        <v>53</v>
      </c>
      <c r="B88" s="87" t="s">
        <v>91</v>
      </c>
      <c r="C88" s="79">
        <v>8522.8</v>
      </c>
      <c r="D88" s="79">
        <v>6478.6</v>
      </c>
      <c r="E88" s="79">
        <f t="shared" si="5"/>
        <v>76.0149246726428</v>
      </c>
      <c r="F88" s="88">
        <v>370</v>
      </c>
      <c r="G88" s="88">
        <v>85</v>
      </c>
      <c r="H88" s="88">
        <f>G88/F88*100</f>
        <v>22.972972972972975</v>
      </c>
      <c r="I88" s="89">
        <f>C88+F88-370</f>
        <v>8522.8</v>
      </c>
      <c r="J88" s="80">
        <f>D88+G88-370</f>
        <v>6193.6</v>
      </c>
      <c r="K88" s="90">
        <f t="shared" si="10"/>
        <v>72.67095320786598</v>
      </c>
    </row>
    <row r="89" spans="1:11" ht="15">
      <c r="A89" s="81" t="s">
        <v>54</v>
      </c>
      <c r="B89" s="82" t="s">
        <v>92</v>
      </c>
      <c r="C89" s="83">
        <f>C90</f>
        <v>115760</v>
      </c>
      <c r="D89" s="83">
        <f>D90</f>
        <v>68926.6</v>
      </c>
      <c r="E89" s="83">
        <f>D89/C89*100</f>
        <v>59.54267449896338</v>
      </c>
      <c r="F89" s="96">
        <v>0</v>
      </c>
      <c r="G89" s="96">
        <v>0</v>
      </c>
      <c r="H89" s="84"/>
      <c r="I89" s="96">
        <f>C89+F89</f>
        <v>115760</v>
      </c>
      <c r="J89" s="96">
        <f t="shared" si="9"/>
        <v>68926.6</v>
      </c>
      <c r="K89" s="85">
        <f t="shared" si="10"/>
        <v>59.54267449896338</v>
      </c>
    </row>
    <row r="90" spans="1:11" ht="45">
      <c r="A90" s="91" t="s">
        <v>104</v>
      </c>
      <c r="B90" s="101" t="s">
        <v>292</v>
      </c>
      <c r="C90" s="79">
        <v>115760</v>
      </c>
      <c r="D90" s="88">
        <v>68926.6</v>
      </c>
      <c r="E90" s="79">
        <f t="shared" si="5"/>
        <v>59.54267449896338</v>
      </c>
      <c r="F90" s="88">
        <v>0</v>
      </c>
      <c r="G90" s="88">
        <v>0</v>
      </c>
      <c r="H90" s="88">
        <v>0</v>
      </c>
      <c r="I90" s="89">
        <f t="shared" si="9"/>
        <v>115760</v>
      </c>
      <c r="J90" s="80">
        <f t="shared" si="9"/>
        <v>68926.6</v>
      </c>
      <c r="K90" s="90">
        <f t="shared" si="10"/>
        <v>59.54267449896338</v>
      </c>
    </row>
    <row r="91" spans="1:11" ht="15">
      <c r="A91" s="81">
        <v>10</v>
      </c>
      <c r="B91" s="82" t="s">
        <v>60</v>
      </c>
      <c r="C91" s="83">
        <f>SUM(C92:C101)</f>
        <v>179261.9</v>
      </c>
      <c r="D91" s="83">
        <f>SUM(D92:D101)</f>
        <v>118527.3</v>
      </c>
      <c r="E91" s="83">
        <f>D91/C91*100</f>
        <v>66.11962720466535</v>
      </c>
      <c r="F91" s="83">
        <f>SUM(F92:F99)</f>
        <v>479.6</v>
      </c>
      <c r="G91" s="83">
        <f>SUM(G92:G99)</f>
        <v>382</v>
      </c>
      <c r="H91" s="84">
        <f>G91/F91*100</f>
        <v>79.64970809007505</v>
      </c>
      <c r="I91" s="83">
        <f>SUM(I92:I101)</f>
        <v>179741.5</v>
      </c>
      <c r="J91" s="83">
        <f>SUM(J92:J101)</f>
        <v>118909.3</v>
      </c>
      <c r="K91" s="85">
        <f t="shared" si="10"/>
        <v>66.15572919998999</v>
      </c>
    </row>
    <row r="92" spans="1:11" ht="15">
      <c r="A92" s="91">
        <v>1001</v>
      </c>
      <c r="B92" s="87" t="s">
        <v>61</v>
      </c>
      <c r="C92" s="79">
        <v>3246</v>
      </c>
      <c r="D92" s="79">
        <v>2688.4</v>
      </c>
      <c r="E92" s="79">
        <f t="shared" si="5"/>
        <v>82.82193468884782</v>
      </c>
      <c r="F92" s="88">
        <v>479.6</v>
      </c>
      <c r="G92" s="88">
        <v>382</v>
      </c>
      <c r="H92" s="88">
        <f>G92/F92*100</f>
        <v>79.64970809007505</v>
      </c>
      <c r="I92" s="89">
        <f t="shared" si="9"/>
        <v>3725.6</v>
      </c>
      <c r="J92" s="80">
        <f t="shared" si="9"/>
        <v>3070.4</v>
      </c>
      <c r="K92" s="90">
        <f t="shared" si="10"/>
        <v>82.41357096843463</v>
      </c>
    </row>
    <row r="93" spans="1:11" ht="60">
      <c r="A93" s="91">
        <v>1003</v>
      </c>
      <c r="B93" s="87" t="s">
        <v>312</v>
      </c>
      <c r="C93" s="79">
        <f>1481+545.4</f>
        <v>2026.4</v>
      </c>
      <c r="D93" s="79">
        <v>2026.4</v>
      </c>
      <c r="E93" s="79">
        <f t="shared" si="5"/>
        <v>100</v>
      </c>
      <c r="F93" s="88">
        <v>0</v>
      </c>
      <c r="G93" s="88">
        <v>0</v>
      </c>
      <c r="H93" s="88">
        <v>0</v>
      </c>
      <c r="I93" s="89">
        <f t="shared" si="9"/>
        <v>2026.4</v>
      </c>
      <c r="J93" s="80">
        <f t="shared" si="9"/>
        <v>2026.4</v>
      </c>
      <c r="K93" s="90">
        <v>0</v>
      </c>
    </row>
    <row r="94" spans="1:11" ht="60">
      <c r="A94" s="91">
        <v>1003</v>
      </c>
      <c r="B94" s="87" t="s">
        <v>206</v>
      </c>
      <c r="C94" s="79">
        <v>2967.1</v>
      </c>
      <c r="D94" s="79">
        <v>1482.6</v>
      </c>
      <c r="E94" s="79">
        <f t="shared" si="5"/>
        <v>49.967982204846486</v>
      </c>
      <c r="F94" s="88">
        <v>0</v>
      </c>
      <c r="G94" s="88">
        <v>0</v>
      </c>
      <c r="H94" s="88">
        <v>0</v>
      </c>
      <c r="I94" s="89">
        <f t="shared" si="9"/>
        <v>2967.1</v>
      </c>
      <c r="J94" s="80">
        <f t="shared" si="9"/>
        <v>1482.6</v>
      </c>
      <c r="K94" s="90">
        <f t="shared" si="10"/>
        <v>49.967982204846486</v>
      </c>
    </row>
    <row r="95" spans="1:11" ht="120">
      <c r="A95" s="91" t="s">
        <v>168</v>
      </c>
      <c r="B95" s="87" t="s">
        <v>313</v>
      </c>
      <c r="C95" s="79">
        <v>1658.6</v>
      </c>
      <c r="D95" s="79">
        <f>1269.1+231.5</f>
        <v>1500.6</v>
      </c>
      <c r="E95" s="79">
        <f t="shared" si="5"/>
        <v>90.47389364524298</v>
      </c>
      <c r="F95" s="88"/>
      <c r="G95" s="88"/>
      <c r="H95" s="88"/>
      <c r="I95" s="89">
        <f t="shared" si="9"/>
        <v>1658.6</v>
      </c>
      <c r="J95" s="80">
        <f t="shared" si="9"/>
        <v>1500.6</v>
      </c>
      <c r="K95" s="90">
        <f t="shared" si="10"/>
        <v>90.47389364524298</v>
      </c>
    </row>
    <row r="96" spans="1:11" ht="165">
      <c r="A96" s="91" t="s">
        <v>168</v>
      </c>
      <c r="B96" s="87" t="s">
        <v>205</v>
      </c>
      <c r="C96" s="79">
        <v>3373.6</v>
      </c>
      <c r="D96" s="79">
        <v>0</v>
      </c>
      <c r="E96" s="79">
        <f t="shared" si="5"/>
        <v>0</v>
      </c>
      <c r="F96" s="88"/>
      <c r="G96" s="88"/>
      <c r="H96" s="88"/>
      <c r="I96" s="89">
        <f t="shared" si="9"/>
        <v>3373.6</v>
      </c>
      <c r="J96" s="80">
        <f t="shared" si="9"/>
        <v>0</v>
      </c>
      <c r="K96" s="90">
        <f t="shared" si="10"/>
        <v>0</v>
      </c>
    </row>
    <row r="97" spans="1:11" ht="75">
      <c r="A97" s="91">
        <v>1004</v>
      </c>
      <c r="B97" s="87" t="s">
        <v>189</v>
      </c>
      <c r="C97" s="79">
        <v>20062</v>
      </c>
      <c r="D97" s="79">
        <v>10918.8</v>
      </c>
      <c r="E97" s="79">
        <f t="shared" si="5"/>
        <v>54.42528162695643</v>
      </c>
      <c r="F97" s="88">
        <v>0</v>
      </c>
      <c r="G97" s="88">
        <v>0</v>
      </c>
      <c r="H97" s="88">
        <v>0</v>
      </c>
      <c r="I97" s="89">
        <f t="shared" si="9"/>
        <v>20062</v>
      </c>
      <c r="J97" s="80">
        <f t="shared" si="9"/>
        <v>10918.8</v>
      </c>
      <c r="K97" s="90">
        <f t="shared" si="10"/>
        <v>54.42528162695643</v>
      </c>
    </row>
    <row r="98" spans="1:11" ht="45">
      <c r="A98" s="91">
        <v>1004</v>
      </c>
      <c r="B98" s="87" t="s">
        <v>190</v>
      </c>
      <c r="C98" s="79">
        <v>1664.9</v>
      </c>
      <c r="D98" s="79">
        <v>1664.9</v>
      </c>
      <c r="E98" s="79">
        <f aca="true" t="shared" si="11" ref="E98:E113">D98/C98*100</f>
        <v>100</v>
      </c>
      <c r="F98" s="88">
        <v>0</v>
      </c>
      <c r="G98" s="88">
        <v>0</v>
      </c>
      <c r="H98" s="88">
        <v>0</v>
      </c>
      <c r="I98" s="89">
        <f t="shared" si="9"/>
        <v>1664.9</v>
      </c>
      <c r="J98" s="89">
        <f t="shared" si="9"/>
        <v>1664.9</v>
      </c>
      <c r="K98" s="90">
        <f t="shared" si="10"/>
        <v>100</v>
      </c>
    </row>
    <row r="99" spans="1:11" ht="165">
      <c r="A99" s="91">
        <v>1004</v>
      </c>
      <c r="B99" s="87" t="s">
        <v>191</v>
      </c>
      <c r="C99" s="79">
        <v>98408.9</v>
      </c>
      <c r="D99" s="79">
        <v>82332.2</v>
      </c>
      <c r="E99" s="79">
        <f t="shared" si="11"/>
        <v>83.66336784579444</v>
      </c>
      <c r="F99" s="88">
        <v>0</v>
      </c>
      <c r="G99" s="88">
        <v>0</v>
      </c>
      <c r="H99" s="88">
        <v>0</v>
      </c>
      <c r="I99" s="89">
        <f t="shared" si="9"/>
        <v>98408.9</v>
      </c>
      <c r="J99" s="80">
        <f t="shared" si="9"/>
        <v>82332.2</v>
      </c>
      <c r="K99" s="90">
        <f t="shared" si="10"/>
        <v>83.66336784579444</v>
      </c>
    </row>
    <row r="100" spans="1:11" ht="150">
      <c r="A100" s="91" t="s">
        <v>110</v>
      </c>
      <c r="B100" s="87" t="s">
        <v>293</v>
      </c>
      <c r="C100" s="79">
        <v>31170.5</v>
      </c>
      <c r="D100" s="79">
        <v>6988.6</v>
      </c>
      <c r="E100" s="79">
        <f>D100/C100*100</f>
        <v>22.420557899295808</v>
      </c>
      <c r="F100" s="88">
        <v>0</v>
      </c>
      <c r="G100" s="88">
        <v>0</v>
      </c>
      <c r="H100" s="88">
        <v>0</v>
      </c>
      <c r="I100" s="89">
        <f>C100+F100</f>
        <v>31170.5</v>
      </c>
      <c r="J100" s="80">
        <f>D100+G100</f>
        <v>6988.6</v>
      </c>
      <c r="K100" s="90">
        <f>J100/I100*100</f>
        <v>22.420557899295808</v>
      </c>
    </row>
    <row r="101" spans="1:11" ht="30">
      <c r="A101" s="91">
        <v>1006</v>
      </c>
      <c r="B101" s="87" t="s">
        <v>63</v>
      </c>
      <c r="C101" s="79">
        <v>14683.9</v>
      </c>
      <c r="D101" s="79">
        <v>8924.8</v>
      </c>
      <c r="E101" s="79">
        <f t="shared" si="11"/>
        <v>60.779493186415046</v>
      </c>
      <c r="F101" s="88">
        <v>0</v>
      </c>
      <c r="G101" s="88">
        <v>0</v>
      </c>
      <c r="H101" s="88">
        <v>0</v>
      </c>
      <c r="I101" s="89">
        <f>C101+F101</f>
        <v>14683.9</v>
      </c>
      <c r="J101" s="80">
        <f>D101+G101</f>
        <v>8924.8</v>
      </c>
      <c r="K101" s="90">
        <f t="shared" si="10"/>
        <v>60.779493186415046</v>
      </c>
    </row>
    <row r="102" spans="1:11" ht="15">
      <c r="A102" s="99">
        <v>1100</v>
      </c>
      <c r="B102" s="82" t="s">
        <v>59</v>
      </c>
      <c r="C102" s="83">
        <f>SUM(C103:C105)</f>
        <v>189565.2</v>
      </c>
      <c r="D102" s="83">
        <f>SUM(D103:D105)</f>
        <v>93611.9</v>
      </c>
      <c r="E102" s="83">
        <f>D102/C102*100</f>
        <v>49.38242884242466</v>
      </c>
      <c r="F102" s="96">
        <f>F103+F104</f>
        <v>29582.3</v>
      </c>
      <c r="G102" s="96">
        <f>G103+G104</f>
        <v>19773.3</v>
      </c>
      <c r="H102" s="84">
        <f>G102/F102*100</f>
        <v>66.84165869455721</v>
      </c>
      <c r="I102" s="96">
        <f>SUM(I103:I105)</f>
        <v>218222.5</v>
      </c>
      <c r="J102" s="96">
        <f>SUM(J103:J105)</f>
        <v>112460.19999999998</v>
      </c>
      <c r="K102" s="85">
        <f t="shared" si="10"/>
        <v>51.534649268521804</v>
      </c>
    </row>
    <row r="103" spans="1:11" ht="15">
      <c r="A103" s="91">
        <v>1101</v>
      </c>
      <c r="B103" s="87" t="s">
        <v>83</v>
      </c>
      <c r="C103" s="79">
        <v>15152.4</v>
      </c>
      <c r="D103" s="79">
        <v>11737.6</v>
      </c>
      <c r="E103" s="79">
        <f t="shared" si="11"/>
        <v>77.46363612365037</v>
      </c>
      <c r="F103" s="88">
        <v>29582.3</v>
      </c>
      <c r="G103" s="88">
        <v>19773.3</v>
      </c>
      <c r="H103" s="88">
        <f>G103/F103*100</f>
        <v>66.84165869455721</v>
      </c>
      <c r="I103" s="89">
        <f>C103+F103-925</f>
        <v>43809.7</v>
      </c>
      <c r="J103" s="89">
        <f>D103+G103-925</f>
        <v>30585.9</v>
      </c>
      <c r="K103" s="90">
        <f t="shared" si="10"/>
        <v>69.81536052518051</v>
      </c>
    </row>
    <row r="104" spans="1:11" ht="15">
      <c r="A104" s="91">
        <v>1102</v>
      </c>
      <c r="B104" s="87" t="s">
        <v>84</v>
      </c>
      <c r="C104" s="79">
        <v>174392.6</v>
      </c>
      <c r="D104" s="79">
        <v>81860.9</v>
      </c>
      <c r="E104" s="79">
        <f t="shared" si="11"/>
        <v>46.94058119438554</v>
      </c>
      <c r="F104" s="88">
        <v>0</v>
      </c>
      <c r="G104" s="88">
        <v>0</v>
      </c>
      <c r="H104" s="88">
        <v>0</v>
      </c>
      <c r="I104" s="89">
        <f>C104+F104</f>
        <v>174392.6</v>
      </c>
      <c r="J104" s="89">
        <f>D104+G104</f>
        <v>81860.9</v>
      </c>
      <c r="K104" s="90">
        <f t="shared" si="10"/>
        <v>46.94058119438554</v>
      </c>
    </row>
    <row r="105" spans="1:11" ht="30">
      <c r="A105" s="91" t="s">
        <v>294</v>
      </c>
      <c r="B105" s="87" t="s">
        <v>295</v>
      </c>
      <c r="C105" s="79">
        <v>20.2</v>
      </c>
      <c r="D105" s="79">
        <v>13.4</v>
      </c>
      <c r="E105" s="79">
        <f t="shared" si="11"/>
        <v>66.33663366336634</v>
      </c>
      <c r="F105" s="88"/>
      <c r="G105" s="88"/>
      <c r="H105" s="88"/>
      <c r="I105" s="89">
        <f>C105+F105</f>
        <v>20.2</v>
      </c>
      <c r="J105" s="89">
        <f>D105+G105</f>
        <v>13.4</v>
      </c>
      <c r="K105" s="90">
        <f t="shared" si="10"/>
        <v>66.33663366336634</v>
      </c>
    </row>
    <row r="106" spans="1:11" ht="39" customHeight="1">
      <c r="A106" s="99">
        <v>1200</v>
      </c>
      <c r="B106" s="82" t="s">
        <v>85</v>
      </c>
      <c r="C106" s="83">
        <f>C107</f>
        <v>6758.3</v>
      </c>
      <c r="D106" s="83">
        <f>D107</f>
        <v>5858.3</v>
      </c>
      <c r="E106" s="106">
        <f>D106/C106*100</f>
        <v>86.68304159330009</v>
      </c>
      <c r="F106" s="83">
        <f>F107</f>
        <v>0</v>
      </c>
      <c r="G106" s="83">
        <f>G107</f>
        <v>0</v>
      </c>
      <c r="H106" s="145"/>
      <c r="I106" s="83">
        <f aca="true" t="shared" si="12" ref="I106:J109">C106+F106</f>
        <v>6758.3</v>
      </c>
      <c r="J106" s="83">
        <f t="shared" si="12"/>
        <v>5858.3</v>
      </c>
      <c r="K106" s="93">
        <f t="shared" si="10"/>
        <v>86.68304159330009</v>
      </c>
    </row>
    <row r="107" spans="1:11" ht="15">
      <c r="A107" s="91" t="s">
        <v>114</v>
      </c>
      <c r="B107" s="87" t="s">
        <v>115</v>
      </c>
      <c r="C107" s="79">
        <v>6758.3</v>
      </c>
      <c r="D107" s="79">
        <v>5858.3</v>
      </c>
      <c r="E107" s="79">
        <f>D107/C107*100</f>
        <v>86.68304159330009</v>
      </c>
      <c r="F107" s="88">
        <v>0</v>
      </c>
      <c r="G107" s="88">
        <v>0</v>
      </c>
      <c r="H107" s="88">
        <v>0</v>
      </c>
      <c r="I107" s="89">
        <f t="shared" si="12"/>
        <v>6758.3</v>
      </c>
      <c r="J107" s="89">
        <f t="shared" si="12"/>
        <v>5858.3</v>
      </c>
      <c r="K107" s="90">
        <f>J107/I107*100</f>
        <v>86.68304159330009</v>
      </c>
    </row>
    <row r="108" spans="1:11" ht="13.5" customHeight="1">
      <c r="A108" s="99">
        <v>1300</v>
      </c>
      <c r="B108" s="82" t="s">
        <v>86</v>
      </c>
      <c r="C108" s="83">
        <f aca="true" t="shared" si="13" ref="C108:H108">C109</f>
        <v>117</v>
      </c>
      <c r="D108" s="83">
        <f t="shared" si="13"/>
        <v>109.5</v>
      </c>
      <c r="E108" s="83">
        <f t="shared" si="13"/>
        <v>93.58974358974359</v>
      </c>
      <c r="F108" s="83">
        <f t="shared" si="13"/>
        <v>0</v>
      </c>
      <c r="G108" s="83">
        <f t="shared" si="13"/>
        <v>0</v>
      </c>
      <c r="H108" s="92">
        <f t="shared" si="13"/>
        <v>0</v>
      </c>
      <c r="I108" s="83">
        <f t="shared" si="12"/>
        <v>117</v>
      </c>
      <c r="J108" s="83">
        <f t="shared" si="12"/>
        <v>109.5</v>
      </c>
      <c r="K108" s="93">
        <f t="shared" si="10"/>
        <v>93.58974358974359</v>
      </c>
    </row>
    <row r="109" spans="1:11" ht="30">
      <c r="A109" s="91">
        <v>1301</v>
      </c>
      <c r="B109" s="87" t="s">
        <v>87</v>
      </c>
      <c r="C109" s="79">
        <v>117</v>
      </c>
      <c r="D109" s="79">
        <v>109.5</v>
      </c>
      <c r="E109" s="79">
        <f t="shared" si="11"/>
        <v>93.58974358974359</v>
      </c>
      <c r="F109" s="88"/>
      <c r="G109" s="88">
        <v>0</v>
      </c>
      <c r="H109" s="88">
        <v>0</v>
      </c>
      <c r="I109" s="89">
        <f t="shared" si="12"/>
        <v>117</v>
      </c>
      <c r="J109" s="89">
        <f t="shared" si="12"/>
        <v>109.5</v>
      </c>
      <c r="K109" s="90">
        <f t="shared" si="10"/>
        <v>93.58974358974359</v>
      </c>
    </row>
    <row r="110" spans="1:11" ht="15" customHeight="1">
      <c r="A110" s="99">
        <v>1400</v>
      </c>
      <c r="B110" s="82" t="s">
        <v>64</v>
      </c>
      <c r="C110" s="83">
        <f>SUM(C111:C113)</f>
        <v>326914.7</v>
      </c>
      <c r="D110" s="83">
        <f>SUM(D111:D113)</f>
        <v>271845.4</v>
      </c>
      <c r="E110" s="83">
        <f>D110/C110*100</f>
        <v>83.1548413087573</v>
      </c>
      <c r="F110" s="96">
        <f>F111+F112+F113</f>
        <v>0</v>
      </c>
      <c r="G110" s="96">
        <f>SUM(G111:G113)</f>
        <v>0</v>
      </c>
      <c r="H110" s="96"/>
      <c r="I110" s="96">
        <v>0</v>
      </c>
      <c r="J110" s="96">
        <v>0</v>
      </c>
      <c r="K110" s="85">
        <v>0</v>
      </c>
    </row>
    <row r="111" spans="1:11" ht="45">
      <c r="A111" s="91">
        <v>1401</v>
      </c>
      <c r="B111" s="87" t="s">
        <v>81</v>
      </c>
      <c r="C111" s="79">
        <v>125336.3</v>
      </c>
      <c r="D111" s="79">
        <v>108624.9</v>
      </c>
      <c r="E111" s="79">
        <f t="shared" si="11"/>
        <v>86.6667517710352</v>
      </c>
      <c r="F111" s="88">
        <v>0</v>
      </c>
      <c r="G111" s="88">
        <v>0</v>
      </c>
      <c r="H111" s="88">
        <v>0</v>
      </c>
      <c r="I111" s="89">
        <v>0</v>
      </c>
      <c r="J111" s="80">
        <v>0</v>
      </c>
      <c r="K111" s="90">
        <v>0</v>
      </c>
    </row>
    <row r="112" spans="1:11" ht="12.75" customHeight="1">
      <c r="A112" s="91">
        <v>1402</v>
      </c>
      <c r="B112" s="87" t="s">
        <v>82</v>
      </c>
      <c r="C112" s="79">
        <v>171346.4</v>
      </c>
      <c r="D112" s="79">
        <v>137800.1</v>
      </c>
      <c r="E112" s="79">
        <f t="shared" si="11"/>
        <v>80.4219405835197</v>
      </c>
      <c r="F112" s="88">
        <v>0</v>
      </c>
      <c r="G112" s="88">
        <v>0</v>
      </c>
      <c r="H112" s="88">
        <v>0</v>
      </c>
      <c r="I112" s="89">
        <v>0</v>
      </c>
      <c r="J112" s="80">
        <v>0</v>
      </c>
      <c r="K112" s="90">
        <v>0</v>
      </c>
    </row>
    <row r="113" spans="1:11" ht="12.75" customHeight="1">
      <c r="A113" s="91">
        <v>1403</v>
      </c>
      <c r="B113" s="87" t="s">
        <v>95</v>
      </c>
      <c r="C113" s="79">
        <v>30232</v>
      </c>
      <c r="D113" s="79">
        <v>25420.4</v>
      </c>
      <c r="E113" s="79">
        <f t="shared" si="11"/>
        <v>84.08441386610215</v>
      </c>
      <c r="F113" s="88">
        <v>0</v>
      </c>
      <c r="G113" s="88">
        <v>0</v>
      </c>
      <c r="H113" s="88">
        <v>0</v>
      </c>
      <c r="I113" s="89">
        <v>0</v>
      </c>
      <c r="J113" s="80">
        <v>0</v>
      </c>
      <c r="K113" s="90">
        <v>0</v>
      </c>
    </row>
    <row r="114" spans="1:11" ht="15" customHeight="1" thickBot="1">
      <c r="A114" s="229" t="s">
        <v>65</v>
      </c>
      <c r="B114" s="230"/>
      <c r="C114" s="102">
        <f>C9+C18+C20+C25+C47+C75+C83+C89+C91+C102+C106+C108+C110</f>
        <v>4134718.6999999997</v>
      </c>
      <c r="D114" s="102">
        <f>D9+D18+D20+D25+D47+D75+D83+D89+D91+D102+D106+D108+D110</f>
        <v>3072337.3999999994</v>
      </c>
      <c r="E114" s="102">
        <f>D114/C114*100</f>
        <v>74.30583850843347</v>
      </c>
      <c r="F114" s="102">
        <f>F9+F18+F20+F25+F47+F75+F83+F89+F91+F102+F106+F108+F110</f>
        <v>613537.7999999999</v>
      </c>
      <c r="G114" s="102">
        <f>G110+G108+G106+G91+G89+G83+G75+G47+G25+G21+G18+G9+G20+G102</f>
        <v>445367.99999999994</v>
      </c>
      <c r="H114" s="103">
        <f>G114/F114*100</f>
        <v>72.59014847984916</v>
      </c>
      <c r="I114" s="102">
        <f>I110+I108+I106+I102+I91+I89+I83+I75+I47+I25+I20+I18+I9</f>
        <v>4288622.6</v>
      </c>
      <c r="J114" s="102">
        <f>J110+J108+J106+J102+J91+J89+J83+J75+J47+J25+J20+J18+J9</f>
        <v>3150655.8</v>
      </c>
      <c r="K114" s="104">
        <f t="shared" si="10"/>
        <v>73.46544785731439</v>
      </c>
    </row>
    <row r="115" spans="1:11" ht="12.75" customHeight="1">
      <c r="A115" s="9"/>
      <c r="B115" s="5"/>
      <c r="C115" s="53"/>
      <c r="D115" s="31"/>
      <c r="E115" s="41"/>
      <c r="F115" s="21"/>
      <c r="G115" s="33"/>
      <c r="H115" s="33"/>
      <c r="I115" s="45"/>
      <c r="J115" s="45"/>
      <c r="K115" s="45"/>
    </row>
    <row r="116" spans="1:11" ht="15" customHeight="1">
      <c r="A116" s="10"/>
      <c r="B116" s="6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10"/>
      <c r="B117" s="6"/>
      <c r="C117" s="54"/>
      <c r="D117" s="32"/>
      <c r="E117" s="41"/>
      <c r="F117" s="21"/>
      <c r="G117" s="33"/>
      <c r="H117" s="33"/>
      <c r="I117" s="44"/>
      <c r="J117" s="44"/>
      <c r="K117" s="45"/>
    </row>
    <row r="118" spans="1:11" ht="12.75" customHeight="1">
      <c r="A118" s="231" t="s">
        <v>124</v>
      </c>
      <c r="B118" s="231"/>
      <c r="C118" s="231"/>
      <c r="D118" s="60"/>
      <c r="E118" s="61"/>
      <c r="F118" s="61"/>
      <c r="G118" s="33"/>
      <c r="H118" s="33"/>
      <c r="I118" s="45"/>
      <c r="J118" s="45"/>
      <c r="K118" s="45"/>
    </row>
    <row r="119" spans="1:11" ht="12.75" customHeight="1">
      <c r="A119" s="231" t="s">
        <v>125</v>
      </c>
      <c r="B119" s="231"/>
      <c r="C119" s="231"/>
      <c r="D119" s="62"/>
      <c r="E119" s="232" t="s">
        <v>66</v>
      </c>
      <c r="F119" s="232"/>
      <c r="G119" s="33"/>
      <c r="H119" s="33"/>
      <c r="I119" s="44"/>
      <c r="J119" s="45"/>
      <c r="K119" s="45"/>
    </row>
    <row r="120" spans="1:11" ht="12.75" customHeight="1">
      <c r="A120" s="63"/>
      <c r="B120" s="64"/>
      <c r="C120" s="65"/>
      <c r="D120" s="66"/>
      <c r="E120" s="67"/>
      <c r="F120" s="68"/>
      <c r="G120" s="33"/>
      <c r="H120" s="33"/>
      <c r="I120" s="44"/>
      <c r="J120" s="45"/>
      <c r="K120" s="45"/>
    </row>
    <row r="121" spans="1:11" ht="12.75" customHeight="1">
      <c r="A121" s="231" t="s">
        <v>314</v>
      </c>
      <c r="B121" s="231"/>
      <c r="C121" s="231"/>
      <c r="D121" s="69"/>
      <c r="E121" s="232" t="s">
        <v>315</v>
      </c>
      <c r="F121" s="232"/>
      <c r="G121" s="33"/>
      <c r="H121" s="33"/>
      <c r="I121" s="44"/>
      <c r="J121" s="45"/>
      <c r="K121" s="45"/>
    </row>
    <row r="122" spans="1:11" ht="12.75" customHeight="1">
      <c r="A122" s="63"/>
      <c r="B122" s="70"/>
      <c r="C122" s="71"/>
      <c r="D122" s="72"/>
      <c r="E122" s="67"/>
      <c r="F122" s="68"/>
      <c r="G122" s="33"/>
      <c r="H122" s="33"/>
      <c r="I122" s="44"/>
      <c r="J122" s="45"/>
      <c r="K122" s="45"/>
    </row>
    <row r="123" spans="1:11" ht="12.75" customHeight="1">
      <c r="A123" s="231" t="s">
        <v>154</v>
      </c>
      <c r="B123" s="231"/>
      <c r="C123" s="231"/>
      <c r="D123" s="69"/>
      <c r="E123" s="247" t="s">
        <v>203</v>
      </c>
      <c r="F123" s="247"/>
      <c r="G123" s="33"/>
      <c r="H123" s="33"/>
      <c r="I123" s="44"/>
      <c r="J123" s="45"/>
      <c r="K123" s="45"/>
    </row>
    <row r="124" spans="1:11" ht="12.75" customHeight="1">
      <c r="A124" s="73"/>
      <c r="B124" s="74"/>
      <c r="C124" s="75"/>
      <c r="D124" s="60"/>
      <c r="E124" s="60"/>
      <c r="F124" s="61"/>
      <c r="G124" s="33"/>
      <c r="H124" s="33"/>
      <c r="I124" s="45"/>
      <c r="J124" s="45"/>
      <c r="K124" s="45"/>
    </row>
    <row r="125" spans="1:6" ht="12.75" customHeight="1">
      <c r="A125" s="76"/>
      <c r="B125" s="76"/>
      <c r="C125" s="77" t="s">
        <v>156</v>
      </c>
      <c r="D125" s="76" t="s">
        <v>157</v>
      </c>
      <c r="E125" s="78" t="s">
        <v>158</v>
      </c>
      <c r="F125" s="76"/>
    </row>
    <row r="126" spans="1:11" ht="12.75">
      <c r="A126" s="73"/>
      <c r="B126" s="74"/>
      <c r="C126" s="75"/>
      <c r="D126" s="60"/>
      <c r="E126" s="60"/>
      <c r="F126" s="61"/>
      <c r="G126" s="33"/>
      <c r="H126" s="33"/>
      <c r="I126" s="45"/>
      <c r="J126" s="45"/>
      <c r="K126" s="45"/>
    </row>
    <row r="127" spans="1:6" ht="12.75">
      <c r="A127" s="76"/>
      <c r="B127" s="76"/>
      <c r="C127" s="77"/>
      <c r="D127" s="76"/>
      <c r="E127" s="78"/>
      <c r="F127" s="76"/>
    </row>
  </sheetData>
  <sheetProtection/>
  <mergeCells count="35">
    <mergeCell ref="K20:K21"/>
    <mergeCell ref="A123:C123"/>
    <mergeCell ref="E123:F123"/>
    <mergeCell ref="I20:I21"/>
    <mergeCell ref="E20:E21"/>
    <mergeCell ref="A121:C121"/>
    <mergeCell ref="E121:F121"/>
    <mergeCell ref="A1:K1"/>
    <mergeCell ref="A3:A8"/>
    <mergeCell ref="B3:B5"/>
    <mergeCell ref="C3:E3"/>
    <mergeCell ref="F3:H3"/>
    <mergeCell ref="K4:K5"/>
    <mergeCell ref="B6:K8"/>
    <mergeCell ref="I3:K3"/>
    <mergeCell ref="C4:C5"/>
    <mergeCell ref="D4:D5"/>
    <mergeCell ref="A114:B114"/>
    <mergeCell ref="A118:C118"/>
    <mergeCell ref="A119:C119"/>
    <mergeCell ref="E119:F119"/>
    <mergeCell ref="H4:H5"/>
    <mergeCell ref="J20:J21"/>
    <mergeCell ref="G20:G21"/>
    <mergeCell ref="H20:H21"/>
    <mergeCell ref="F20:F21"/>
    <mergeCell ref="F4:F5"/>
    <mergeCell ref="J4:J5"/>
    <mergeCell ref="A20:A21"/>
    <mergeCell ref="B20:B21"/>
    <mergeCell ref="C20:C21"/>
    <mergeCell ref="D20:D21"/>
    <mergeCell ref="I4:I5"/>
    <mergeCell ref="G4:G5"/>
    <mergeCell ref="E4:E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2013-10-17T10:58:38Z</cp:lastPrinted>
  <dcterms:created xsi:type="dcterms:W3CDTF">2010-03-15T11:07:02Z</dcterms:created>
  <dcterms:modified xsi:type="dcterms:W3CDTF">2015-11-18T05:52:48Z</dcterms:modified>
  <cp:category/>
  <cp:version/>
  <cp:contentType/>
  <cp:contentStatus/>
</cp:coreProperties>
</file>