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16" windowHeight="8592" activeTab="1"/>
  </bookViews>
  <sheets>
    <sheet name="доходы" sheetId="1" r:id="rId1"/>
    <sheet name="расходы" sheetId="2" r:id="rId2"/>
  </sheets>
  <definedNames>
    <definedName name="_xlnm.Print_Titles" localSheetId="0">'доходы'!$4:$6</definedName>
  </definedNames>
  <calcPr fullCalcOnLoad="1"/>
</workbook>
</file>

<file path=xl/sharedStrings.xml><?xml version="1.0" encoding="utf-8"?>
<sst xmlns="http://schemas.openxmlformats.org/spreadsheetml/2006/main" count="647" uniqueCount="249">
  <si>
    <t>БЕЗВОЗМЕЗДНЫЕ ПОСТУПЛЕНИЯ</t>
  </si>
  <si>
    <t>00020000000000000000</t>
  </si>
  <si>
    <t>00020700000000000180</t>
  </si>
  <si>
    <t>00010000000000000000</t>
  </si>
  <si>
    <t>ВСЕГО ДОХОДОВ</t>
  </si>
  <si>
    <t>Налоги на совокупный доход</t>
  </si>
  <si>
    <t>Налоги  на  имущество</t>
  </si>
  <si>
    <t>Штрафы, санкции, возмещение  ущерба</t>
  </si>
  <si>
    <t>00010500000000000000</t>
  </si>
  <si>
    <t>00010600000000000000</t>
  </si>
  <si>
    <t>00010800000000000000</t>
  </si>
  <si>
    <t>00011100000000000000</t>
  </si>
  <si>
    <t>00011600000000000000</t>
  </si>
  <si>
    <t>Платежи при пользовании  природными  ресурсами</t>
  </si>
  <si>
    <t>00011200000000000000</t>
  </si>
  <si>
    <t>Доходы от продажи материальных и нематериальных активов</t>
  </si>
  <si>
    <t>Наименование дохода</t>
  </si>
  <si>
    <t>Доходы от использования имущества , находящегося  в государственной и муниципальной собственности</t>
  </si>
  <si>
    <t>00011400000000000000</t>
  </si>
  <si>
    <t>Прочие безвозмездные поступления</t>
  </si>
  <si>
    <t>Безвозмездные поступления от других бюджетов бюджетной системы Российской Федерации</t>
  </si>
  <si>
    <t>Государственная пошлина</t>
  </si>
  <si>
    <t xml:space="preserve">Налоги на прибыль, доходы </t>
  </si>
  <si>
    <t>00010100000000000000</t>
  </si>
  <si>
    <t>Октябрьский район</t>
  </si>
  <si>
    <t>городское поселение Андра</t>
  </si>
  <si>
    <t>городское поселение Октябрьское</t>
  </si>
  <si>
    <t>городское поселение Приобье</t>
  </si>
  <si>
    <t>городское поселение Талинка</t>
  </si>
  <si>
    <t>сельское поселение Каменное</t>
  </si>
  <si>
    <t>сельское поселение Карымкары</t>
  </si>
  <si>
    <t>сельское поселение М-Атлым</t>
  </si>
  <si>
    <t>сельское поселение Перегрёбное</t>
  </si>
  <si>
    <t>сельское поселение Сергино</t>
  </si>
  <si>
    <t>сельское поселение Унъюган</t>
  </si>
  <si>
    <t>сельское поселение Шеркалы</t>
  </si>
  <si>
    <t>Октябрьский район (консолидированный бюджет)</t>
  </si>
  <si>
    <t>00010900000000000000</t>
  </si>
  <si>
    <t>Задолженность и перерасчеты по отмененным налогам, сборам и иным обязательным платежам</t>
  </si>
  <si>
    <t>00011700000000000000</t>
  </si>
  <si>
    <t>Прочие неналоговые доходы</t>
  </si>
  <si>
    <t xml:space="preserve"> </t>
  </si>
  <si>
    <t>00011300000000000000</t>
  </si>
  <si>
    <t>Доходы от оказания платных услуг и компенсации затрат государства</t>
  </si>
  <si>
    <t>00011900000000000000</t>
  </si>
  <si>
    <t>Возврат остатков субсидий и субвенций прошлых лет</t>
  </si>
  <si>
    <t>КБК</t>
  </si>
  <si>
    <t>112</t>
  </si>
  <si>
    <t>111</t>
  </si>
  <si>
    <t>108</t>
  </si>
  <si>
    <t>116</t>
  </si>
  <si>
    <t>202</t>
  </si>
  <si>
    <t>207</t>
  </si>
  <si>
    <t>114</t>
  </si>
  <si>
    <t>101</t>
  </si>
  <si>
    <t>105</t>
  </si>
  <si>
    <t>106</t>
  </si>
  <si>
    <t xml:space="preserve"> -</t>
  </si>
  <si>
    <t>113</t>
  </si>
  <si>
    <t>контроль</t>
  </si>
  <si>
    <t>00011500000000000000</t>
  </si>
  <si>
    <t>Административные платежи и сборы</t>
  </si>
  <si>
    <t>=</t>
  </si>
  <si>
    <t>Возврат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</si>
  <si>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от возврата бюджетами бюджетной системы РФ и организациями остатков субсидий, субвенций и иных межбюджетных трансфертов, имеющих целевое назначение, прошлых лет</t>
  </si>
  <si>
    <t>00021800000000000151</t>
  </si>
  <si>
    <t>00021900000000000000</t>
  </si>
  <si>
    <t>00020200000000000000</t>
  </si>
  <si>
    <t>НАЛОГОВЫЕ И НЕНАЛОГОВЫЕ ДОХОДЫ</t>
  </si>
  <si>
    <t>(тыс.руб.)</t>
  </si>
  <si>
    <t>00010300000000000000</t>
  </si>
  <si>
    <t>Акцизы</t>
  </si>
  <si>
    <t>1 квартал</t>
  </si>
  <si>
    <t>2 квартал</t>
  </si>
  <si>
    <t>3 квартал</t>
  </si>
  <si>
    <t>4 квартал</t>
  </si>
  <si>
    <t>Первонач. план на 2019 год</t>
  </si>
  <si>
    <t>Уточн. план на 2019 год</t>
  </si>
  <si>
    <t xml:space="preserve">% исп-ия к уточн. плану на 2019 год </t>
  </si>
  <si>
    <t xml:space="preserve">% исп-ия к первонач. плану на 2019 год </t>
  </si>
  <si>
    <t>План                 на 1 полугодие 2019 года</t>
  </si>
  <si>
    <t>Отчет об исполнении консолидированного бюджета Октябрьского района по состоянию на 01.06.2019</t>
  </si>
  <si>
    <t>Исполнение на 01.06.2019</t>
  </si>
  <si>
    <t xml:space="preserve">% исп-ия к плану за 1 полугодие 2019 года </t>
  </si>
  <si>
    <t>Отчет  об  исполнении  консолидированного  бюджета  района  по  расходам на 1 июня 2019 года</t>
  </si>
  <si>
    <t>ФКР</t>
  </si>
  <si>
    <t>Наименование показателя</t>
  </si>
  <si>
    <t>Бюджет Район</t>
  </si>
  <si>
    <t>Бюджет Поселения</t>
  </si>
  <si>
    <t>Консолидированный бюджет</t>
  </si>
  <si>
    <t>План на год</t>
  </si>
  <si>
    <t>исполнение на 01.06.2019</t>
  </si>
  <si>
    <t>% исполнения</t>
  </si>
  <si>
    <t>исполнения на 01.06.2019</t>
  </si>
  <si>
    <t>РАСХОДЫ</t>
  </si>
  <si>
    <t>01</t>
  </si>
  <si>
    <t>Общегосударственные  вопросы</t>
  </si>
  <si>
    <t>0102</t>
  </si>
  <si>
    <t>Функционирование  высшего  должностного  лица</t>
  </si>
  <si>
    <t>0103</t>
  </si>
  <si>
    <t>Функционирование  законодательных (представительных)  органов власти</t>
  </si>
  <si>
    <t>0104</t>
  </si>
  <si>
    <t>Функционирование  органов  местного   самоуправления</t>
  </si>
  <si>
    <t>0105</t>
  </si>
  <si>
    <t>Судебная система</t>
  </si>
  <si>
    <t>0106</t>
  </si>
  <si>
    <t>Обеспечение  деятельности  финансовых  органов</t>
  </si>
  <si>
    <t>0107</t>
  </si>
  <si>
    <t>Обеспечение проведения выборов и референдумов</t>
  </si>
  <si>
    <t>0111</t>
  </si>
  <si>
    <t>Резервный  фонд</t>
  </si>
  <si>
    <t>0113</t>
  </si>
  <si>
    <t>Другие  общегосударственные  вопросы</t>
  </si>
  <si>
    <t>02</t>
  </si>
  <si>
    <t>Национальная оборона</t>
  </si>
  <si>
    <t>0203</t>
  </si>
  <si>
    <t>Содержание инспекторов ВУС</t>
  </si>
  <si>
    <t>03</t>
  </si>
  <si>
    <t>Национальная  безопасность и правоохранительная деятельность</t>
  </si>
  <si>
    <t>0304</t>
  </si>
  <si>
    <t xml:space="preserve">ЗАГС </t>
  </si>
  <si>
    <t>0309</t>
  </si>
  <si>
    <t>Предупреждение и  ликвидация  последствий ЧС</t>
  </si>
  <si>
    <t>0314</t>
  </si>
  <si>
    <t>Другие вопросы в области национальной безопасности и правоохранительной деятельности</t>
  </si>
  <si>
    <t>04</t>
  </si>
  <si>
    <t>Национальная  экономика</t>
  </si>
  <si>
    <t>0401</t>
  </si>
  <si>
    <t>Государственная программа "Содействие занятости населения в Ханты-Мансийском автономном округе – Югре на 2014 – 2020 годы"</t>
  </si>
  <si>
    <t>0405</t>
  </si>
  <si>
    <t>Сельское хозяйство и рыболовство</t>
  </si>
  <si>
    <t>0408</t>
  </si>
  <si>
    <t>Воздушный транспорт (1120161100)</t>
  </si>
  <si>
    <t>Автомобильный транспорт (1140161100 - район, 4030061100 - поселения)</t>
  </si>
  <si>
    <t>Водный транспорт (1130161100)</t>
  </si>
  <si>
    <t>0409</t>
  </si>
  <si>
    <t>Муниципальная  программа" Развитие транспортной  системы муниципального  образования Октябрьский  район" (11101S2390)</t>
  </si>
  <si>
    <t>Муниципальная  программа" Развитие транспортной  системы муниципального  образования Октябрьский  район"  (1110182390) окружные средства</t>
  </si>
  <si>
    <t>Содержание автомобильных дорог общего пользования (1110199990, 1150182730, 11501S2730)  (дорожный фонд)</t>
  </si>
  <si>
    <t>Реализация  мероприятий  муниципальной  программы "Осуществление поселком городского  типа Октябрьское функций  административного центра  муниципального  образования Октябрьский  район" (150029990)</t>
  </si>
  <si>
    <t>Основное мероприятие "Реализация мероприятий в рамках дорожной деятельности" (2200299990)</t>
  </si>
  <si>
    <t>Расходы на реализацию мероприятий (2560199990, 2570199990)</t>
  </si>
  <si>
    <t>Содержание и ремонт автомобильных дорог общего пользования (4030099990) (средства бюджетов поселений)</t>
  </si>
  <si>
    <t>0410</t>
  </si>
  <si>
    <t>Связь и информатика</t>
  </si>
  <si>
    <t>0412</t>
  </si>
  <si>
    <t>Реализация мероприятий муниципальной  программы "Управление  муниципальной  собственностью Октябрьского района" земля (1800299990)</t>
  </si>
  <si>
    <t>Расходы на стимулирование развития жилищного строительства (0910282671, 09102S2671)</t>
  </si>
  <si>
    <t>Реализация мероприятий муниципальной программы "Поддержка малого и среднего предпринимательства в Октябрьском районе" (0800299990, 0800199990, 080I8S2380) местный бюджет</t>
  </si>
  <si>
    <t>Субсидии на государственную поддержку малого и среднего предпринимательства в рамках программы "Поддержка малого и среднего предпринимательства в Октябрьском районе" (080I482380, 080I882380) окружной бюджет</t>
  </si>
  <si>
    <t>Осуществление полномочий по государственному управлению охраной труда (1910184120) тс. 01.30.39</t>
  </si>
  <si>
    <t>Осуществление полномочий по государственному управлению охраной труда (1910199990) местный бюджет</t>
  </si>
  <si>
    <t>Реализация мероприятий в рамках непрограммного направления деятельности (4030099990)</t>
  </si>
  <si>
    <t>05</t>
  </si>
  <si>
    <t>Жилищно-коммунальное хозяйство</t>
  </si>
  <si>
    <t>0501</t>
  </si>
  <si>
    <t>Развитие жилищной сферы в муниципальном образовании Октябрьский район" (0910182661, 09101S2661, 091F382661, 091F3S2661 ) 01.40.04, 01.02.00, 01.00.00</t>
  </si>
  <si>
    <t xml:space="preserve"> "Управление и распоряжение  муниципальным  имуществом муниципального  образования Октябрьский  район" (1800199990)</t>
  </si>
  <si>
    <t>Укрепление материально-технической базы объектов муниципальной собственности (1800742110)</t>
  </si>
  <si>
    <t>Строительство и реконструкция  объектов  муниципальной  собственности (0910342110)</t>
  </si>
  <si>
    <t>Капитальный ремонт жилого фонда 1030142120 (40600S2420,  40600S2430, 4060099990 средства поселений)</t>
  </si>
  <si>
    <t>0502</t>
  </si>
  <si>
    <t>Предоставление субсидий организациям на реализацию подпрограммы "Обеспечение равных прав потребителей на получение энергетических ресурсов" муниципальной программы "Жилищно-коммунальный комплекс и городская среда в муниципальном образовании Октябрьский район" (предоставление субсидий организациям на теплоснабжение, водоснабжение, водоотведение, услуги бани) (1020161100 т.с 01.00) местный бюджет</t>
  </si>
  <si>
    <t>Предоставление субсидий организациям на реализацию подпрограммы "Обеспечение равных прав потребителей на получение энергетических ресурсов" муниципальной программы "Жилищно-коммунальный комплекс и городская среда в муниципальном образовании Октябрьский район" (предоставление субсидий организациям в городских поселениях Талинка, Октябрьское) (1020161100 т.с. 01.04) местный бюджет</t>
  </si>
  <si>
    <t>Предоставление субсидий организациям на реализацию подпрограммы "Обеспечение равных прав потребителей на получение энергетических ресурсов" муниципальной программы "Жилищно-коммунальный комплекс и городская среда в муниципальном образовании Октябрьский район"  (электроснабжение) (10201S2240) местный бюджет</t>
  </si>
  <si>
    <t>Предоставление субсидий организациям на реализацию подпрограммы "Обеспечение равных прав потребителей на получение энергетических ресурсов" муниципальной программы "Жилищно-коммунальный комплекс и городская среда в муниципальном образовании Октябрьский район" (электроснабжение) (1020182240) окружной бюджет</t>
  </si>
  <si>
    <t>Субвенции на возмещение недополученных доходов организациям, осуществляющим реализацию электрической энергии населению и приравненным к ним категориям потребителей в зоне децентрализованного электроснабжения автономного округа по социально ориентированным тарифам и сжиженного газа по социально-ориентированным розничным ценам в рамках  подпрограммы "Обеспечение  равных  прав потребителей на получение  энергетических  ресурсов" муниципальной  программы "Жилищно-коммунальный комплекс и городская среда в муниципальном образовании Октябрьский район"  (1020184230)</t>
  </si>
  <si>
    <t>Иные  межбюджетные трансферты  на реконструкцию, расширение, модернизацию, строительство и капитальный ремонт объектов коммунального комплекса в рамках подпрограммы "Создание условий для обеспечения качественными коммунальными услугами"  муниципальной  программы "Жилищно-коммунальный комплекс и городская среда в муниципальном образовании Октябрьский район" ОЗП (1010182591, 10101S2591, 1010199990)</t>
  </si>
  <si>
    <t>Расходы на капитальный ремонт муниципального жилищного фонда (1030142120)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</si>
  <si>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 (4060061100, 40600221400, 4060021410)</t>
  </si>
  <si>
    <t>Подготовка к зиме (4060099990)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</si>
  <si>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 (4110089020)</t>
  </si>
  <si>
    <t>0503</t>
  </si>
  <si>
    <t>Реализация  мероприятий  муниципальной  программы "Осуществление поселком городского  типа Октябрьское функций  административного центра  муниципального  образования Октябрьский  район" (150019990)</t>
  </si>
  <si>
    <t>Иные межбюджетные трансферты на финансирование наказов избирателей депутатам Думы ХМАО-Югры  (4120085160)</t>
  </si>
  <si>
    <t>"Улучшение экологической ситуации на территории Октябрьского района" строительство и реконструкция объектов муниципальной собственности (0600142110)</t>
  </si>
  <si>
    <t>Расходы по содействию местному самоуправлению в развитии исторических и иных местных традиций в рамках непрограммного направления  деятельности (1640482420) 4060082420, 0100199990 доля поселения 40600S2420</t>
  </si>
  <si>
    <t>Субсидии на формирование современной городской среды (105F255550)</t>
  </si>
  <si>
    <t>Расходы на капитальный ремонт муниципального жилищного фонда (10501S2600, 105F282600)</t>
  </si>
  <si>
    <t>Увеличение количества благоустроенных дворовых территорий и мест общего пользования (1050199990)</t>
  </si>
  <si>
    <t>Внешнее благоустройство 1060199990 (4060099990)</t>
  </si>
  <si>
    <t>0505</t>
  </si>
  <si>
    <t>Администрирование по жилищному отделу</t>
  </si>
  <si>
    <t>06</t>
  </si>
  <si>
    <t>Охрана окружающей среды</t>
  </si>
  <si>
    <t>0605</t>
  </si>
  <si>
    <t>Другие вопросы в области охраны окружающей среды</t>
  </si>
  <si>
    <t>07</t>
  </si>
  <si>
    <t>Образование</t>
  </si>
  <si>
    <t>0701</t>
  </si>
  <si>
    <t>Дошкольное образование</t>
  </si>
  <si>
    <t>Субсидии на строительство и реконструкцию дошкольных образовательных и общеобразовательных учреждений в рамках подпрограммы "Общее образование и дополнительное образование"  муниципальной  программы "Развитие образования в Октябрьском  районе" (0140482030, 01404S2030) 01.40.18 и местн.</t>
  </si>
  <si>
    <t>0702</t>
  </si>
  <si>
    <t>Общее образование</t>
  </si>
  <si>
    <t>Бесплатное питание (0140284030)</t>
  </si>
  <si>
    <t>Субсидии на строительство и реконструкцию дошкольных образовательных и общеобразовательных учреждений в рамках подпрограммы "Общее образование и дополнительное образование"  муниципальной  программы "Развитие образования в Октябрьском  районе" (0140482030) 01.40.18 и местн.</t>
  </si>
  <si>
    <t>0703</t>
  </si>
  <si>
    <t>Дополнительное образование детей</t>
  </si>
  <si>
    <t>0707</t>
  </si>
  <si>
    <t>Молодежная политика  и оздоровление   детей</t>
  </si>
  <si>
    <t>0709</t>
  </si>
  <si>
    <t>Другие вопросы в области  образования</t>
  </si>
  <si>
    <t>08</t>
  </si>
  <si>
    <t>Культура и кинематография</t>
  </si>
  <si>
    <t>0801</t>
  </si>
  <si>
    <t>Культура</t>
  </si>
  <si>
    <t>Подпрограмма "Библиотечное дело" (0310182520, 03101S2520)</t>
  </si>
  <si>
    <t>0802</t>
  </si>
  <si>
    <t>Кинематография</t>
  </si>
  <si>
    <t>0804</t>
  </si>
  <si>
    <t>Другие вопросы в области культуры, кинематографии</t>
  </si>
  <si>
    <t>09</t>
  </si>
  <si>
    <t xml:space="preserve">Здравоохранение </t>
  </si>
  <si>
    <t>0909</t>
  </si>
  <si>
    <t>Бюджетные инвестиции в объекты капитального строительства государственной собственности субъектов РФ (1800542110)</t>
  </si>
  <si>
    <t>Расходы на организацию мероприятий по проведению дезинсекции и дератизации (1800684280)</t>
  </si>
  <si>
    <t>Социальная политика</t>
  </si>
  <si>
    <t>Пенсионное обеспечение</t>
  </si>
  <si>
    <t>Субвенции на осуществление полномочий по обеспечению жильем отдельных категорий граждан, установленных федеральным законом от 12.01.1995 № 5-ФЗ "О ветеранах" и …" (0920251350) 01.20.04</t>
  </si>
  <si>
    <t>1003</t>
  </si>
  <si>
    <t>Субсидии на софинансирование мероприятий подпрограммы "Обеспечение жильем молодых семей"  за счет средств бюджета автономного округа (0920251760)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</si>
  <si>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общеобразовательную программу дошкольного образования (0140284050) тс 01.30.09</t>
  </si>
  <si>
    <t>Субвенции на предоставление дополнительных мер социальной поддержки детям-сиротам и детям, оставшимся без попечения родителей, а так же лицам из числа детей-сирот и детей, оставшихся без попечения родителей, усыновителям, приемным родителям, патронатных воспитателям и воспитателям детских домов семейного типа в рамках подпрограммы "Дети Югры" государственной программы "Социальная поддержка жителей ХМАО-Югры на 2014-2020 годы" (1310184060)</t>
  </si>
  <si>
    <t>1004</t>
  </si>
  <si>
    <t>Субвенции на обеспечение предоставления жилых помещений детям-сиротам и детям, оставшимся без попечения родителей, лицам из числа по договорам найма специализированных жилых помещений в рамках подпрограммы "Преодоление социальной исключенности" государственной программы "Социальная поддержка жителей Ханты-Мансийского автономного округа - Югры" за счет средств автономного округа (1310184310)</t>
  </si>
  <si>
    <t>Обеспечение жильем молодых семей (09201L4970) 01.40.02, 01.02.00</t>
  </si>
  <si>
    <t>Осуществление деятельности отдела по опеке и попечительству</t>
  </si>
  <si>
    <t>Физическая культура и спорт</t>
  </si>
  <si>
    <t>Физическая культура</t>
  </si>
  <si>
    <t>Массовый спорт</t>
  </si>
  <si>
    <t>Средства массовой информации</t>
  </si>
  <si>
    <t>1202</t>
  </si>
  <si>
    <t>Периодическая печать и издательства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</si>
  <si>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</si>
  <si>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</si>
  <si>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Межбюджетные трансферты</t>
  </si>
  <si>
    <t>Дотации на выравнивание  бюджетной обеспеченности субъектов РФ и муниципальных образований</t>
  </si>
  <si>
    <t>Иные дотации</t>
  </si>
  <si>
    <t>Прочие межбюджетные трансферты</t>
  </si>
  <si>
    <t>ИТОГО РАСХОДОВ</t>
  </si>
  <si>
    <t>Председатель Комитета по управлению муниципальными</t>
  </si>
  <si>
    <t>финансами администрации Октябрьского района</t>
  </si>
  <si>
    <t>Куклина Н.Г.</t>
  </si>
  <si>
    <t>Заведующий отделом учета исполнения бюджета</t>
  </si>
  <si>
    <t>Заворотынская Н.А.</t>
  </si>
  <si>
    <t>Заведующий бюджетным отделом</t>
  </si>
  <si>
    <t>Горенкова Т.А.</t>
  </si>
  <si>
    <t>Заведующий отделом  доходов</t>
  </si>
  <si>
    <t>Мартюшова О.Г.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</si>
</sst>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#,##0.000"/>
    <numFmt numFmtId="179" formatCode="_-* #,##0.0_р_._-;\-* #,##0.0_р_._-;_-* &quot;-&quot;?_р_._-;_-@_-"/>
  </numFmts>
  <fonts count="60">
    <font>
      <sz val="10"/>
      <name val="Arial Cyr"/>
      <family val="0"/>
    </font>
    <font>
      <b/>
      <sz val="9"/>
      <name val="Arial"/>
      <family val="2"/>
    </font>
    <font>
      <sz val="9"/>
      <name val="Arial"/>
      <family val="2"/>
    </font>
    <font>
      <b/>
      <sz val="10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b/>
      <sz val="8"/>
      <name val="Arial Cyr"/>
      <family val="2"/>
    </font>
    <font>
      <sz val="10"/>
      <color indexed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30"/>
      <name val="Times New Roman"/>
      <family val="1"/>
    </font>
    <font>
      <sz val="8"/>
      <color indexed="8"/>
      <name val="Times New Roman"/>
      <family val="1"/>
    </font>
    <font>
      <sz val="8"/>
      <color indexed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b/>
      <sz val="11"/>
      <color indexed="8"/>
      <name val="Times New Roman"/>
      <family val="1"/>
    </font>
    <font>
      <sz val="10"/>
      <name val="Arial"/>
      <family val="2"/>
    </font>
    <font>
      <sz val="10"/>
      <color indexed="8"/>
      <name val="Times New Roman"/>
      <family val="1"/>
    </font>
    <font>
      <b/>
      <sz val="11"/>
      <color indexed="36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  <font>
      <b/>
      <sz val="11"/>
      <color theme="1"/>
      <name val="Times New Roman"/>
      <family val="1"/>
    </font>
    <font>
      <sz val="10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3999800086021423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09">
    <xf numFmtId="0" fontId="0" fillId="0" borderId="0" xfId="0" applyAlignment="1">
      <alignment/>
    </xf>
    <xf numFmtId="0" fontId="0" fillId="0" borderId="0" xfId="0" applyFill="1" applyAlignment="1">
      <alignment/>
    </xf>
    <xf numFmtId="176" fontId="0" fillId="0" borderId="0" xfId="0" applyNumberFormat="1" applyFill="1" applyAlignment="1">
      <alignment/>
    </xf>
    <xf numFmtId="176" fontId="7" fillId="0" borderId="0" xfId="0" applyNumberFormat="1" applyFont="1" applyFill="1" applyBorder="1" applyAlignment="1">
      <alignment/>
    </xf>
    <xf numFmtId="176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/>
    </xf>
    <xf numFmtId="176" fontId="2" fillId="0" borderId="0" xfId="0" applyNumberFormat="1" applyFont="1" applyFill="1" applyBorder="1" applyAlignment="1">
      <alignment horizontal="right" vertical="top" wrapText="1"/>
    </xf>
    <xf numFmtId="0" fontId="0" fillId="0" borderId="0" xfId="0" applyFill="1" applyAlignment="1">
      <alignment vertical="top" wrapText="1"/>
    </xf>
    <xf numFmtId="0" fontId="7" fillId="0" borderId="0" xfId="0" applyFont="1" applyFill="1" applyAlignment="1">
      <alignment vertical="top" wrapText="1"/>
    </xf>
    <xf numFmtId="0" fontId="7" fillId="0" borderId="0" xfId="0" applyFont="1" applyFill="1" applyAlignment="1">
      <alignment/>
    </xf>
    <xf numFmtId="176" fontId="7" fillId="0" borderId="0" xfId="0" applyNumberFormat="1" applyFont="1" applyFill="1" applyAlignment="1">
      <alignment/>
    </xf>
    <xf numFmtId="176" fontId="5" fillId="0" borderId="10" xfId="0" applyNumberFormat="1" applyFont="1" applyFill="1" applyBorder="1" applyAlignment="1">
      <alignment horizontal="right" vertical="top"/>
    </xf>
    <xf numFmtId="176" fontId="5" fillId="0" borderId="10" xfId="0" applyNumberFormat="1" applyFont="1" applyFill="1" applyBorder="1" applyAlignment="1">
      <alignment vertical="top"/>
    </xf>
    <xf numFmtId="176" fontId="5" fillId="0" borderId="11" xfId="0" applyNumberFormat="1" applyFont="1" applyFill="1" applyBorder="1" applyAlignment="1">
      <alignment horizontal="right" vertical="top"/>
    </xf>
    <xf numFmtId="176" fontId="4" fillId="0" borderId="10" xfId="0" applyNumberFormat="1" applyFont="1" applyFill="1" applyBorder="1" applyAlignment="1">
      <alignment vertical="top"/>
    </xf>
    <xf numFmtId="176" fontId="4" fillId="0" borderId="11" xfId="0" applyNumberFormat="1" applyFont="1" applyFill="1" applyBorder="1" applyAlignment="1">
      <alignment horizontal="right" vertical="top"/>
    </xf>
    <xf numFmtId="176" fontId="1" fillId="0" borderId="10" xfId="0" applyNumberFormat="1" applyFont="1" applyFill="1" applyBorder="1" applyAlignment="1">
      <alignment horizontal="right" vertical="top" wrapText="1"/>
    </xf>
    <xf numFmtId="177" fontId="5" fillId="0" borderId="10" xfId="0" applyNumberFormat="1" applyFont="1" applyFill="1" applyBorder="1" applyAlignment="1">
      <alignment vertical="top"/>
    </xf>
    <xf numFmtId="176" fontId="2" fillId="0" borderId="10" xfId="0" applyNumberFormat="1" applyFont="1" applyFill="1" applyBorder="1" applyAlignment="1">
      <alignment horizontal="right" vertical="top" wrapText="1"/>
    </xf>
    <xf numFmtId="176" fontId="0" fillId="0" borderId="0" xfId="0" applyNumberFormat="1" applyFill="1" applyAlignment="1">
      <alignment vertical="top" wrapText="1"/>
    </xf>
    <xf numFmtId="176" fontId="2" fillId="0" borderId="11" xfId="0" applyNumberFormat="1" applyFont="1" applyFill="1" applyBorder="1" applyAlignment="1">
      <alignment vertical="top" wrapText="1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6" fillId="0" borderId="1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176" fontId="4" fillId="0" borderId="14" xfId="0" applyNumberFormat="1" applyFont="1" applyFill="1" applyBorder="1" applyAlignment="1">
      <alignment vertical="top"/>
    </xf>
    <xf numFmtId="176" fontId="4" fillId="0" borderId="0" xfId="0" applyNumberFormat="1" applyFont="1" applyFill="1" applyBorder="1" applyAlignment="1">
      <alignment vertical="top"/>
    </xf>
    <xf numFmtId="49" fontId="1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/>
    </xf>
    <xf numFmtId="176" fontId="4" fillId="0" borderId="10" xfId="0" applyNumberFormat="1" applyFont="1" applyFill="1" applyBorder="1" applyAlignment="1">
      <alignment horizontal="right" vertical="top"/>
    </xf>
    <xf numFmtId="49" fontId="2" fillId="0" borderId="11" xfId="0" applyNumberFormat="1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vertical="top" wrapText="1"/>
    </xf>
    <xf numFmtId="176" fontId="5" fillId="0" borderId="11" xfId="0" applyNumberFormat="1" applyFont="1" applyFill="1" applyBorder="1" applyAlignment="1">
      <alignment vertical="top"/>
    </xf>
    <xf numFmtId="0" fontId="2" fillId="0" borderId="10" xfId="0" applyFont="1" applyFill="1" applyBorder="1" applyAlignment="1">
      <alignment vertical="top" wrapText="1"/>
    </xf>
    <xf numFmtId="176" fontId="2" fillId="0" borderId="10" xfId="0" applyNumberFormat="1" applyFont="1" applyFill="1" applyBorder="1" applyAlignment="1">
      <alignment vertical="top" wrapText="1"/>
    </xf>
    <xf numFmtId="49" fontId="2" fillId="0" borderId="13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top"/>
    </xf>
    <xf numFmtId="49" fontId="5" fillId="0" borderId="13" xfId="0" applyNumberFormat="1" applyFont="1" applyFill="1" applyBorder="1" applyAlignment="1">
      <alignment horizontal="center" vertical="top"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center" vertical="top" wrapText="1"/>
    </xf>
    <xf numFmtId="49" fontId="2" fillId="0" borderId="16" xfId="0" applyNumberFormat="1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vertical="top" wrapText="1"/>
    </xf>
    <xf numFmtId="49" fontId="1" fillId="0" borderId="11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vertical="top"/>
    </xf>
    <xf numFmtId="49" fontId="2" fillId="0" borderId="11" xfId="0" applyNumberFormat="1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justify" vertical="top" wrapText="1"/>
    </xf>
    <xf numFmtId="176" fontId="2" fillId="0" borderId="10" xfId="0" applyNumberFormat="1" applyFont="1" applyFill="1" applyBorder="1" applyAlignment="1">
      <alignment horizontal="right" vertical="top" wrapText="1"/>
    </xf>
    <xf numFmtId="0" fontId="2" fillId="0" borderId="10" xfId="0" applyFont="1" applyFill="1" applyBorder="1" applyAlignment="1">
      <alignment vertical="top"/>
    </xf>
    <xf numFmtId="176" fontId="2" fillId="0" borderId="10" xfId="0" applyNumberFormat="1" applyFont="1" applyFill="1" applyBorder="1" applyAlignment="1">
      <alignment vertical="top"/>
    </xf>
    <xf numFmtId="49" fontId="2" fillId="0" borderId="16" xfId="0" applyNumberFormat="1" applyFont="1" applyFill="1" applyBorder="1" applyAlignment="1">
      <alignment vertical="top" wrapText="1"/>
    </xf>
    <xf numFmtId="49" fontId="2" fillId="0" borderId="16" xfId="0" applyNumberFormat="1" applyFont="1" applyFill="1" applyBorder="1" applyAlignment="1">
      <alignment vertical="top" wrapText="1"/>
    </xf>
    <xf numFmtId="0" fontId="2" fillId="0" borderId="16" xfId="0" applyFont="1" applyFill="1" applyBorder="1" applyAlignment="1">
      <alignment vertical="top" wrapText="1" shrinkToFit="1"/>
    </xf>
    <xf numFmtId="176" fontId="2" fillId="0" borderId="10" xfId="0" applyNumberFormat="1" applyFont="1" applyFill="1" applyBorder="1" applyAlignment="1">
      <alignment vertical="top" wrapText="1" shrinkToFit="1"/>
    </xf>
    <xf numFmtId="49" fontId="2" fillId="0" borderId="16" xfId="0" applyNumberFormat="1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left" vertical="top"/>
    </xf>
    <xf numFmtId="49" fontId="5" fillId="0" borderId="16" xfId="0" applyNumberFormat="1" applyFont="1" applyFill="1" applyBorder="1" applyAlignment="1">
      <alignment horizontal="center" vertical="top"/>
    </xf>
    <xf numFmtId="176" fontId="2" fillId="0" borderId="16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176" fontId="5" fillId="0" borderId="13" xfId="0" applyNumberFormat="1" applyFont="1" applyFill="1" applyBorder="1" applyAlignment="1">
      <alignment horizontal="right" vertical="top"/>
    </xf>
    <xf numFmtId="176" fontId="2" fillId="0" borderId="10" xfId="0" applyNumberFormat="1" applyFont="1" applyFill="1" applyBorder="1" applyAlignment="1">
      <alignment horizontal="right" vertical="top" wrapText="1" shrinkToFit="1"/>
    </xf>
    <xf numFmtId="49" fontId="2" fillId="0" borderId="0" xfId="0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176" fontId="4" fillId="0" borderId="13" xfId="0" applyNumberFormat="1" applyFont="1" applyFill="1" applyBorder="1" applyAlignment="1">
      <alignment vertical="top"/>
    </xf>
    <xf numFmtId="176" fontId="2" fillId="0" borderId="11" xfId="0" applyNumberFormat="1" applyFont="1" applyFill="1" applyBorder="1" applyAlignment="1">
      <alignment horizontal="right" vertical="top" wrapText="1"/>
    </xf>
    <xf numFmtId="176" fontId="1" fillId="0" borderId="17" xfId="0" applyNumberFormat="1" applyFont="1" applyFill="1" applyBorder="1" applyAlignment="1">
      <alignment horizontal="right" vertical="top" wrapText="1"/>
    </xf>
    <xf numFmtId="176" fontId="2" fillId="0" borderId="10" xfId="0" applyNumberFormat="1" applyFont="1" applyFill="1" applyBorder="1" applyAlignment="1">
      <alignment horizontal="right" vertical="top"/>
    </xf>
    <xf numFmtId="0" fontId="2" fillId="0" borderId="17" xfId="0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horizontal="center" vertical="top"/>
    </xf>
    <xf numFmtId="176" fontId="1" fillId="0" borderId="10" xfId="0" applyNumberFormat="1" applyFont="1" applyFill="1" applyBorder="1" applyAlignment="1">
      <alignment vertical="top" wrapText="1"/>
    </xf>
    <xf numFmtId="176" fontId="2" fillId="0" borderId="16" xfId="0" applyNumberFormat="1" applyFont="1" applyFill="1" applyBorder="1" applyAlignment="1">
      <alignment horizontal="right" vertical="top" wrapText="1"/>
    </xf>
    <xf numFmtId="49" fontId="2" fillId="0" borderId="10" xfId="0" applyNumberFormat="1" applyFont="1" applyFill="1" applyBorder="1" applyAlignment="1">
      <alignment vertical="top" wrapText="1"/>
    </xf>
    <xf numFmtId="49" fontId="2" fillId="0" borderId="11" xfId="0" applyNumberFormat="1" applyFont="1" applyFill="1" applyBorder="1" applyAlignment="1">
      <alignment horizontal="left" vertical="top" wrapText="1"/>
    </xf>
    <xf numFmtId="49" fontId="1" fillId="0" borderId="11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49" fontId="2" fillId="0" borderId="13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/>
    </xf>
    <xf numFmtId="49" fontId="5" fillId="0" borderId="13" xfId="0" applyNumberFormat="1" applyFont="1" applyFill="1" applyBorder="1" applyAlignment="1">
      <alignment horizontal="left" vertical="top"/>
    </xf>
    <xf numFmtId="49" fontId="2" fillId="0" borderId="16" xfId="0" applyNumberFormat="1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center"/>
    </xf>
    <xf numFmtId="49" fontId="2" fillId="0" borderId="12" xfId="0" applyNumberFormat="1" applyFont="1" applyFill="1" applyBorder="1" applyAlignment="1">
      <alignment horizontal="center" vertical="top" wrapText="1"/>
    </xf>
    <xf numFmtId="49" fontId="2" fillId="0" borderId="18" xfId="0" applyNumberFormat="1" applyFont="1" applyFill="1" applyBorder="1" applyAlignment="1">
      <alignment horizontal="center" vertical="top" wrapText="1"/>
    </xf>
    <xf numFmtId="176" fontId="4" fillId="0" borderId="18" xfId="0" applyNumberFormat="1" applyFont="1" applyFill="1" applyBorder="1" applyAlignment="1">
      <alignment horizontal="center" vertical="top"/>
    </xf>
    <xf numFmtId="0" fontId="4" fillId="0" borderId="17" xfId="0" applyFont="1" applyFill="1" applyBorder="1" applyAlignment="1">
      <alignment horizontal="center" vertical="top"/>
    </xf>
    <xf numFmtId="0" fontId="4" fillId="0" borderId="19" xfId="0" applyFont="1" applyFill="1" applyBorder="1" applyAlignment="1">
      <alignment horizontal="center" vertical="top"/>
    </xf>
    <xf numFmtId="0" fontId="4" fillId="0" borderId="20" xfId="0" applyFont="1" applyFill="1" applyBorder="1" applyAlignment="1">
      <alignment horizontal="center" vertical="top"/>
    </xf>
    <xf numFmtId="0" fontId="4" fillId="0" borderId="13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center"/>
    </xf>
    <xf numFmtId="0" fontId="4" fillId="0" borderId="13" xfId="0" applyFont="1" applyFill="1" applyBorder="1" applyAlignment="1">
      <alignment horizontal="center" vertical="top"/>
    </xf>
    <xf numFmtId="0" fontId="4" fillId="0" borderId="15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center" vertical="top"/>
    </xf>
    <xf numFmtId="170" fontId="2" fillId="0" borderId="12" xfId="42" applyFont="1" applyFill="1" applyBorder="1" applyAlignment="1">
      <alignment horizontal="center" vertical="top" wrapText="1"/>
    </xf>
    <xf numFmtId="170" fontId="2" fillId="0" borderId="18" xfId="42" applyFont="1" applyFill="1" applyBorder="1" applyAlignment="1">
      <alignment horizontal="center" vertical="top" wrapText="1"/>
    </xf>
    <xf numFmtId="0" fontId="25" fillId="0" borderId="0" xfId="53" applyNumberFormat="1" applyFont="1" applyAlignment="1">
      <alignment horizontal="center" vertical="center" wrapText="1"/>
      <protection/>
    </xf>
    <xf numFmtId="49" fontId="26" fillId="0" borderId="0" xfId="53" applyNumberFormat="1" applyFont="1" applyAlignment="1">
      <alignment horizontal="center" vertical="center" wrapText="1"/>
      <protection/>
    </xf>
    <xf numFmtId="0" fontId="26" fillId="0" borderId="0" xfId="53" applyNumberFormat="1" applyFont="1" applyAlignment="1">
      <alignment horizontal="left" vertical="center" wrapText="1"/>
      <protection/>
    </xf>
    <xf numFmtId="179" fontId="57" fillId="0" borderId="0" xfId="53" applyNumberFormat="1" applyFont="1" applyFill="1" applyAlignment="1">
      <alignment horizontal="center" vertical="center" wrapText="1"/>
      <protection/>
    </xf>
    <xf numFmtId="179" fontId="28" fillId="33" borderId="0" xfId="53" applyNumberFormat="1" applyFont="1" applyFill="1" applyBorder="1" applyAlignment="1">
      <alignment horizontal="center" vertical="center" wrapText="1"/>
      <protection/>
    </xf>
    <xf numFmtId="179" fontId="28" fillId="0" borderId="0" xfId="53" applyNumberFormat="1" applyFont="1" applyFill="1" applyAlignment="1">
      <alignment horizontal="center" vertical="center" wrapText="1"/>
      <protection/>
    </xf>
    <xf numFmtId="179" fontId="28" fillId="0" borderId="0" xfId="0" applyNumberFormat="1" applyFont="1" applyFill="1" applyAlignment="1">
      <alignment horizontal="center" vertical="center" wrapText="1"/>
    </xf>
    <xf numFmtId="179" fontId="28" fillId="33" borderId="0" xfId="0" applyNumberFormat="1" applyFont="1" applyFill="1" applyAlignment="1">
      <alignment horizontal="center" vertical="center" wrapText="1"/>
    </xf>
    <xf numFmtId="179" fontId="28" fillId="0" borderId="0" xfId="0" applyNumberFormat="1" applyFont="1" applyAlignment="1">
      <alignment horizontal="center" vertical="center" wrapText="1"/>
    </xf>
    <xf numFmtId="179" fontId="29" fillId="0" borderId="0" xfId="0" applyNumberFormat="1" applyFont="1" applyFill="1" applyAlignment="1">
      <alignment horizontal="center" vertical="center" wrapText="1"/>
    </xf>
    <xf numFmtId="179" fontId="29" fillId="33" borderId="0" xfId="0" applyNumberFormat="1" applyFont="1" applyFill="1" applyAlignment="1">
      <alignment horizontal="center" vertical="center" wrapText="1"/>
    </xf>
    <xf numFmtId="179" fontId="29" fillId="0" borderId="0" xfId="0" applyNumberFormat="1" applyFont="1" applyAlignment="1">
      <alignment horizontal="center" vertical="center" wrapText="1"/>
    </xf>
    <xf numFmtId="49" fontId="30" fillId="0" borderId="21" xfId="53" applyNumberFormat="1" applyFont="1" applyBorder="1" applyAlignment="1">
      <alignment horizontal="center" vertical="center" wrapText="1"/>
      <protection/>
    </xf>
    <xf numFmtId="0" fontId="30" fillId="0" borderId="22" xfId="53" applyNumberFormat="1" applyFont="1" applyBorder="1" applyAlignment="1">
      <alignment horizontal="center" vertical="center" wrapText="1"/>
      <protection/>
    </xf>
    <xf numFmtId="179" fontId="31" fillId="0" borderId="22" xfId="53" applyNumberFormat="1" applyFont="1" applyFill="1" applyBorder="1" applyAlignment="1">
      <alignment horizontal="center" vertical="center" wrapText="1"/>
      <protection/>
    </xf>
    <xf numFmtId="179" fontId="31" fillId="0" borderId="22" xfId="0" applyNumberFormat="1" applyFont="1" applyBorder="1" applyAlignment="1">
      <alignment horizontal="center" vertical="center" wrapText="1"/>
    </xf>
    <xf numFmtId="179" fontId="32" fillId="0" borderId="22" xfId="0" applyNumberFormat="1" applyFont="1" applyFill="1" applyBorder="1" applyAlignment="1">
      <alignment horizontal="center" vertical="center" wrapText="1"/>
    </xf>
    <xf numFmtId="179" fontId="32" fillId="0" borderId="23" xfId="0" applyNumberFormat="1" applyFont="1" applyFill="1" applyBorder="1" applyAlignment="1">
      <alignment horizontal="center" vertical="center" wrapText="1"/>
    </xf>
    <xf numFmtId="49" fontId="30" fillId="0" borderId="24" xfId="53" applyNumberFormat="1" applyFont="1" applyBorder="1" applyAlignment="1">
      <alignment horizontal="center" vertical="center" wrapText="1"/>
      <protection/>
    </xf>
    <xf numFmtId="0" fontId="30" fillId="0" borderId="10" xfId="53" applyNumberFormat="1" applyFont="1" applyBorder="1" applyAlignment="1">
      <alignment horizontal="center" vertical="center" wrapText="1"/>
      <protection/>
    </xf>
    <xf numFmtId="179" fontId="31" fillId="0" borderId="10" xfId="53" applyNumberFormat="1" applyFont="1" applyFill="1" applyBorder="1" applyAlignment="1">
      <alignment horizontal="center" vertical="center" wrapText="1"/>
      <protection/>
    </xf>
    <xf numFmtId="179" fontId="31" fillId="33" borderId="10" xfId="53" applyNumberFormat="1" applyFont="1" applyFill="1" applyBorder="1" applyAlignment="1">
      <alignment horizontal="center" vertical="center" wrapText="1"/>
      <protection/>
    </xf>
    <xf numFmtId="179" fontId="31" fillId="0" borderId="10" xfId="53" applyNumberFormat="1" applyFont="1" applyBorder="1" applyAlignment="1">
      <alignment horizontal="center" vertical="center" wrapText="1"/>
      <protection/>
    </xf>
    <xf numFmtId="179" fontId="32" fillId="0" borderId="10" xfId="53" applyNumberFormat="1" applyFont="1" applyFill="1" applyBorder="1" applyAlignment="1">
      <alignment horizontal="center" vertical="center" wrapText="1"/>
      <protection/>
    </xf>
    <xf numFmtId="179" fontId="32" fillId="33" borderId="10" xfId="53" applyNumberFormat="1" applyFont="1" applyFill="1" applyBorder="1" applyAlignment="1">
      <alignment horizontal="center" vertical="center" wrapText="1"/>
      <protection/>
    </xf>
    <xf numFmtId="179" fontId="32" fillId="0" borderId="25" xfId="53" applyNumberFormat="1" applyFont="1" applyBorder="1" applyAlignment="1">
      <alignment horizontal="center" vertical="center" wrapText="1"/>
      <protection/>
    </xf>
    <xf numFmtId="179" fontId="31" fillId="0" borderId="10" xfId="0" applyNumberFormat="1" applyFont="1" applyBorder="1" applyAlignment="1">
      <alignment horizontal="center" vertical="center" wrapText="1"/>
    </xf>
    <xf numFmtId="179" fontId="33" fillId="0" borderId="10" xfId="0" applyNumberFormat="1" applyFont="1" applyBorder="1" applyAlignment="1">
      <alignment horizontal="center" vertical="center"/>
    </xf>
    <xf numFmtId="179" fontId="32" fillId="0" borderId="10" xfId="0" applyNumberFormat="1" applyFont="1" applyBorder="1" applyAlignment="1">
      <alignment horizontal="center" vertical="center" wrapText="1"/>
    </xf>
    <xf numFmtId="179" fontId="32" fillId="0" borderId="25" xfId="0" applyNumberFormat="1" applyFont="1" applyBorder="1" applyAlignment="1">
      <alignment horizontal="center" vertical="center" wrapText="1"/>
    </xf>
    <xf numFmtId="0" fontId="34" fillId="0" borderId="10" xfId="53" applyNumberFormat="1" applyFont="1" applyFill="1" applyBorder="1" applyAlignment="1">
      <alignment horizontal="center" vertical="center" wrapText="1"/>
      <protection/>
    </xf>
    <xf numFmtId="0" fontId="34" fillId="0" borderId="25" xfId="53" applyNumberFormat="1" applyFont="1" applyFill="1" applyBorder="1" applyAlignment="1">
      <alignment horizontal="center" vertical="center" wrapText="1"/>
      <protection/>
    </xf>
    <xf numFmtId="49" fontId="34" fillId="34" borderId="24" xfId="53" applyNumberFormat="1" applyFont="1" applyFill="1" applyBorder="1" applyAlignment="1" quotePrefix="1">
      <alignment horizontal="center" vertical="center" wrapText="1"/>
      <protection/>
    </xf>
    <xf numFmtId="0" fontId="34" fillId="34" borderId="10" xfId="53" applyNumberFormat="1" applyFont="1" applyFill="1" applyBorder="1" applyAlignment="1">
      <alignment horizontal="left" vertical="center" wrapText="1"/>
      <protection/>
    </xf>
    <xf numFmtId="179" fontId="32" fillId="34" borderId="10" xfId="53" applyNumberFormat="1" applyFont="1" applyFill="1" applyBorder="1" applyAlignment="1">
      <alignment horizontal="center" vertical="center" wrapText="1"/>
      <protection/>
    </xf>
    <xf numFmtId="179" fontId="32" fillId="35" borderId="10" xfId="53" applyNumberFormat="1" applyFont="1" applyFill="1" applyBorder="1" applyAlignment="1">
      <alignment horizontal="center" vertical="center" wrapText="1"/>
      <protection/>
    </xf>
    <xf numFmtId="179" fontId="31" fillId="35" borderId="10" xfId="0" applyNumberFormat="1" applyFont="1" applyFill="1" applyBorder="1" applyAlignment="1">
      <alignment horizontal="center" vertical="center" wrapText="1"/>
    </xf>
    <xf numFmtId="179" fontId="32" fillId="34" borderId="25" xfId="0" applyNumberFormat="1" applyFont="1" applyFill="1" applyBorder="1" applyAlignment="1">
      <alignment horizontal="center" vertical="center" wrapText="1"/>
    </xf>
    <xf numFmtId="49" fontId="30" fillId="0" borderId="24" xfId="53" applyNumberFormat="1" applyFont="1" applyFill="1" applyBorder="1" applyAlignment="1" quotePrefix="1">
      <alignment horizontal="center" vertical="center" wrapText="1"/>
      <protection/>
    </xf>
    <xf numFmtId="0" fontId="30" fillId="0" borderId="10" xfId="53" applyNumberFormat="1" applyFont="1" applyFill="1" applyBorder="1" applyAlignment="1">
      <alignment horizontal="left" vertical="center" wrapText="1"/>
      <protection/>
    </xf>
    <xf numFmtId="179" fontId="31" fillId="0" borderId="10" xfId="53" applyNumberFormat="1" applyFont="1" applyFill="1" applyBorder="1" applyAlignment="1">
      <alignment horizontal="center" vertical="center" wrapText="1"/>
      <protection/>
    </xf>
    <xf numFmtId="179" fontId="31" fillId="33" borderId="10" xfId="53" applyNumberFormat="1" applyFont="1" applyFill="1" applyBorder="1" applyAlignment="1">
      <alignment horizontal="center" vertical="center" wrapText="1"/>
      <protection/>
    </xf>
    <xf numFmtId="179" fontId="31" fillId="0" borderId="10" xfId="0" applyNumberFormat="1" applyFont="1" applyFill="1" applyBorder="1" applyAlignment="1">
      <alignment horizontal="center" vertical="center" wrapText="1"/>
    </xf>
    <xf numFmtId="179" fontId="31" fillId="33" borderId="10" xfId="0" applyNumberFormat="1" applyFont="1" applyFill="1" applyBorder="1" applyAlignment="1">
      <alignment horizontal="center" vertical="center" wrapText="1"/>
    </xf>
    <xf numFmtId="179" fontId="32" fillId="0" borderId="10" xfId="0" applyNumberFormat="1" applyFont="1" applyFill="1" applyBorder="1" applyAlignment="1">
      <alignment horizontal="center" vertical="center" wrapText="1"/>
    </xf>
    <xf numFmtId="179" fontId="32" fillId="33" borderId="10" xfId="0" applyNumberFormat="1" applyFont="1" applyFill="1" applyBorder="1" applyAlignment="1">
      <alignment horizontal="center" vertical="center" wrapText="1"/>
    </xf>
    <xf numFmtId="179" fontId="32" fillId="0" borderId="25" xfId="0" applyNumberFormat="1" applyFont="1" applyFill="1" applyBorder="1" applyAlignment="1">
      <alignment horizontal="center" vertical="center" wrapText="1"/>
    </xf>
    <xf numFmtId="179" fontId="58" fillId="33" borderId="10" xfId="0" applyNumberFormat="1" applyFont="1" applyFill="1" applyBorder="1" applyAlignment="1">
      <alignment horizontal="center" vertical="center" wrapText="1"/>
    </xf>
    <xf numFmtId="49" fontId="30" fillId="0" borderId="24" xfId="53" applyNumberFormat="1" applyFont="1" applyFill="1" applyBorder="1" applyAlignment="1">
      <alignment horizontal="center" vertical="center" wrapText="1"/>
      <protection/>
    </xf>
    <xf numFmtId="179" fontId="31" fillId="35" borderId="10" xfId="53" applyNumberFormat="1" applyFont="1" applyFill="1" applyBorder="1" applyAlignment="1">
      <alignment horizontal="center" vertical="center" wrapText="1"/>
      <protection/>
    </xf>
    <xf numFmtId="179" fontId="32" fillId="35" borderId="25" xfId="53" applyNumberFormat="1" applyFont="1" applyFill="1" applyBorder="1" applyAlignment="1">
      <alignment horizontal="center" vertical="center" wrapText="1"/>
      <protection/>
    </xf>
    <xf numFmtId="49" fontId="34" fillId="34" borderId="24" xfId="53" applyNumberFormat="1" applyFont="1" applyFill="1" applyBorder="1" applyAlignment="1" quotePrefix="1">
      <alignment horizontal="center" vertical="center" wrapText="1"/>
      <protection/>
    </xf>
    <xf numFmtId="0" fontId="34" fillId="34" borderId="10" xfId="53" applyNumberFormat="1" applyFont="1" applyFill="1" applyBorder="1" applyAlignment="1">
      <alignment horizontal="left" vertical="center" wrapText="1"/>
      <protection/>
    </xf>
    <xf numFmtId="179" fontId="32" fillId="35" borderId="10" xfId="53" applyNumberFormat="1" applyFont="1" applyFill="1" applyBorder="1" applyAlignment="1">
      <alignment horizontal="center" vertical="center" wrapText="1"/>
      <protection/>
    </xf>
    <xf numFmtId="179" fontId="32" fillId="35" borderId="25" xfId="0" applyNumberFormat="1" applyFont="1" applyFill="1" applyBorder="1" applyAlignment="1">
      <alignment horizontal="center" vertical="center" wrapText="1"/>
    </xf>
    <xf numFmtId="0" fontId="30" fillId="36" borderId="10" xfId="53" applyNumberFormat="1" applyFont="1" applyFill="1" applyBorder="1" applyAlignment="1">
      <alignment horizontal="left" vertical="center" wrapText="1"/>
      <protection/>
    </xf>
    <xf numFmtId="0" fontId="31" fillId="0" borderId="10" xfId="52" applyNumberFormat="1" applyFont="1" applyFill="1" applyBorder="1" applyAlignment="1" applyProtection="1">
      <alignment horizontal="left" vertical="center" wrapText="1"/>
      <protection hidden="1"/>
    </xf>
    <xf numFmtId="179" fontId="32" fillId="35" borderId="10" xfId="0" applyNumberFormat="1" applyFont="1" applyFill="1" applyBorder="1" applyAlignment="1">
      <alignment horizontal="center" vertical="center" wrapText="1"/>
    </xf>
    <xf numFmtId="0" fontId="36" fillId="0" borderId="10" xfId="53" applyNumberFormat="1" applyFont="1" applyFill="1" applyBorder="1" applyAlignment="1">
      <alignment horizontal="left" vertical="center" wrapText="1"/>
      <protection/>
    </xf>
    <xf numFmtId="0" fontId="32" fillId="0" borderId="25" xfId="0" applyNumberFormat="1" applyFont="1" applyFill="1" applyBorder="1" applyAlignment="1">
      <alignment horizontal="center" vertical="center" wrapText="1"/>
    </xf>
    <xf numFmtId="0" fontId="31" fillId="0" borderId="0" xfId="0" applyFont="1" applyAlignment="1">
      <alignment wrapText="1"/>
    </xf>
    <xf numFmtId="177" fontId="32" fillId="0" borderId="25" xfId="0" applyNumberFormat="1" applyFont="1" applyFill="1" applyBorder="1" applyAlignment="1">
      <alignment horizontal="center" vertical="center" wrapText="1"/>
    </xf>
    <xf numFmtId="49" fontId="34" fillId="34" borderId="24" xfId="53" applyNumberFormat="1" applyFont="1" applyFill="1" applyBorder="1" applyAlignment="1">
      <alignment horizontal="center" vertical="center" wrapText="1"/>
      <protection/>
    </xf>
    <xf numFmtId="0" fontId="34" fillId="34" borderId="10" xfId="0" applyNumberFormat="1" applyFont="1" applyFill="1" applyBorder="1" applyAlignment="1">
      <alignment horizontal="left" vertical="center" wrapText="1"/>
    </xf>
    <xf numFmtId="179" fontId="32" fillId="34" borderId="10" xfId="0" applyNumberFormat="1" applyFont="1" applyFill="1" applyBorder="1" applyAlignment="1">
      <alignment horizontal="center" vertical="center" wrapText="1"/>
    </xf>
    <xf numFmtId="177" fontId="32" fillId="35" borderId="25" xfId="0" applyNumberFormat="1" applyFont="1" applyFill="1" applyBorder="1" applyAlignment="1">
      <alignment horizontal="center" vertical="center" wrapText="1"/>
    </xf>
    <xf numFmtId="0" fontId="30" fillId="0" borderId="10" xfId="0" applyNumberFormat="1" applyFont="1" applyFill="1" applyBorder="1" applyAlignment="1">
      <alignment horizontal="left" vertical="center" wrapText="1"/>
    </xf>
    <xf numFmtId="49" fontId="31" fillId="0" borderId="24" xfId="53" applyNumberFormat="1" applyFont="1" applyFill="1" applyBorder="1" applyAlignment="1">
      <alignment horizontal="center" vertical="center" wrapText="1"/>
      <protection/>
    </xf>
    <xf numFmtId="0" fontId="31" fillId="0" borderId="10" xfId="53" applyNumberFormat="1" applyFont="1" applyFill="1" applyBorder="1" applyAlignment="1">
      <alignment horizontal="left" vertical="center" wrapText="1"/>
      <protection/>
    </xf>
    <xf numFmtId="179" fontId="32" fillId="34" borderId="25" xfId="53" applyNumberFormat="1" applyFont="1" applyFill="1" applyBorder="1" applyAlignment="1">
      <alignment horizontal="center" vertical="center" wrapText="1"/>
      <protection/>
    </xf>
    <xf numFmtId="0" fontId="37" fillId="6" borderId="26" xfId="53" applyNumberFormat="1" applyFont="1" applyFill="1" applyBorder="1" applyAlignment="1">
      <alignment horizontal="center" vertical="center" wrapText="1"/>
      <protection/>
    </xf>
    <xf numFmtId="0" fontId="37" fillId="6" borderId="27" xfId="53" applyNumberFormat="1" applyFont="1" applyFill="1" applyBorder="1" applyAlignment="1">
      <alignment horizontal="center" vertical="center" wrapText="1"/>
      <protection/>
    </xf>
    <xf numFmtId="179" fontId="32" fillId="37" borderId="27" xfId="53" applyNumberFormat="1" applyFont="1" applyFill="1" applyBorder="1" applyAlignment="1">
      <alignment horizontal="center" vertical="center" wrapText="1"/>
      <protection/>
    </xf>
    <xf numFmtId="179" fontId="32" fillId="37" borderId="27" xfId="0" applyNumberFormat="1" applyFont="1" applyFill="1" applyBorder="1" applyAlignment="1">
      <alignment horizontal="center" vertical="center" wrapText="1"/>
    </xf>
    <xf numFmtId="179" fontId="32" fillId="37" borderId="28" xfId="0" applyNumberFormat="1" applyFont="1" applyFill="1" applyBorder="1" applyAlignment="1">
      <alignment horizontal="center" vertical="center" wrapText="1"/>
    </xf>
    <xf numFmtId="49" fontId="26" fillId="0" borderId="0" xfId="53" applyNumberFormat="1" applyFont="1" applyFill="1" applyBorder="1" applyAlignment="1">
      <alignment horizontal="center" vertical="center" wrapText="1"/>
      <protection/>
    </xf>
    <xf numFmtId="0" fontId="26" fillId="0" borderId="0" xfId="53" applyNumberFormat="1" applyFont="1" applyFill="1" applyBorder="1" applyAlignment="1">
      <alignment horizontal="left" vertical="center" wrapText="1"/>
      <protection/>
    </xf>
    <xf numFmtId="179" fontId="57" fillId="0" borderId="0" xfId="53" applyNumberFormat="1" applyFont="1" applyFill="1" applyBorder="1" applyAlignment="1">
      <alignment horizontal="center" vertical="center" wrapText="1"/>
      <protection/>
    </xf>
    <xf numFmtId="179" fontId="29" fillId="0" borderId="0" xfId="53" applyNumberFormat="1" applyFont="1" applyFill="1" applyBorder="1" applyAlignment="1">
      <alignment horizontal="center" vertical="center" wrapText="1"/>
      <protection/>
    </xf>
    <xf numFmtId="49" fontId="26" fillId="0" borderId="0" xfId="0" applyNumberFormat="1" applyFont="1" applyFill="1" applyBorder="1" applyAlignment="1">
      <alignment horizontal="center" vertical="center" wrapText="1"/>
    </xf>
    <xf numFmtId="0" fontId="26" fillId="0" borderId="0" xfId="0" applyNumberFormat="1" applyFont="1" applyFill="1" applyBorder="1" applyAlignment="1">
      <alignment horizontal="left" vertical="center" wrapText="1"/>
    </xf>
    <xf numFmtId="179" fontId="57" fillId="0" borderId="0" xfId="0" applyNumberFormat="1" applyFont="1" applyFill="1" applyBorder="1" applyAlignment="1">
      <alignment horizontal="center" vertical="center" wrapText="1"/>
    </xf>
    <xf numFmtId="179" fontId="57" fillId="33" borderId="0" xfId="0" applyNumberFormat="1" applyFont="1" applyFill="1" applyBorder="1" applyAlignment="1">
      <alignment horizontal="center" vertical="center" wrapText="1"/>
    </xf>
    <xf numFmtId="179" fontId="28" fillId="33" borderId="0" xfId="0" applyNumberFormat="1" applyFont="1" applyFill="1" applyBorder="1" applyAlignment="1">
      <alignment horizontal="center" vertical="center" wrapText="1"/>
    </xf>
    <xf numFmtId="0" fontId="36" fillId="0" borderId="0" xfId="53" applyNumberFormat="1" applyFont="1" applyFill="1" applyBorder="1" applyAlignment="1">
      <alignment horizontal="right" vertical="center" wrapText="1"/>
      <protection/>
    </xf>
    <xf numFmtId="179" fontId="38" fillId="33" borderId="0" xfId="0" applyNumberFormat="1" applyFont="1" applyFill="1" applyAlignment="1">
      <alignment horizontal="center" vertical="center" wrapText="1"/>
    </xf>
    <xf numFmtId="179" fontId="38" fillId="0" borderId="0" xfId="0" applyNumberFormat="1" applyFont="1" applyAlignment="1">
      <alignment horizontal="center" vertical="center" wrapText="1"/>
    </xf>
    <xf numFmtId="179" fontId="38" fillId="33" borderId="16" xfId="53" applyNumberFormat="1" applyFont="1" applyFill="1" applyBorder="1" applyAlignment="1">
      <alignment horizontal="center" vertical="center" wrapText="1"/>
      <protection/>
    </xf>
    <xf numFmtId="179" fontId="38" fillId="0" borderId="0" xfId="53" applyNumberFormat="1" applyFont="1" applyFill="1" applyBorder="1" applyAlignment="1">
      <alignment horizontal="left" vertical="center" wrapText="1"/>
      <protection/>
    </xf>
    <xf numFmtId="49" fontId="36" fillId="0" borderId="0" xfId="0" applyNumberFormat="1" applyFont="1" applyFill="1" applyBorder="1" applyAlignment="1">
      <alignment horizontal="right" vertical="center" wrapText="1"/>
    </xf>
    <xf numFmtId="0" fontId="36" fillId="0" borderId="0" xfId="53" applyNumberFormat="1" applyFont="1" applyFill="1" applyBorder="1" applyAlignment="1">
      <alignment horizontal="left" vertical="center" wrapText="1"/>
      <protection/>
    </xf>
    <xf numFmtId="179" fontId="59" fillId="0" borderId="0" xfId="53" applyNumberFormat="1" applyFont="1" applyFill="1" applyBorder="1" applyAlignment="1">
      <alignment horizontal="center" vertical="center" wrapText="1"/>
      <protection/>
    </xf>
    <xf numFmtId="179" fontId="38" fillId="33" borderId="0" xfId="53" applyNumberFormat="1" applyFont="1" applyFill="1" applyBorder="1" applyAlignment="1">
      <alignment horizontal="center" vertical="center" wrapText="1"/>
      <protection/>
    </xf>
    <xf numFmtId="179" fontId="38" fillId="0" borderId="0" xfId="0" applyNumberFormat="1" applyFont="1" applyFill="1" applyBorder="1" applyAlignment="1">
      <alignment horizontal="left" vertical="center" wrapText="1"/>
    </xf>
    <xf numFmtId="179" fontId="38" fillId="0" borderId="0" xfId="0" applyNumberFormat="1" applyFont="1" applyFill="1" applyAlignment="1">
      <alignment horizontal="left" vertical="center" wrapText="1"/>
    </xf>
    <xf numFmtId="179" fontId="38" fillId="33" borderId="16" xfId="0" applyNumberFormat="1" applyFont="1" applyFill="1" applyBorder="1" applyAlignment="1">
      <alignment horizontal="center" vertical="center" wrapText="1"/>
    </xf>
    <xf numFmtId="0" fontId="36" fillId="0" borderId="0" xfId="0" applyNumberFormat="1" applyFont="1" applyFill="1" applyBorder="1" applyAlignment="1">
      <alignment horizontal="left" vertical="center" wrapText="1"/>
    </xf>
    <xf numFmtId="179" fontId="59" fillId="0" borderId="0" xfId="0" applyNumberFormat="1" applyFont="1" applyFill="1" applyBorder="1" applyAlignment="1">
      <alignment horizontal="center" vertical="center" wrapText="1"/>
    </xf>
    <xf numFmtId="179" fontId="38" fillId="33" borderId="0" xfId="0" applyNumberFormat="1" applyFont="1" applyFill="1" applyBorder="1" applyAlignment="1">
      <alignment horizontal="center" vertical="center" wrapText="1"/>
    </xf>
    <xf numFmtId="179" fontId="38" fillId="0" borderId="0" xfId="0" applyNumberFormat="1" applyFont="1" applyFill="1" applyBorder="1" applyAlignment="1">
      <alignment horizontal="left" vertical="center" wrapText="1"/>
    </xf>
    <xf numFmtId="49" fontId="38" fillId="0" borderId="0" xfId="0" applyNumberFormat="1" applyFont="1" applyAlignment="1">
      <alignment horizontal="center" vertical="center" wrapText="1"/>
    </xf>
    <xf numFmtId="0" fontId="38" fillId="0" borderId="0" xfId="0" applyFont="1" applyAlignment="1">
      <alignment horizontal="left" vertical="center" wrapText="1"/>
    </xf>
    <xf numFmtId="179" fontId="59" fillId="0" borderId="0" xfId="0" applyNumberFormat="1" applyFont="1" applyFill="1" applyAlignment="1">
      <alignment horizontal="center" vertical="center" wrapText="1"/>
    </xf>
    <xf numFmtId="179" fontId="38" fillId="0" borderId="0" xfId="0" applyNumberFormat="1" applyFont="1" applyFill="1" applyAlignment="1">
      <alignment horizontal="center" vertical="center" wrapText="1"/>
    </xf>
    <xf numFmtId="0" fontId="0" fillId="0" borderId="0" xfId="0" applyFont="1" applyAlignment="1">
      <alignment/>
    </xf>
    <xf numFmtId="0" fontId="38" fillId="0" borderId="0" xfId="0" applyFont="1" applyAlignment="1">
      <alignment horizontal="right"/>
    </xf>
    <xf numFmtId="0" fontId="0" fillId="33" borderId="16" xfId="0" applyFont="1" applyFill="1" applyBorder="1" applyAlignment="1">
      <alignment/>
    </xf>
    <xf numFmtId="0" fontId="38" fillId="0" borderId="0" xfId="0" applyFont="1" applyAlignment="1">
      <alignment/>
    </xf>
    <xf numFmtId="0" fontId="0" fillId="33" borderId="0" xfId="0" applyFill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7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8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D246" sqref="D246:K254"/>
    </sheetView>
  </sheetViews>
  <sheetFormatPr defaultColWidth="9.125" defaultRowHeight="12.75" outlineLevelCol="1"/>
  <cols>
    <col min="1" max="1" width="21.375" style="1" customWidth="1"/>
    <col min="2" max="2" width="6.625" style="1" hidden="1" customWidth="1"/>
    <col min="3" max="3" width="49.00390625" style="1" customWidth="1"/>
    <col min="4" max="4" width="10.50390625" style="1" customWidth="1"/>
    <col min="5" max="6" width="11.50390625" style="1" customWidth="1"/>
    <col min="7" max="7" width="10.50390625" style="1" hidden="1" customWidth="1"/>
    <col min="8" max="8" width="12.50390625" style="1" hidden="1" customWidth="1"/>
    <col min="9" max="9" width="10.625" style="1" hidden="1" customWidth="1"/>
    <col min="10" max="10" width="8.50390625" style="1" hidden="1" customWidth="1" outlineLevel="1"/>
    <col min="11" max="11" width="11.00390625" style="1" customWidth="1" collapsed="1"/>
    <col min="12" max="12" width="8.375" style="1" customWidth="1"/>
    <col min="13" max="13" width="8.00390625" style="1" customWidth="1"/>
    <col min="14" max="16384" width="9.125" style="1" customWidth="1"/>
  </cols>
  <sheetData>
    <row r="1" spans="1:14" ht="12.75">
      <c r="A1" s="94" t="s">
        <v>81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</row>
    <row r="2" spans="1:11" ht="9.75" customHeight="1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</row>
    <row r="3" spans="1:11" ht="14.25" customHeight="1">
      <c r="A3" s="22"/>
      <c r="B3" s="22"/>
      <c r="C3" s="23"/>
      <c r="D3" s="23"/>
      <c r="E3" s="23"/>
      <c r="F3" s="23"/>
      <c r="G3" s="23"/>
      <c r="H3" s="23"/>
      <c r="I3" s="24"/>
      <c r="J3" s="24"/>
      <c r="K3" s="25" t="s">
        <v>69</v>
      </c>
    </row>
    <row r="4" spans="1:14" ht="12.75" customHeight="1">
      <c r="A4" s="26" t="s">
        <v>41</v>
      </c>
      <c r="B4" s="26"/>
      <c r="C4" s="27"/>
      <c r="D4" s="91" t="s">
        <v>76</v>
      </c>
      <c r="E4" s="91" t="s">
        <v>77</v>
      </c>
      <c r="F4" s="91" t="s">
        <v>80</v>
      </c>
      <c r="G4" s="95" t="s">
        <v>72</v>
      </c>
      <c r="H4" s="95" t="s">
        <v>73</v>
      </c>
      <c r="I4" s="95" t="s">
        <v>74</v>
      </c>
      <c r="J4" s="95" t="s">
        <v>75</v>
      </c>
      <c r="K4" s="91" t="s">
        <v>82</v>
      </c>
      <c r="L4" s="91" t="s">
        <v>83</v>
      </c>
      <c r="M4" s="91" t="s">
        <v>78</v>
      </c>
      <c r="N4" s="91" t="s">
        <v>79</v>
      </c>
    </row>
    <row r="5" spans="1:14" ht="27.75" customHeight="1">
      <c r="A5" s="28" t="s">
        <v>46</v>
      </c>
      <c r="B5" s="28"/>
      <c r="C5" s="29" t="s">
        <v>16</v>
      </c>
      <c r="D5" s="92"/>
      <c r="E5" s="92"/>
      <c r="F5" s="92"/>
      <c r="G5" s="96"/>
      <c r="H5" s="96"/>
      <c r="I5" s="96"/>
      <c r="J5" s="96"/>
      <c r="K5" s="92"/>
      <c r="L5" s="92"/>
      <c r="M5" s="92"/>
      <c r="N5" s="92"/>
    </row>
    <row r="6" spans="1:14" ht="39.75" customHeight="1">
      <c r="A6" s="28"/>
      <c r="B6" s="28"/>
      <c r="C6" s="29"/>
      <c r="D6" s="93"/>
      <c r="E6" s="93"/>
      <c r="F6" s="93"/>
      <c r="G6" s="97"/>
      <c r="H6" s="97"/>
      <c r="I6" s="97"/>
      <c r="J6" s="97"/>
      <c r="K6" s="93"/>
      <c r="L6" s="93"/>
      <c r="M6" s="93"/>
      <c r="N6" s="93"/>
    </row>
    <row r="7" spans="1:14" ht="12.75">
      <c r="A7" s="88" t="s">
        <v>24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</row>
    <row r="8" spans="1:14" ht="12.75">
      <c r="A8" s="32" t="s">
        <v>3</v>
      </c>
      <c r="B8" s="32"/>
      <c r="C8" s="33" t="s">
        <v>68</v>
      </c>
      <c r="D8" s="34">
        <f aca="true" t="shared" si="0" ref="D8:J8">D9+D11+D12+D13+D15+D16+D18+D20+D14+D21+D17+D19+D10</f>
        <v>790943.5000000001</v>
      </c>
      <c r="E8" s="34">
        <f t="shared" si="0"/>
        <v>820144.1000000002</v>
      </c>
      <c r="F8" s="34">
        <f t="shared" si="0"/>
        <v>437856.89999999997</v>
      </c>
      <c r="G8" s="34">
        <f t="shared" si="0"/>
        <v>212683.69999999998</v>
      </c>
      <c r="H8" s="34">
        <f t="shared" si="0"/>
        <v>225173.19999999998</v>
      </c>
      <c r="I8" s="34">
        <f t="shared" si="0"/>
        <v>182015</v>
      </c>
      <c r="J8" s="34">
        <f t="shared" si="0"/>
        <v>200272.2</v>
      </c>
      <c r="K8" s="34">
        <f>K9+K11+K12+K13+K15+K16+K18+K20+K14+K21+K17+K19+K10+0.1</f>
        <v>366240.5999999999</v>
      </c>
      <c r="L8" s="34">
        <f aca="true" t="shared" si="1" ref="L8:L13">K8*100/F8</f>
        <v>83.64390283674871</v>
      </c>
      <c r="M8" s="15">
        <f aca="true" t="shared" si="2" ref="M8:M13">K8*100/E8</f>
        <v>44.65564039295044</v>
      </c>
      <c r="N8" s="15">
        <f aca="true" t="shared" si="3" ref="N8:N20">K8*100/D8</f>
        <v>46.304268256835016</v>
      </c>
    </row>
    <row r="9" spans="1:14" ht="12.75">
      <c r="A9" s="35" t="s">
        <v>23</v>
      </c>
      <c r="B9" s="35"/>
      <c r="C9" s="36" t="s">
        <v>22</v>
      </c>
      <c r="D9" s="21">
        <v>599585.5</v>
      </c>
      <c r="E9" s="21">
        <f>G9+H9+I9+J9</f>
        <v>604051.7000000001</v>
      </c>
      <c r="F9" s="21">
        <f>G9+H9</f>
        <v>320520.2</v>
      </c>
      <c r="G9" s="21">
        <v>160258.2</v>
      </c>
      <c r="H9" s="21">
        <v>160262</v>
      </c>
      <c r="I9" s="14">
        <v>135377.6</v>
      </c>
      <c r="J9" s="37">
        <v>148153.9</v>
      </c>
      <c r="K9" s="37">
        <v>267634.8</v>
      </c>
      <c r="L9" s="14">
        <f t="shared" si="1"/>
        <v>83.50013509288962</v>
      </c>
      <c r="M9" s="37">
        <f t="shared" si="2"/>
        <v>44.306604881668235</v>
      </c>
      <c r="N9" s="13">
        <f t="shared" si="3"/>
        <v>44.63663647636576</v>
      </c>
    </row>
    <row r="10" spans="1:14" ht="12.75">
      <c r="A10" s="35" t="s">
        <v>70</v>
      </c>
      <c r="B10" s="35"/>
      <c r="C10" s="38" t="s">
        <v>71</v>
      </c>
      <c r="D10" s="39">
        <v>5380.3</v>
      </c>
      <c r="E10" s="39">
        <f aca="true" t="shared" si="4" ref="E10:E26">G10+H10+I10+J10</f>
        <v>5600</v>
      </c>
      <c r="F10" s="21">
        <f aca="true" t="shared" si="5" ref="F10:F26">G10+H10</f>
        <v>2833.3</v>
      </c>
      <c r="G10" s="39">
        <v>1434.4</v>
      </c>
      <c r="H10" s="39">
        <v>1398.9</v>
      </c>
      <c r="I10" s="12">
        <v>1417.8</v>
      </c>
      <c r="J10" s="13">
        <v>1348.9</v>
      </c>
      <c r="K10" s="13">
        <v>2368.3</v>
      </c>
      <c r="L10" s="14">
        <f t="shared" si="1"/>
        <v>83.58804221226133</v>
      </c>
      <c r="M10" s="13">
        <f t="shared" si="2"/>
        <v>42.291071428571435</v>
      </c>
      <c r="N10" s="13">
        <f t="shared" si="3"/>
        <v>44.01799156180883</v>
      </c>
    </row>
    <row r="11" spans="1:14" ht="12.75">
      <c r="A11" s="35" t="s">
        <v>8</v>
      </c>
      <c r="B11" s="35"/>
      <c r="C11" s="38" t="s">
        <v>5</v>
      </c>
      <c r="D11" s="39">
        <v>45380</v>
      </c>
      <c r="E11" s="39">
        <f t="shared" si="4"/>
        <v>46520</v>
      </c>
      <c r="F11" s="21">
        <f t="shared" si="5"/>
        <v>25203</v>
      </c>
      <c r="G11" s="39">
        <v>8285.2</v>
      </c>
      <c r="H11" s="39">
        <v>16917.8</v>
      </c>
      <c r="I11" s="12">
        <v>10551.5</v>
      </c>
      <c r="J11" s="13">
        <v>10765.5</v>
      </c>
      <c r="K11" s="13">
        <v>24933.2</v>
      </c>
      <c r="L11" s="14">
        <f t="shared" si="1"/>
        <v>98.92949252073166</v>
      </c>
      <c r="M11" s="13">
        <f t="shared" si="2"/>
        <v>53.59673258813414</v>
      </c>
      <c r="N11" s="13">
        <f t="shared" si="3"/>
        <v>54.943146760687526</v>
      </c>
    </row>
    <row r="12" spans="1:14" ht="12.75">
      <c r="A12" s="35" t="s">
        <v>9</v>
      </c>
      <c r="B12" s="35"/>
      <c r="C12" s="38" t="s">
        <v>6</v>
      </c>
      <c r="D12" s="39">
        <v>2500</v>
      </c>
      <c r="E12" s="39">
        <f t="shared" si="4"/>
        <v>3570</v>
      </c>
      <c r="F12" s="21">
        <f t="shared" si="5"/>
        <v>1826.9</v>
      </c>
      <c r="G12" s="39">
        <v>1005.8</v>
      </c>
      <c r="H12" s="39">
        <v>821.1</v>
      </c>
      <c r="I12" s="12">
        <v>841.5</v>
      </c>
      <c r="J12" s="13">
        <v>901.6</v>
      </c>
      <c r="K12" s="13">
        <v>1969.6</v>
      </c>
      <c r="L12" s="14">
        <f t="shared" si="1"/>
        <v>107.81104603426569</v>
      </c>
      <c r="M12" s="13">
        <f t="shared" si="2"/>
        <v>55.17086834733894</v>
      </c>
      <c r="N12" s="13">
        <f t="shared" si="3"/>
        <v>78.784</v>
      </c>
    </row>
    <row r="13" spans="1:14" ht="12.75">
      <c r="A13" s="35" t="s">
        <v>10</v>
      </c>
      <c r="B13" s="35"/>
      <c r="C13" s="38" t="s">
        <v>21</v>
      </c>
      <c r="D13" s="39">
        <v>3105</v>
      </c>
      <c r="E13" s="39">
        <f t="shared" si="4"/>
        <v>3105</v>
      </c>
      <c r="F13" s="21">
        <f t="shared" si="5"/>
        <v>1739</v>
      </c>
      <c r="G13" s="39">
        <v>932.5</v>
      </c>
      <c r="H13" s="39">
        <v>806.5</v>
      </c>
      <c r="I13" s="12">
        <v>632</v>
      </c>
      <c r="J13" s="13">
        <v>734</v>
      </c>
      <c r="K13" s="13">
        <v>1540.7</v>
      </c>
      <c r="L13" s="14">
        <f t="shared" si="1"/>
        <v>88.59689476710753</v>
      </c>
      <c r="M13" s="13">
        <f t="shared" si="2"/>
        <v>49.61996779388084</v>
      </c>
      <c r="N13" s="13">
        <f t="shared" si="3"/>
        <v>49.61996779388084</v>
      </c>
    </row>
    <row r="14" spans="1:14" ht="21.75" customHeight="1" hidden="1">
      <c r="A14" s="35" t="s">
        <v>37</v>
      </c>
      <c r="B14" s="35"/>
      <c r="C14" s="38" t="s">
        <v>38</v>
      </c>
      <c r="D14" s="39"/>
      <c r="E14" s="39">
        <f t="shared" si="4"/>
        <v>0</v>
      </c>
      <c r="F14" s="21">
        <f t="shared" si="5"/>
        <v>0</v>
      </c>
      <c r="G14" s="39"/>
      <c r="H14" s="39"/>
      <c r="I14" s="12"/>
      <c r="J14" s="13"/>
      <c r="K14" s="13"/>
      <c r="L14" s="14"/>
      <c r="M14" s="13"/>
      <c r="N14" s="13" t="e">
        <f t="shared" si="3"/>
        <v>#DIV/0!</v>
      </c>
    </row>
    <row r="15" spans="1:14" ht="22.5">
      <c r="A15" s="40" t="s">
        <v>11</v>
      </c>
      <c r="B15" s="40"/>
      <c r="C15" s="38" t="s">
        <v>17</v>
      </c>
      <c r="D15" s="39">
        <v>99505.9</v>
      </c>
      <c r="E15" s="39">
        <f t="shared" si="4"/>
        <v>104505.9</v>
      </c>
      <c r="F15" s="21">
        <f t="shared" si="5"/>
        <v>55274.5</v>
      </c>
      <c r="G15" s="39">
        <v>26388</v>
      </c>
      <c r="H15" s="39">
        <v>28886.5</v>
      </c>
      <c r="I15" s="12">
        <v>23905.8</v>
      </c>
      <c r="J15" s="13">
        <v>25325.6</v>
      </c>
      <c r="K15" s="13">
        <v>41749.3</v>
      </c>
      <c r="L15" s="14">
        <f aca="true" t="shared" si="6" ref="L15:L20">K15*100/F15</f>
        <v>75.53085057304907</v>
      </c>
      <c r="M15" s="13">
        <f aca="true" t="shared" si="7" ref="M15:M20">K15*100/E15</f>
        <v>39.94922774695018</v>
      </c>
      <c r="N15" s="13">
        <f t="shared" si="3"/>
        <v>41.956607598142426</v>
      </c>
    </row>
    <row r="16" spans="1:14" ht="12.75">
      <c r="A16" s="41" t="s">
        <v>14</v>
      </c>
      <c r="B16" s="41"/>
      <c r="C16" s="38" t="s">
        <v>13</v>
      </c>
      <c r="D16" s="39">
        <v>4251.8</v>
      </c>
      <c r="E16" s="39">
        <f t="shared" si="4"/>
        <v>5276.2</v>
      </c>
      <c r="F16" s="21">
        <f t="shared" si="5"/>
        <v>2986.3</v>
      </c>
      <c r="G16" s="39">
        <v>1766.5</v>
      </c>
      <c r="H16" s="39">
        <v>1219.8</v>
      </c>
      <c r="I16" s="12">
        <v>1141.2</v>
      </c>
      <c r="J16" s="13">
        <v>1148.7</v>
      </c>
      <c r="K16" s="13">
        <v>2525.6</v>
      </c>
      <c r="L16" s="14">
        <f t="shared" si="6"/>
        <v>84.57288283159762</v>
      </c>
      <c r="M16" s="13">
        <f t="shared" si="7"/>
        <v>47.86778363215951</v>
      </c>
      <c r="N16" s="13">
        <f t="shared" si="3"/>
        <v>59.40072439907804</v>
      </c>
    </row>
    <row r="17" spans="1:14" ht="22.5">
      <c r="A17" s="42" t="s">
        <v>42</v>
      </c>
      <c r="B17" s="42"/>
      <c r="C17" s="38" t="s">
        <v>43</v>
      </c>
      <c r="D17" s="39">
        <v>14097.8</v>
      </c>
      <c r="E17" s="39">
        <f t="shared" si="4"/>
        <v>15097.8</v>
      </c>
      <c r="F17" s="21">
        <f t="shared" si="5"/>
        <v>6937.5</v>
      </c>
      <c r="G17" s="39">
        <v>3645.4</v>
      </c>
      <c r="H17" s="39">
        <v>3292.1</v>
      </c>
      <c r="I17" s="12">
        <v>3517.9</v>
      </c>
      <c r="J17" s="13">
        <v>4642.4</v>
      </c>
      <c r="K17" s="13">
        <v>5736.3</v>
      </c>
      <c r="L17" s="14">
        <f t="shared" si="6"/>
        <v>82.6854054054054</v>
      </c>
      <c r="M17" s="13">
        <f t="shared" si="7"/>
        <v>37.99427731192624</v>
      </c>
      <c r="N17" s="13">
        <f t="shared" si="3"/>
        <v>40.68932741278781</v>
      </c>
    </row>
    <row r="18" spans="1:14" ht="22.5">
      <c r="A18" s="42" t="s">
        <v>18</v>
      </c>
      <c r="B18" s="42"/>
      <c r="C18" s="38" t="s">
        <v>15</v>
      </c>
      <c r="D18" s="39">
        <v>16903.5</v>
      </c>
      <c r="E18" s="39">
        <f t="shared" si="4"/>
        <v>21212.9</v>
      </c>
      <c r="F18" s="21">
        <f t="shared" si="5"/>
        <v>11375.599999999999</v>
      </c>
      <c r="G18" s="39">
        <v>4861.4</v>
      </c>
      <c r="H18" s="39">
        <v>6514.2</v>
      </c>
      <c r="I18" s="12">
        <v>3434.7</v>
      </c>
      <c r="J18" s="13">
        <v>6402.6</v>
      </c>
      <c r="K18" s="13">
        <v>8625</v>
      </c>
      <c r="L18" s="14">
        <f t="shared" si="6"/>
        <v>75.82017651816169</v>
      </c>
      <c r="M18" s="13">
        <f t="shared" si="7"/>
        <v>40.659221511438794</v>
      </c>
      <c r="N18" s="13">
        <f t="shared" si="3"/>
        <v>51.024935664211554</v>
      </c>
    </row>
    <row r="19" spans="1:14" ht="12.75">
      <c r="A19" s="42" t="s">
        <v>60</v>
      </c>
      <c r="B19" s="42"/>
      <c r="C19" s="38" t="s">
        <v>61</v>
      </c>
      <c r="D19" s="39">
        <v>6</v>
      </c>
      <c r="E19" s="39">
        <f t="shared" si="4"/>
        <v>8</v>
      </c>
      <c r="F19" s="21">
        <f t="shared" si="5"/>
        <v>8</v>
      </c>
      <c r="G19" s="39">
        <v>5</v>
      </c>
      <c r="H19" s="39">
        <v>3</v>
      </c>
      <c r="I19" s="12">
        <v>0</v>
      </c>
      <c r="J19" s="13">
        <v>0</v>
      </c>
      <c r="K19" s="13">
        <v>8</v>
      </c>
      <c r="L19" s="14">
        <f t="shared" si="6"/>
        <v>100</v>
      </c>
      <c r="M19" s="13">
        <f t="shared" si="7"/>
        <v>100</v>
      </c>
      <c r="N19" s="13">
        <f t="shared" si="3"/>
        <v>133.33333333333334</v>
      </c>
    </row>
    <row r="20" spans="1:14" ht="12.75">
      <c r="A20" s="43" t="s">
        <v>12</v>
      </c>
      <c r="B20" s="43"/>
      <c r="C20" s="38" t="s">
        <v>7</v>
      </c>
      <c r="D20" s="39">
        <v>227.7</v>
      </c>
      <c r="E20" s="39">
        <f t="shared" si="4"/>
        <v>11183.8</v>
      </c>
      <c r="F20" s="21">
        <f t="shared" si="5"/>
        <v>9139.8</v>
      </c>
      <c r="G20" s="39">
        <v>4088.5</v>
      </c>
      <c r="H20" s="39">
        <v>5051.3</v>
      </c>
      <c r="I20" s="12">
        <v>1195</v>
      </c>
      <c r="J20" s="13">
        <v>849</v>
      </c>
      <c r="K20" s="13">
        <v>9106.9</v>
      </c>
      <c r="L20" s="14">
        <f t="shared" si="6"/>
        <v>99.64003588699973</v>
      </c>
      <c r="M20" s="13">
        <f t="shared" si="7"/>
        <v>81.42938893757042</v>
      </c>
      <c r="N20" s="13">
        <f t="shared" si="3"/>
        <v>3999.516908212561</v>
      </c>
    </row>
    <row r="21" spans="1:14" ht="12.75">
      <c r="A21" s="44" t="s">
        <v>39</v>
      </c>
      <c r="B21" s="45"/>
      <c r="C21" s="46" t="s">
        <v>40</v>
      </c>
      <c r="D21" s="39">
        <v>0</v>
      </c>
      <c r="E21" s="39">
        <f t="shared" si="4"/>
        <v>12.8</v>
      </c>
      <c r="F21" s="21">
        <f t="shared" si="5"/>
        <v>12.8</v>
      </c>
      <c r="G21" s="39">
        <v>12.8</v>
      </c>
      <c r="H21" s="39"/>
      <c r="I21" s="12"/>
      <c r="J21" s="13"/>
      <c r="K21" s="13">
        <v>42.8</v>
      </c>
      <c r="L21" s="14"/>
      <c r="M21" s="13"/>
      <c r="N21" s="13"/>
    </row>
    <row r="22" spans="1:14" ht="12.75">
      <c r="A22" s="47" t="s">
        <v>1</v>
      </c>
      <c r="B22" s="47"/>
      <c r="C22" s="48" t="s">
        <v>0</v>
      </c>
      <c r="D22" s="17">
        <f aca="true" t="shared" si="8" ref="D22:J22">D23+D24+D26+D25</f>
        <v>2692801.9</v>
      </c>
      <c r="E22" s="17">
        <f>E23+E24+E26+E25</f>
        <v>2914356.7</v>
      </c>
      <c r="F22" s="17">
        <f t="shared" si="8"/>
        <v>1533526.7</v>
      </c>
      <c r="G22" s="17">
        <f t="shared" si="8"/>
        <v>847604.6</v>
      </c>
      <c r="H22" s="17">
        <f t="shared" si="8"/>
        <v>685922.1000000001</v>
      </c>
      <c r="I22" s="17">
        <f t="shared" si="8"/>
        <v>679857</v>
      </c>
      <c r="J22" s="17">
        <f t="shared" si="8"/>
        <v>700973</v>
      </c>
      <c r="K22" s="17">
        <f>K23+K24+K26+K25</f>
        <v>1066277.5999999999</v>
      </c>
      <c r="L22" s="16">
        <f aca="true" t="shared" si="9" ref="L22:L27">K22*100/F22</f>
        <v>69.53107500508467</v>
      </c>
      <c r="M22" s="15">
        <f aca="true" t="shared" si="10" ref="M22:M27">K22*100/E22</f>
        <v>36.587065680738384</v>
      </c>
      <c r="N22" s="15">
        <f>K22*100/D22</f>
        <v>39.597327972770664</v>
      </c>
    </row>
    <row r="23" spans="1:14" ht="22.5">
      <c r="A23" s="49" t="s">
        <v>67</v>
      </c>
      <c r="B23" s="35"/>
      <c r="C23" s="50" t="s">
        <v>20</v>
      </c>
      <c r="D23" s="51">
        <v>2692801.9</v>
      </c>
      <c r="E23" s="39">
        <f t="shared" si="4"/>
        <v>2891075.2</v>
      </c>
      <c r="F23" s="21">
        <f t="shared" si="5"/>
        <v>1522622.3</v>
      </c>
      <c r="G23" s="39">
        <v>844658</v>
      </c>
      <c r="H23" s="39">
        <v>677964.3</v>
      </c>
      <c r="I23" s="13">
        <v>672479.9</v>
      </c>
      <c r="J23" s="13">
        <v>695973</v>
      </c>
      <c r="K23" s="13">
        <v>1060283.2</v>
      </c>
      <c r="L23" s="14">
        <f t="shared" si="9"/>
        <v>69.635338980652</v>
      </c>
      <c r="M23" s="13">
        <f t="shared" si="10"/>
        <v>36.674355616899895</v>
      </c>
      <c r="N23" s="13">
        <f>K23*100/D23</f>
        <v>39.374719692525474</v>
      </c>
    </row>
    <row r="24" spans="1:14" ht="13.5" customHeight="1">
      <c r="A24" s="49" t="s">
        <v>2</v>
      </c>
      <c r="B24" s="49"/>
      <c r="C24" s="52" t="s">
        <v>19</v>
      </c>
      <c r="D24" s="53">
        <v>0</v>
      </c>
      <c r="E24" s="39">
        <f t="shared" si="4"/>
        <v>25000</v>
      </c>
      <c r="F24" s="21">
        <f t="shared" si="5"/>
        <v>12622.900000000001</v>
      </c>
      <c r="G24" s="53">
        <v>4665.1</v>
      </c>
      <c r="H24" s="53">
        <v>7957.8</v>
      </c>
      <c r="I24" s="13">
        <v>7377.1</v>
      </c>
      <c r="J24" s="13">
        <v>5000</v>
      </c>
      <c r="K24" s="13">
        <v>7712.9</v>
      </c>
      <c r="L24" s="14">
        <f t="shared" si="9"/>
        <v>61.102440802034394</v>
      </c>
      <c r="M24" s="13">
        <f t="shared" si="10"/>
        <v>30.8516</v>
      </c>
      <c r="N24" s="13"/>
    </row>
    <row r="25" spans="1:14" ht="40.5" customHeight="1" hidden="1">
      <c r="A25" s="49" t="s">
        <v>65</v>
      </c>
      <c r="B25" s="54" t="s">
        <v>64</v>
      </c>
      <c r="C25" s="46" t="s">
        <v>64</v>
      </c>
      <c r="D25" s="39">
        <v>0</v>
      </c>
      <c r="E25" s="39">
        <f t="shared" si="4"/>
        <v>0</v>
      </c>
      <c r="F25" s="21">
        <f t="shared" si="5"/>
        <v>0</v>
      </c>
      <c r="G25" s="39"/>
      <c r="H25" s="39"/>
      <c r="I25" s="13"/>
      <c r="J25" s="13"/>
      <c r="K25" s="13"/>
      <c r="L25" s="14" t="e">
        <f t="shared" si="9"/>
        <v>#DIV/0!</v>
      </c>
      <c r="M25" s="13" t="e">
        <f t="shared" si="10"/>
        <v>#DIV/0!</v>
      </c>
      <c r="N25" s="13"/>
    </row>
    <row r="26" spans="1:14" ht="39" customHeight="1">
      <c r="A26" s="49" t="s">
        <v>66</v>
      </c>
      <c r="B26" s="55"/>
      <c r="C26" s="56" t="s">
        <v>63</v>
      </c>
      <c r="D26" s="57">
        <v>0</v>
      </c>
      <c r="E26" s="39">
        <f t="shared" si="4"/>
        <v>-1718.5</v>
      </c>
      <c r="F26" s="21">
        <f t="shared" si="5"/>
        <v>-1718.5</v>
      </c>
      <c r="G26" s="57">
        <v>-1718.5</v>
      </c>
      <c r="H26" s="57"/>
      <c r="I26" s="13"/>
      <c r="J26" s="13"/>
      <c r="K26" s="13">
        <v>-1718.5</v>
      </c>
      <c r="L26" s="14">
        <f t="shared" si="9"/>
        <v>100</v>
      </c>
      <c r="M26" s="13">
        <f t="shared" si="10"/>
        <v>100</v>
      </c>
      <c r="N26" s="13"/>
    </row>
    <row r="27" spans="1:14" ht="12.75">
      <c r="A27" s="43"/>
      <c r="B27" s="58"/>
      <c r="C27" s="59" t="s">
        <v>4</v>
      </c>
      <c r="D27" s="15">
        <f aca="true" t="shared" si="11" ref="D27:K27">D22+D8</f>
        <v>3483745.4</v>
      </c>
      <c r="E27" s="15">
        <f t="shared" si="11"/>
        <v>3734500.8000000003</v>
      </c>
      <c r="F27" s="15">
        <f t="shared" si="11"/>
        <v>1971383.5999999999</v>
      </c>
      <c r="G27" s="15">
        <f t="shared" si="11"/>
        <v>1060288.3</v>
      </c>
      <c r="H27" s="15">
        <f t="shared" si="11"/>
        <v>911095.3</v>
      </c>
      <c r="I27" s="15">
        <f t="shared" si="11"/>
        <v>861872</v>
      </c>
      <c r="J27" s="15">
        <f t="shared" si="11"/>
        <v>901245.2</v>
      </c>
      <c r="K27" s="15">
        <f t="shared" si="11"/>
        <v>1432518.1999999997</v>
      </c>
      <c r="L27" s="16">
        <f t="shared" si="9"/>
        <v>72.66562428540036</v>
      </c>
      <c r="M27" s="15">
        <f t="shared" si="10"/>
        <v>38.35902779830706</v>
      </c>
      <c r="N27" s="15">
        <f>K27*100/D27</f>
        <v>41.120060036534234</v>
      </c>
    </row>
    <row r="28" spans="1:14" ht="12.75">
      <c r="A28" s="85"/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16"/>
      <c r="M28" s="15"/>
      <c r="N28" s="13"/>
    </row>
    <row r="29" spans="1:14" ht="12.75">
      <c r="A29" s="88" t="s">
        <v>25</v>
      </c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90"/>
    </row>
    <row r="30" spans="1:14" ht="12.75">
      <c r="A30" s="47" t="s">
        <v>3</v>
      </c>
      <c r="B30" s="47"/>
      <c r="C30" s="60" t="s">
        <v>68</v>
      </c>
      <c r="D30" s="16">
        <f aca="true" t="shared" si="12" ref="D30:J30">D31+D33+D35+D37+D34+D36+D39+D32</f>
        <v>18979.500000000004</v>
      </c>
      <c r="E30" s="16">
        <f t="shared" si="12"/>
        <v>18979.500000000004</v>
      </c>
      <c r="F30" s="16">
        <f t="shared" si="12"/>
        <v>9489.7</v>
      </c>
      <c r="G30" s="16">
        <f t="shared" si="12"/>
        <v>4744.8</v>
      </c>
      <c r="H30" s="16">
        <f t="shared" si="12"/>
        <v>4744.900000000001</v>
      </c>
      <c r="I30" s="16">
        <f t="shared" si="12"/>
        <v>4744.900000000001</v>
      </c>
      <c r="J30" s="16">
        <f t="shared" si="12"/>
        <v>4744.900000000001</v>
      </c>
      <c r="K30" s="16">
        <f>K31+K33+K35+K37+K34+K36+K39+K32+K38</f>
        <v>7481.4</v>
      </c>
      <c r="L30" s="16">
        <f aca="true" t="shared" si="13" ref="L30:L37">K30*100/F30</f>
        <v>78.83705491216793</v>
      </c>
      <c r="M30" s="15">
        <f aca="true" t="shared" si="14" ref="M30:M37">K30*100/E30</f>
        <v>39.41831976606338</v>
      </c>
      <c r="N30" s="15">
        <f aca="true" t="shared" si="15" ref="N30:N37">K30*100/D30</f>
        <v>39.41831976606338</v>
      </c>
    </row>
    <row r="31" spans="1:14" ht="12.75">
      <c r="A31" s="35" t="s">
        <v>23</v>
      </c>
      <c r="B31" s="35"/>
      <c r="C31" s="36" t="s">
        <v>22</v>
      </c>
      <c r="D31" s="21">
        <v>13550</v>
      </c>
      <c r="E31" s="39">
        <f aca="true" t="shared" si="16" ref="E31:E37">G31+H31+I31+J31</f>
        <v>13550</v>
      </c>
      <c r="F31" s="21">
        <f aca="true" t="shared" si="17" ref="F31:F41">G31+H31</f>
        <v>6775</v>
      </c>
      <c r="G31" s="21">
        <v>3387.5</v>
      </c>
      <c r="H31" s="21">
        <v>3387.5</v>
      </c>
      <c r="I31" s="12">
        <v>3387.5</v>
      </c>
      <c r="J31" s="13">
        <v>3387.5</v>
      </c>
      <c r="K31" s="37">
        <v>5766.8</v>
      </c>
      <c r="L31" s="14">
        <f t="shared" si="13"/>
        <v>85.11881918819188</v>
      </c>
      <c r="M31" s="13">
        <f t="shared" si="14"/>
        <v>42.55940959409594</v>
      </c>
      <c r="N31" s="13">
        <f t="shared" si="15"/>
        <v>42.55940959409594</v>
      </c>
    </row>
    <row r="32" spans="1:14" ht="12.75">
      <c r="A32" s="35" t="s">
        <v>70</v>
      </c>
      <c r="B32" s="35"/>
      <c r="C32" s="38" t="s">
        <v>71</v>
      </c>
      <c r="D32" s="39">
        <v>1549.2</v>
      </c>
      <c r="E32" s="39">
        <f t="shared" si="16"/>
        <v>1549.2</v>
      </c>
      <c r="F32" s="21">
        <f t="shared" si="17"/>
        <v>774.6</v>
      </c>
      <c r="G32" s="21">
        <v>387.3</v>
      </c>
      <c r="H32" s="21">
        <v>387.3</v>
      </c>
      <c r="I32" s="12">
        <v>387.3</v>
      </c>
      <c r="J32" s="13">
        <v>387.3</v>
      </c>
      <c r="K32" s="37">
        <v>681.9</v>
      </c>
      <c r="L32" s="14">
        <f t="shared" si="13"/>
        <v>88.03253292021688</v>
      </c>
      <c r="M32" s="13">
        <f t="shared" si="14"/>
        <v>44.01626646010844</v>
      </c>
      <c r="N32" s="13">
        <f t="shared" si="15"/>
        <v>44.01626646010844</v>
      </c>
    </row>
    <row r="33" spans="1:14" ht="12.75">
      <c r="A33" s="35" t="s">
        <v>9</v>
      </c>
      <c r="B33" s="35"/>
      <c r="C33" s="38" t="s">
        <v>6</v>
      </c>
      <c r="D33" s="39">
        <v>900</v>
      </c>
      <c r="E33" s="39">
        <f t="shared" si="16"/>
        <v>900</v>
      </c>
      <c r="F33" s="21">
        <f t="shared" si="17"/>
        <v>450</v>
      </c>
      <c r="G33" s="39">
        <v>225</v>
      </c>
      <c r="H33" s="39">
        <v>225</v>
      </c>
      <c r="I33" s="12">
        <v>225</v>
      </c>
      <c r="J33" s="13">
        <v>225</v>
      </c>
      <c r="K33" s="13">
        <v>198.2</v>
      </c>
      <c r="L33" s="14">
        <f t="shared" si="13"/>
        <v>44.044444444444444</v>
      </c>
      <c r="M33" s="13">
        <f t="shared" si="14"/>
        <v>22.022222222222222</v>
      </c>
      <c r="N33" s="13">
        <f t="shared" si="15"/>
        <v>22.022222222222222</v>
      </c>
    </row>
    <row r="34" spans="1:14" ht="12.75">
      <c r="A34" s="35" t="s">
        <v>10</v>
      </c>
      <c r="B34" s="35"/>
      <c r="C34" s="38" t="s">
        <v>21</v>
      </c>
      <c r="D34" s="39">
        <v>24.7</v>
      </c>
      <c r="E34" s="39">
        <f t="shared" si="16"/>
        <v>24.700000000000003</v>
      </c>
      <c r="F34" s="21">
        <f t="shared" si="17"/>
        <v>12.4</v>
      </c>
      <c r="G34" s="39">
        <v>6.2</v>
      </c>
      <c r="H34" s="39">
        <v>6.2</v>
      </c>
      <c r="I34" s="12">
        <v>6.2</v>
      </c>
      <c r="J34" s="13">
        <v>6.1</v>
      </c>
      <c r="K34" s="13">
        <v>4.3</v>
      </c>
      <c r="L34" s="14">
        <f t="shared" si="13"/>
        <v>34.67741935483871</v>
      </c>
      <c r="M34" s="13">
        <f t="shared" si="14"/>
        <v>17.40890688259109</v>
      </c>
      <c r="N34" s="13">
        <f t="shared" si="15"/>
        <v>17.408906882591094</v>
      </c>
    </row>
    <row r="35" spans="1:14" ht="22.5">
      <c r="A35" s="40" t="s">
        <v>11</v>
      </c>
      <c r="B35" s="40"/>
      <c r="C35" s="38" t="s">
        <v>17</v>
      </c>
      <c r="D35" s="39">
        <v>2015.2</v>
      </c>
      <c r="E35" s="39">
        <f t="shared" si="16"/>
        <v>2015.2</v>
      </c>
      <c r="F35" s="21">
        <f t="shared" si="17"/>
        <v>1007.6</v>
      </c>
      <c r="G35" s="39">
        <v>503.8</v>
      </c>
      <c r="H35" s="39">
        <v>503.8</v>
      </c>
      <c r="I35" s="12">
        <v>503.8</v>
      </c>
      <c r="J35" s="13">
        <v>503.8</v>
      </c>
      <c r="K35" s="13">
        <v>480.2</v>
      </c>
      <c r="L35" s="14">
        <f t="shared" si="13"/>
        <v>47.65780071456927</v>
      </c>
      <c r="M35" s="13">
        <f t="shared" si="14"/>
        <v>23.828900357284635</v>
      </c>
      <c r="N35" s="13">
        <f t="shared" si="15"/>
        <v>23.828900357284635</v>
      </c>
    </row>
    <row r="36" spans="1:14" ht="15" customHeight="1">
      <c r="A36" s="42" t="s">
        <v>42</v>
      </c>
      <c r="B36" s="42"/>
      <c r="C36" s="38" t="s">
        <v>43</v>
      </c>
      <c r="D36" s="39">
        <v>755.9</v>
      </c>
      <c r="E36" s="39">
        <f t="shared" si="16"/>
        <v>755.9</v>
      </c>
      <c r="F36" s="21">
        <f t="shared" si="17"/>
        <v>377.9</v>
      </c>
      <c r="G36" s="39">
        <v>188.9</v>
      </c>
      <c r="H36" s="39">
        <v>189</v>
      </c>
      <c r="I36" s="12">
        <v>189</v>
      </c>
      <c r="J36" s="13">
        <v>189</v>
      </c>
      <c r="K36" s="13">
        <v>316</v>
      </c>
      <c r="L36" s="14">
        <f t="shared" si="13"/>
        <v>83.62000529240541</v>
      </c>
      <c r="M36" s="13">
        <f t="shared" si="14"/>
        <v>41.804471490937956</v>
      </c>
      <c r="N36" s="13">
        <f t="shared" si="15"/>
        <v>41.804471490937956</v>
      </c>
    </row>
    <row r="37" spans="1:14" ht="14.25" customHeight="1">
      <c r="A37" s="41" t="s">
        <v>18</v>
      </c>
      <c r="B37" s="41"/>
      <c r="C37" s="38" t="s">
        <v>15</v>
      </c>
      <c r="D37" s="39">
        <v>184.5</v>
      </c>
      <c r="E37" s="39">
        <f t="shared" si="16"/>
        <v>184.5</v>
      </c>
      <c r="F37" s="21">
        <f t="shared" si="17"/>
        <v>92.2</v>
      </c>
      <c r="G37" s="39">
        <v>46.1</v>
      </c>
      <c r="H37" s="39">
        <v>46.1</v>
      </c>
      <c r="I37" s="12">
        <v>46.1</v>
      </c>
      <c r="J37" s="13">
        <v>46.2</v>
      </c>
      <c r="K37" s="13">
        <v>34</v>
      </c>
      <c r="L37" s="14">
        <f t="shared" si="13"/>
        <v>36.8763557483731</v>
      </c>
      <c r="M37" s="13">
        <f t="shared" si="14"/>
        <v>18.428184281842817</v>
      </c>
      <c r="N37" s="13">
        <f t="shared" si="15"/>
        <v>18.428184281842817</v>
      </c>
    </row>
    <row r="38" spans="1:14" ht="14.25" customHeight="1" hidden="1">
      <c r="A38" s="43" t="s">
        <v>12</v>
      </c>
      <c r="B38" s="61"/>
      <c r="C38" s="38" t="s">
        <v>7</v>
      </c>
      <c r="D38" s="62"/>
      <c r="E38" s="39"/>
      <c r="F38" s="21">
        <f t="shared" si="17"/>
        <v>0</v>
      </c>
      <c r="G38" s="39"/>
      <c r="H38" s="39"/>
      <c r="I38" s="12"/>
      <c r="J38" s="13"/>
      <c r="K38" s="13"/>
      <c r="L38" s="14"/>
      <c r="M38" s="13"/>
      <c r="N38" s="13"/>
    </row>
    <row r="39" spans="1:14" ht="15.75" customHeight="1">
      <c r="A39" s="44" t="s">
        <v>39</v>
      </c>
      <c r="B39" s="45"/>
      <c r="C39" s="46" t="s">
        <v>40</v>
      </c>
      <c r="D39" s="62"/>
      <c r="E39" s="38"/>
      <c r="F39" s="21">
        <f t="shared" si="17"/>
        <v>0</v>
      </c>
      <c r="G39" s="39"/>
      <c r="H39" s="39"/>
      <c r="I39" s="12"/>
      <c r="J39" s="13"/>
      <c r="K39" s="13"/>
      <c r="L39" s="16"/>
      <c r="M39" s="15"/>
      <c r="N39" s="13"/>
    </row>
    <row r="40" spans="1:14" ht="12.75">
      <c r="A40" s="47" t="s">
        <v>1</v>
      </c>
      <c r="B40" s="47"/>
      <c r="C40" s="48" t="s">
        <v>0</v>
      </c>
      <c r="D40" s="17">
        <f>D41+D42</f>
        <v>11863.2</v>
      </c>
      <c r="E40" s="17">
        <f>E41+E42</f>
        <v>14632.399999999998</v>
      </c>
      <c r="F40" s="17">
        <f aca="true" t="shared" si="18" ref="F40:K40">F41+F42</f>
        <v>8700.8</v>
      </c>
      <c r="G40" s="17">
        <f t="shared" si="18"/>
        <v>5375</v>
      </c>
      <c r="H40" s="17">
        <f t="shared" si="18"/>
        <v>3325.8</v>
      </c>
      <c r="I40" s="17">
        <f t="shared" si="18"/>
        <v>2965.8</v>
      </c>
      <c r="J40" s="17">
        <f t="shared" si="18"/>
        <v>2965.8</v>
      </c>
      <c r="K40" s="17">
        <f t="shared" si="18"/>
        <v>4457.9</v>
      </c>
      <c r="L40" s="16">
        <f>K40*100/F40</f>
        <v>51.23551857300478</v>
      </c>
      <c r="M40" s="15">
        <f>K40*100/E40</f>
        <v>30.465952270304257</v>
      </c>
      <c r="N40" s="15">
        <f>K40*100/D40</f>
        <v>37.5775507451615</v>
      </c>
    </row>
    <row r="41" spans="1:14" ht="22.5">
      <c r="A41" s="49" t="s">
        <v>67</v>
      </c>
      <c r="B41" s="35"/>
      <c r="C41" s="50" t="s">
        <v>20</v>
      </c>
      <c r="D41" s="51">
        <v>11863.2</v>
      </c>
      <c r="E41" s="39">
        <f>G41+H41+I41+J41</f>
        <v>14632.399999999998</v>
      </c>
      <c r="F41" s="21">
        <f t="shared" si="17"/>
        <v>8700.8</v>
      </c>
      <c r="G41" s="51">
        <v>5375</v>
      </c>
      <c r="H41" s="51">
        <v>3325.8</v>
      </c>
      <c r="I41" s="12">
        <v>2965.8</v>
      </c>
      <c r="J41" s="51">
        <v>2965.8</v>
      </c>
      <c r="K41" s="13">
        <v>4457.9</v>
      </c>
      <c r="L41" s="14">
        <f>K41*100/F41</f>
        <v>51.23551857300478</v>
      </c>
      <c r="M41" s="13">
        <f>K41*100/E41</f>
        <v>30.465952270304257</v>
      </c>
      <c r="N41" s="13">
        <f>K41*100/D41</f>
        <v>37.5775507451615</v>
      </c>
    </row>
    <row r="42" spans="1:14" ht="40.5" customHeight="1" hidden="1">
      <c r="A42" s="49" t="s">
        <v>66</v>
      </c>
      <c r="B42" s="55"/>
      <c r="C42" s="56" t="s">
        <v>63</v>
      </c>
      <c r="D42" s="57">
        <v>0</v>
      </c>
      <c r="E42" s="39">
        <f>G42+H42+I42+J42</f>
        <v>0</v>
      </c>
      <c r="F42" s="21">
        <f>G42</f>
        <v>0</v>
      </c>
      <c r="G42" s="51"/>
      <c r="H42" s="51"/>
      <c r="I42" s="12"/>
      <c r="J42" s="51"/>
      <c r="K42" s="13"/>
      <c r="L42" s="14" t="e">
        <f>K42*100/F42</f>
        <v>#DIV/0!</v>
      </c>
      <c r="M42" s="13" t="e">
        <f>K42*100/E42</f>
        <v>#DIV/0!</v>
      </c>
      <c r="N42" s="13"/>
    </row>
    <row r="43" spans="1:14" ht="12.75">
      <c r="A43" s="43"/>
      <c r="B43" s="58"/>
      <c r="C43" s="59" t="s">
        <v>4</v>
      </c>
      <c r="D43" s="15">
        <f aca="true" t="shared" si="19" ref="D43:J43">D40+D30</f>
        <v>30842.700000000004</v>
      </c>
      <c r="E43" s="15">
        <f t="shared" si="19"/>
        <v>33611.9</v>
      </c>
      <c r="F43" s="15">
        <f t="shared" si="19"/>
        <v>18190.5</v>
      </c>
      <c r="G43" s="15">
        <f t="shared" si="19"/>
        <v>10119.8</v>
      </c>
      <c r="H43" s="15">
        <f t="shared" si="19"/>
        <v>8070.700000000001</v>
      </c>
      <c r="I43" s="15">
        <f t="shared" si="19"/>
        <v>7710.700000000001</v>
      </c>
      <c r="J43" s="15">
        <f t="shared" si="19"/>
        <v>7710.700000000001</v>
      </c>
      <c r="K43" s="15">
        <f>K40+K30</f>
        <v>11939.3</v>
      </c>
      <c r="L43" s="16">
        <f>K43*100/F43</f>
        <v>65.63480937852175</v>
      </c>
      <c r="M43" s="15">
        <f>K43*100/E43</f>
        <v>35.521050580300425</v>
      </c>
      <c r="N43" s="15">
        <f>K43*100/D43</f>
        <v>38.71029449432118</v>
      </c>
    </row>
    <row r="44" spans="1:14" ht="12.75">
      <c r="A44" s="30"/>
      <c r="B44" s="31"/>
      <c r="C44" s="87"/>
      <c r="D44" s="87"/>
      <c r="E44" s="87"/>
      <c r="F44" s="87"/>
      <c r="G44" s="87"/>
      <c r="H44" s="87"/>
      <c r="I44" s="87"/>
      <c r="J44" s="87"/>
      <c r="K44" s="87"/>
      <c r="L44" s="16"/>
      <c r="M44" s="15"/>
      <c r="N44" s="13"/>
    </row>
    <row r="45" spans="1:14" ht="12.75">
      <c r="A45" s="88" t="s">
        <v>26</v>
      </c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90"/>
    </row>
    <row r="46" spans="1:14" ht="12.75">
      <c r="A46" s="47" t="s">
        <v>3</v>
      </c>
      <c r="B46" s="47"/>
      <c r="C46" s="60" t="s">
        <v>68</v>
      </c>
      <c r="D46" s="16">
        <f>D47+D50+D52+D54+D55+D56+D51+D49+D48+D53</f>
        <v>19673.7</v>
      </c>
      <c r="E46" s="16">
        <f>E47+E50+E52+E54+E55+E56+E51+E49+E48+E53</f>
        <v>19787.700000000004</v>
      </c>
      <c r="F46" s="16">
        <f aca="true" t="shared" si="20" ref="F46:K46">F47+F50+F52+F54+F55+F56+F51+F49+F48+F53</f>
        <v>9048.300000000001</v>
      </c>
      <c r="G46" s="16">
        <f t="shared" si="20"/>
        <v>4486.2</v>
      </c>
      <c r="H46" s="16">
        <f t="shared" si="20"/>
        <v>4562.1</v>
      </c>
      <c r="I46" s="16">
        <f t="shared" si="20"/>
        <v>4519.2</v>
      </c>
      <c r="J46" s="16">
        <f t="shared" si="20"/>
        <v>6220.2</v>
      </c>
      <c r="K46" s="16">
        <f t="shared" si="20"/>
        <v>9509.099999999999</v>
      </c>
      <c r="L46" s="16">
        <f aca="true" t="shared" si="21" ref="L46:L52">K46*100/F46</f>
        <v>105.0926693412022</v>
      </c>
      <c r="M46" s="15">
        <f aca="true" t="shared" si="22" ref="M46:M52">K46*100/E46</f>
        <v>48.05561030337026</v>
      </c>
      <c r="N46" s="15">
        <f aca="true" t="shared" si="23" ref="N46:N52">K46*100/D46</f>
        <v>48.33407035788895</v>
      </c>
    </row>
    <row r="47" spans="1:14" ht="12.75">
      <c r="A47" s="43" t="s">
        <v>23</v>
      </c>
      <c r="B47" s="35"/>
      <c r="C47" s="36" t="s">
        <v>22</v>
      </c>
      <c r="D47" s="21">
        <v>12400</v>
      </c>
      <c r="E47" s="39">
        <f aca="true" t="shared" si="24" ref="E47:E60">G47+H47+I47+J47</f>
        <v>12400</v>
      </c>
      <c r="F47" s="21">
        <f aca="true" t="shared" si="25" ref="F47:F58">G47+H47</f>
        <v>5843.3</v>
      </c>
      <c r="G47" s="39">
        <v>2818.5</v>
      </c>
      <c r="H47" s="39">
        <v>3024.8</v>
      </c>
      <c r="I47" s="12">
        <v>3024.7</v>
      </c>
      <c r="J47" s="13">
        <v>3532</v>
      </c>
      <c r="K47" s="37">
        <v>6266.4</v>
      </c>
      <c r="L47" s="14">
        <f t="shared" si="21"/>
        <v>107.24077148186812</v>
      </c>
      <c r="M47" s="13">
        <f t="shared" si="22"/>
        <v>50.535483870967745</v>
      </c>
      <c r="N47" s="13">
        <f t="shared" si="23"/>
        <v>50.535483870967745</v>
      </c>
    </row>
    <row r="48" spans="1:14" ht="12.75">
      <c r="A48" s="35" t="s">
        <v>70</v>
      </c>
      <c r="B48" s="35"/>
      <c r="C48" s="38" t="s">
        <v>71</v>
      </c>
      <c r="D48" s="39">
        <v>3758.4</v>
      </c>
      <c r="E48" s="39">
        <f t="shared" si="24"/>
        <v>3758.4</v>
      </c>
      <c r="F48" s="21">
        <f t="shared" si="25"/>
        <v>1878.8000000000002</v>
      </c>
      <c r="G48" s="39">
        <v>939.1</v>
      </c>
      <c r="H48" s="39">
        <v>939.7</v>
      </c>
      <c r="I48" s="12">
        <v>939.7</v>
      </c>
      <c r="J48" s="13">
        <v>939.9</v>
      </c>
      <c r="K48" s="37">
        <v>1654.4</v>
      </c>
      <c r="L48" s="14">
        <f t="shared" si="21"/>
        <v>88.05620608899297</v>
      </c>
      <c r="M48" s="13">
        <f t="shared" si="22"/>
        <v>44.018731375053214</v>
      </c>
      <c r="N48" s="13">
        <f t="shared" si="23"/>
        <v>44.018731375053214</v>
      </c>
    </row>
    <row r="49" spans="1:14" ht="12.75">
      <c r="A49" s="35" t="s">
        <v>8</v>
      </c>
      <c r="B49" s="35"/>
      <c r="C49" s="38" t="s">
        <v>5</v>
      </c>
      <c r="D49" s="39">
        <v>11</v>
      </c>
      <c r="E49" s="39">
        <f t="shared" si="24"/>
        <v>30</v>
      </c>
      <c r="F49" s="21">
        <f t="shared" si="25"/>
        <v>30</v>
      </c>
      <c r="G49" s="39">
        <v>30</v>
      </c>
      <c r="H49" s="39"/>
      <c r="I49" s="12"/>
      <c r="J49" s="13"/>
      <c r="K49" s="37">
        <v>29.3</v>
      </c>
      <c r="L49" s="14">
        <f t="shared" si="21"/>
        <v>97.66666666666667</v>
      </c>
      <c r="M49" s="13">
        <f t="shared" si="22"/>
        <v>97.66666666666667</v>
      </c>
      <c r="N49" s="13">
        <f t="shared" si="23"/>
        <v>266.3636363636364</v>
      </c>
    </row>
    <row r="50" spans="1:14" ht="14.25" customHeight="1">
      <c r="A50" s="35" t="s">
        <v>9</v>
      </c>
      <c r="B50" s="35"/>
      <c r="C50" s="38" t="s">
        <v>6</v>
      </c>
      <c r="D50" s="39">
        <v>2372.7</v>
      </c>
      <c r="E50" s="39">
        <f t="shared" si="24"/>
        <v>2372.7</v>
      </c>
      <c r="F50" s="21">
        <f t="shared" si="25"/>
        <v>673.7</v>
      </c>
      <c r="G50" s="39">
        <v>376</v>
      </c>
      <c r="H50" s="39">
        <v>297.7</v>
      </c>
      <c r="I50" s="12">
        <v>255</v>
      </c>
      <c r="J50" s="13">
        <v>1444</v>
      </c>
      <c r="K50" s="13">
        <v>1035.2</v>
      </c>
      <c r="L50" s="14">
        <f t="shared" si="21"/>
        <v>153.6588986195636</v>
      </c>
      <c r="M50" s="13">
        <f t="shared" si="22"/>
        <v>43.629620263834454</v>
      </c>
      <c r="N50" s="13">
        <f t="shared" si="23"/>
        <v>43.629620263834454</v>
      </c>
    </row>
    <row r="51" spans="1:14" ht="18" customHeight="1" hidden="1">
      <c r="A51" s="35" t="s">
        <v>10</v>
      </c>
      <c r="B51" s="35"/>
      <c r="C51" s="38" t="s">
        <v>21</v>
      </c>
      <c r="D51" s="39"/>
      <c r="E51" s="39">
        <f t="shared" si="24"/>
        <v>0</v>
      </c>
      <c r="F51" s="21">
        <f t="shared" si="25"/>
        <v>0</v>
      </c>
      <c r="G51" s="39"/>
      <c r="H51" s="39"/>
      <c r="I51" s="12"/>
      <c r="J51" s="13"/>
      <c r="K51" s="13"/>
      <c r="L51" s="14" t="e">
        <f t="shared" si="21"/>
        <v>#DIV/0!</v>
      </c>
      <c r="M51" s="13" t="e">
        <f t="shared" si="22"/>
        <v>#DIV/0!</v>
      </c>
      <c r="N51" s="13" t="e">
        <f t="shared" si="23"/>
        <v>#DIV/0!</v>
      </c>
    </row>
    <row r="52" spans="1:14" ht="22.5">
      <c r="A52" s="40" t="s">
        <v>11</v>
      </c>
      <c r="B52" s="40"/>
      <c r="C52" s="38" t="s">
        <v>17</v>
      </c>
      <c r="D52" s="39">
        <v>979</v>
      </c>
      <c r="E52" s="39">
        <f t="shared" si="24"/>
        <v>979</v>
      </c>
      <c r="F52" s="21">
        <f t="shared" si="25"/>
        <v>467.5</v>
      </c>
      <c r="G52" s="39">
        <v>212.6</v>
      </c>
      <c r="H52" s="39">
        <v>254.9</v>
      </c>
      <c r="I52" s="12">
        <v>254.8</v>
      </c>
      <c r="J52" s="13">
        <v>256.7</v>
      </c>
      <c r="K52" s="13">
        <v>344.7</v>
      </c>
      <c r="L52" s="14">
        <f t="shared" si="21"/>
        <v>73.73262032085562</v>
      </c>
      <c r="M52" s="13">
        <f t="shared" si="22"/>
        <v>35.209397344228805</v>
      </c>
      <c r="N52" s="13">
        <f t="shared" si="23"/>
        <v>35.209397344228805</v>
      </c>
    </row>
    <row r="53" spans="1:14" ht="22.5" customHeight="1">
      <c r="A53" s="42" t="s">
        <v>42</v>
      </c>
      <c r="B53" s="42"/>
      <c r="C53" s="38" t="s">
        <v>43</v>
      </c>
      <c r="D53" s="39"/>
      <c r="E53" s="39">
        <f t="shared" si="24"/>
        <v>91.9</v>
      </c>
      <c r="F53" s="21">
        <f t="shared" si="25"/>
        <v>91.9</v>
      </c>
      <c r="G53" s="39">
        <v>91.9</v>
      </c>
      <c r="H53" s="39"/>
      <c r="I53" s="12"/>
      <c r="J53" s="13"/>
      <c r="K53" s="13">
        <v>91.9</v>
      </c>
      <c r="L53" s="14"/>
      <c r="M53" s="13"/>
      <c r="N53" s="13"/>
    </row>
    <row r="54" spans="1:14" ht="22.5">
      <c r="A54" s="42" t="s">
        <v>18</v>
      </c>
      <c r="B54" s="42"/>
      <c r="C54" s="38" t="s">
        <v>15</v>
      </c>
      <c r="D54" s="39">
        <v>150</v>
      </c>
      <c r="E54" s="39">
        <f t="shared" si="24"/>
        <v>153.1</v>
      </c>
      <c r="F54" s="21">
        <f t="shared" si="25"/>
        <v>63.1</v>
      </c>
      <c r="G54" s="39">
        <v>18.1</v>
      </c>
      <c r="H54" s="39">
        <v>45</v>
      </c>
      <c r="I54" s="12">
        <v>45</v>
      </c>
      <c r="J54" s="13">
        <v>45</v>
      </c>
      <c r="K54" s="13">
        <v>57.2</v>
      </c>
      <c r="L54" s="14">
        <f>K54*100/F54</f>
        <v>90.64976228209191</v>
      </c>
      <c r="M54" s="13">
        <f>K54*100/E54</f>
        <v>37.36120182887002</v>
      </c>
      <c r="N54" s="13">
        <f>K54*100/D54</f>
        <v>38.13333333333333</v>
      </c>
    </row>
    <row r="55" spans="1:14" ht="16.5" customHeight="1">
      <c r="A55" s="43" t="s">
        <v>12</v>
      </c>
      <c r="B55" s="43"/>
      <c r="C55" s="38" t="s">
        <v>7</v>
      </c>
      <c r="D55" s="39">
        <v>2.6</v>
      </c>
      <c r="E55" s="39">
        <f t="shared" si="24"/>
        <v>2.6</v>
      </c>
      <c r="F55" s="21">
        <f t="shared" si="25"/>
        <v>0</v>
      </c>
      <c r="G55" s="39"/>
      <c r="H55" s="39"/>
      <c r="I55" s="12"/>
      <c r="J55" s="13">
        <v>2.6</v>
      </c>
      <c r="K55" s="13">
        <v>30</v>
      </c>
      <c r="L55" s="14"/>
      <c r="M55" s="13">
        <f>K55*100/E55</f>
        <v>1153.8461538461538</v>
      </c>
      <c r="N55" s="13">
        <f>K55*100/D55</f>
        <v>1153.8461538461538</v>
      </c>
    </row>
    <row r="56" spans="1:14" ht="14.25" customHeight="1">
      <c r="A56" s="63" t="s">
        <v>39</v>
      </c>
      <c r="B56" s="45"/>
      <c r="C56" s="46" t="s">
        <v>40</v>
      </c>
      <c r="D56" s="39"/>
      <c r="E56" s="39">
        <f t="shared" si="24"/>
        <v>0</v>
      </c>
      <c r="F56" s="21">
        <f t="shared" si="25"/>
        <v>0</v>
      </c>
      <c r="G56" s="39"/>
      <c r="H56" s="39"/>
      <c r="I56" s="12"/>
      <c r="J56" s="13"/>
      <c r="K56" s="13"/>
      <c r="L56" s="14"/>
      <c r="M56" s="13"/>
      <c r="N56" s="13"/>
    </row>
    <row r="57" spans="1:14" ht="12.75">
      <c r="A57" s="32" t="s">
        <v>1</v>
      </c>
      <c r="B57" s="32"/>
      <c r="C57" s="48" t="s">
        <v>0</v>
      </c>
      <c r="D57" s="17">
        <f>D58+D60+D59</f>
        <v>11753.4</v>
      </c>
      <c r="E57" s="17">
        <f>E58+E60+E59</f>
        <v>11755.400000000001</v>
      </c>
      <c r="F57" s="17">
        <f aca="true" t="shared" si="26" ref="F57:K57">F58+F60+F59</f>
        <v>5859.1</v>
      </c>
      <c r="G57" s="17">
        <f t="shared" si="26"/>
        <v>2908.9</v>
      </c>
      <c r="H57" s="17">
        <f t="shared" si="26"/>
        <v>2950.2</v>
      </c>
      <c r="I57" s="17">
        <f t="shared" si="26"/>
        <v>2948.1</v>
      </c>
      <c r="J57" s="17">
        <f t="shared" si="26"/>
        <v>2948.2</v>
      </c>
      <c r="K57" s="17">
        <f t="shared" si="26"/>
        <v>2683.7</v>
      </c>
      <c r="L57" s="16">
        <f>K57*100/F57</f>
        <v>45.803963065999895</v>
      </c>
      <c r="M57" s="15">
        <f>K57*100/E57</f>
        <v>22.82950814093948</v>
      </c>
      <c r="N57" s="15">
        <f>K57*100/D57</f>
        <v>22.833392890567836</v>
      </c>
    </row>
    <row r="58" spans="1:14" ht="22.5">
      <c r="A58" s="49" t="s">
        <v>67</v>
      </c>
      <c r="B58" s="35"/>
      <c r="C58" s="50" t="s">
        <v>20</v>
      </c>
      <c r="D58" s="51">
        <v>11753.4</v>
      </c>
      <c r="E58" s="39">
        <f t="shared" si="24"/>
        <v>11755.400000000001</v>
      </c>
      <c r="F58" s="21">
        <f t="shared" si="25"/>
        <v>5859.1</v>
      </c>
      <c r="G58" s="51">
        <v>2908.9</v>
      </c>
      <c r="H58" s="51">
        <f>2948.2+2</f>
        <v>2950.2</v>
      </c>
      <c r="I58" s="12">
        <v>2948.1</v>
      </c>
      <c r="J58" s="12">
        <v>2948.2</v>
      </c>
      <c r="K58" s="13">
        <v>2683.7</v>
      </c>
      <c r="L58" s="14">
        <f>K58*100/F58</f>
        <v>45.803963065999895</v>
      </c>
      <c r="M58" s="13">
        <f>K58*100/E58</f>
        <v>22.82950814093948</v>
      </c>
      <c r="N58" s="13">
        <f>K58*100/D58</f>
        <v>22.833392890567836</v>
      </c>
    </row>
    <row r="59" spans="1:14" ht="12.75" hidden="1">
      <c r="A59" s="49" t="s">
        <v>2</v>
      </c>
      <c r="B59" s="49"/>
      <c r="C59" s="52" t="s">
        <v>19</v>
      </c>
      <c r="D59" s="52"/>
      <c r="E59" s="39">
        <f>G59+H59+I59+J59</f>
        <v>0</v>
      </c>
      <c r="F59" s="39">
        <f>G59</f>
        <v>0</v>
      </c>
      <c r="G59" s="51"/>
      <c r="H59" s="51"/>
      <c r="I59" s="12"/>
      <c r="J59" s="64"/>
      <c r="K59" s="13"/>
      <c r="L59" s="14" t="e">
        <f>K59*100/F59</f>
        <v>#DIV/0!</v>
      </c>
      <c r="M59" s="13" t="e">
        <f>K59*100/E59</f>
        <v>#DIV/0!</v>
      </c>
      <c r="N59" s="13" t="e">
        <f>K59*100/D59</f>
        <v>#DIV/0!</v>
      </c>
    </row>
    <row r="60" spans="1:14" ht="33.75" hidden="1">
      <c r="A60" s="49" t="s">
        <v>66</v>
      </c>
      <c r="B60" s="55"/>
      <c r="C60" s="56" t="s">
        <v>63</v>
      </c>
      <c r="D60" s="56"/>
      <c r="E60" s="39">
        <f t="shared" si="24"/>
        <v>0</v>
      </c>
      <c r="F60" s="39">
        <f>G60</f>
        <v>0</v>
      </c>
      <c r="G60" s="65"/>
      <c r="H60" s="65"/>
      <c r="I60" s="12"/>
      <c r="J60" s="64"/>
      <c r="K60" s="13"/>
      <c r="L60" s="14"/>
      <c r="M60" s="13"/>
      <c r="N60" s="13" t="e">
        <f>K60*100/D60</f>
        <v>#DIV/0!</v>
      </c>
    </row>
    <row r="61" spans="1:14" ht="12.75">
      <c r="A61" s="40"/>
      <c r="B61" s="66"/>
      <c r="C61" s="67" t="s">
        <v>4</v>
      </c>
      <c r="D61" s="68">
        <f aca="true" t="shared" si="27" ref="D61:K61">D57+D46</f>
        <v>31427.1</v>
      </c>
      <c r="E61" s="68">
        <f t="shared" si="27"/>
        <v>31543.100000000006</v>
      </c>
      <c r="F61" s="68">
        <f t="shared" si="27"/>
        <v>14907.400000000001</v>
      </c>
      <c r="G61" s="68">
        <f t="shared" si="27"/>
        <v>7395.1</v>
      </c>
      <c r="H61" s="68">
        <f t="shared" si="27"/>
        <v>7512.3</v>
      </c>
      <c r="I61" s="68">
        <f t="shared" si="27"/>
        <v>7467.299999999999</v>
      </c>
      <c r="J61" s="68">
        <f t="shared" si="27"/>
        <v>9168.4</v>
      </c>
      <c r="K61" s="68">
        <f t="shared" si="27"/>
        <v>12192.8</v>
      </c>
      <c r="L61" s="16">
        <f>K61*100/F61</f>
        <v>81.79025182124313</v>
      </c>
      <c r="M61" s="15">
        <f>K61*100/E61</f>
        <v>38.65441253396146</v>
      </c>
      <c r="N61" s="15">
        <f>K61*100/D61</f>
        <v>38.79708913644593</v>
      </c>
    </row>
    <row r="62" spans="1:14" ht="12.75">
      <c r="A62" s="85"/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16"/>
      <c r="M62" s="15"/>
      <c r="N62" s="13"/>
    </row>
    <row r="63" spans="1:14" ht="12.75">
      <c r="A63" s="88" t="s">
        <v>27</v>
      </c>
      <c r="B63" s="89"/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90"/>
    </row>
    <row r="64" spans="1:14" ht="12.75">
      <c r="A64" s="32" t="s">
        <v>3</v>
      </c>
      <c r="B64" s="32"/>
      <c r="C64" s="33" t="s">
        <v>68</v>
      </c>
      <c r="D64" s="34">
        <f aca="true" t="shared" si="28" ref="D64:K64">D65+D68+D70+D72+D69+D74+D73+D67+D71+D66</f>
        <v>37383</v>
      </c>
      <c r="E64" s="34">
        <f t="shared" si="28"/>
        <v>37983</v>
      </c>
      <c r="F64" s="34">
        <f t="shared" si="28"/>
        <v>18534.9</v>
      </c>
      <c r="G64" s="34">
        <f t="shared" si="28"/>
        <v>8664.6</v>
      </c>
      <c r="H64" s="34">
        <f t="shared" si="28"/>
        <v>9870.300000000001</v>
      </c>
      <c r="I64" s="34">
        <f t="shared" si="28"/>
        <v>6833.3</v>
      </c>
      <c r="J64" s="34">
        <f t="shared" si="28"/>
        <v>12614.8</v>
      </c>
      <c r="K64" s="34">
        <f t="shared" si="28"/>
        <v>16486.4</v>
      </c>
      <c r="L64" s="16">
        <f aca="true" t="shared" si="29" ref="L64:L70">K64*100/F64</f>
        <v>88.94787670826388</v>
      </c>
      <c r="M64" s="15">
        <f aca="true" t="shared" si="30" ref="M64:M70">K64*100/E64</f>
        <v>43.40468104151858</v>
      </c>
      <c r="N64" s="15">
        <f aca="true" t="shared" si="31" ref="N64:N70">K64*100/D64</f>
        <v>44.10132948131504</v>
      </c>
    </row>
    <row r="65" spans="1:14" ht="12.75">
      <c r="A65" s="35" t="s">
        <v>23</v>
      </c>
      <c r="B65" s="35"/>
      <c r="C65" s="36" t="s">
        <v>22</v>
      </c>
      <c r="D65" s="21">
        <v>17800</v>
      </c>
      <c r="E65" s="39">
        <f>G65+H65+I65+J65</f>
        <v>17800</v>
      </c>
      <c r="F65" s="21">
        <f aca="true" t="shared" si="32" ref="F65:F76">G65+H65</f>
        <v>9845</v>
      </c>
      <c r="G65" s="69">
        <v>4432.5</v>
      </c>
      <c r="H65" s="69">
        <v>5412.5</v>
      </c>
      <c r="I65" s="14">
        <v>2942.5</v>
      </c>
      <c r="J65" s="14">
        <v>5012.5</v>
      </c>
      <c r="K65" s="14">
        <v>7308.4</v>
      </c>
      <c r="L65" s="14">
        <f t="shared" si="29"/>
        <v>74.23463687150839</v>
      </c>
      <c r="M65" s="13">
        <f t="shared" si="30"/>
        <v>41.05842696629213</v>
      </c>
      <c r="N65" s="13">
        <f t="shared" si="31"/>
        <v>41.05842696629213</v>
      </c>
    </row>
    <row r="66" spans="1:14" ht="12.75">
      <c r="A66" s="35" t="s">
        <v>70</v>
      </c>
      <c r="B66" s="35"/>
      <c r="C66" s="38" t="s">
        <v>71</v>
      </c>
      <c r="D66" s="39">
        <v>6459.7</v>
      </c>
      <c r="E66" s="39">
        <f>G66+H66+I66+J66</f>
        <v>6459.700000000001</v>
      </c>
      <c r="F66" s="21">
        <f t="shared" si="32"/>
        <v>3201.5</v>
      </c>
      <c r="G66" s="69">
        <v>1585.8</v>
      </c>
      <c r="H66" s="69">
        <v>1615.7</v>
      </c>
      <c r="I66" s="14">
        <v>1609.8</v>
      </c>
      <c r="J66" s="14">
        <v>1648.4</v>
      </c>
      <c r="K66" s="14">
        <v>2843.4</v>
      </c>
      <c r="L66" s="14">
        <f t="shared" si="29"/>
        <v>88.81461814774325</v>
      </c>
      <c r="M66" s="13">
        <f t="shared" si="30"/>
        <v>44.01752403362385</v>
      </c>
      <c r="N66" s="13">
        <f t="shared" si="31"/>
        <v>44.01752403362385</v>
      </c>
    </row>
    <row r="67" spans="1:14" ht="12.75">
      <c r="A67" s="35" t="s">
        <v>8</v>
      </c>
      <c r="B67" s="35"/>
      <c r="C67" s="38" t="s">
        <v>5</v>
      </c>
      <c r="D67" s="39">
        <v>50</v>
      </c>
      <c r="E67" s="39">
        <f aca="true" t="shared" si="33" ref="E67:E77">G67+H67+I67+J67</f>
        <v>50</v>
      </c>
      <c r="F67" s="21">
        <f t="shared" si="32"/>
        <v>25</v>
      </c>
      <c r="G67" s="51">
        <v>12.5</v>
      </c>
      <c r="H67" s="51">
        <v>12.5</v>
      </c>
      <c r="I67" s="12">
        <v>12.5</v>
      </c>
      <c r="J67" s="12">
        <v>12.5</v>
      </c>
      <c r="K67" s="12">
        <v>110.7</v>
      </c>
      <c r="L67" s="14">
        <f t="shared" si="29"/>
        <v>442.8</v>
      </c>
      <c r="M67" s="13">
        <f t="shared" si="30"/>
        <v>221.4</v>
      </c>
      <c r="N67" s="13">
        <f t="shared" si="31"/>
        <v>221.4</v>
      </c>
    </row>
    <row r="68" spans="1:14" ht="12.75">
      <c r="A68" s="35" t="s">
        <v>9</v>
      </c>
      <c r="B68" s="35"/>
      <c r="C68" s="38" t="s">
        <v>6</v>
      </c>
      <c r="D68" s="39">
        <v>7550</v>
      </c>
      <c r="E68" s="39">
        <f t="shared" si="33"/>
        <v>7550</v>
      </c>
      <c r="F68" s="21">
        <f t="shared" si="32"/>
        <v>2100</v>
      </c>
      <c r="G68" s="51">
        <v>1240</v>
      </c>
      <c r="H68" s="51">
        <v>860</v>
      </c>
      <c r="I68" s="12">
        <v>890</v>
      </c>
      <c r="J68" s="12">
        <v>4560</v>
      </c>
      <c r="K68" s="12">
        <v>3059.2</v>
      </c>
      <c r="L68" s="14">
        <f t="shared" si="29"/>
        <v>145.67619047619047</v>
      </c>
      <c r="M68" s="13">
        <f t="shared" si="30"/>
        <v>40.51920529801325</v>
      </c>
      <c r="N68" s="13">
        <f t="shared" si="31"/>
        <v>40.51920529801325</v>
      </c>
    </row>
    <row r="69" spans="1:14" ht="18.75" customHeight="1">
      <c r="A69" s="35" t="s">
        <v>10</v>
      </c>
      <c r="B69" s="35"/>
      <c r="C69" s="38" t="s">
        <v>21</v>
      </c>
      <c r="D69" s="39">
        <v>46.1</v>
      </c>
      <c r="E69" s="39">
        <f t="shared" si="33"/>
        <v>46.1</v>
      </c>
      <c r="F69" s="21">
        <f t="shared" si="32"/>
        <v>23.1</v>
      </c>
      <c r="G69" s="51">
        <v>11.5</v>
      </c>
      <c r="H69" s="51">
        <v>11.6</v>
      </c>
      <c r="I69" s="12">
        <v>11.5</v>
      </c>
      <c r="J69" s="12">
        <v>11.5</v>
      </c>
      <c r="K69" s="12">
        <v>24</v>
      </c>
      <c r="L69" s="14">
        <f t="shared" si="29"/>
        <v>103.8961038961039</v>
      </c>
      <c r="M69" s="13">
        <f t="shared" si="30"/>
        <v>52.060737527114966</v>
      </c>
      <c r="N69" s="13">
        <f t="shared" si="31"/>
        <v>52.060737527114966</v>
      </c>
    </row>
    <row r="70" spans="1:14" ht="23.25" customHeight="1">
      <c r="A70" s="40" t="s">
        <v>11</v>
      </c>
      <c r="B70" s="40"/>
      <c r="C70" s="38" t="s">
        <v>17</v>
      </c>
      <c r="D70" s="39">
        <v>5302.2</v>
      </c>
      <c r="E70" s="39">
        <f t="shared" si="33"/>
        <v>5717.200000000001</v>
      </c>
      <c r="F70" s="21">
        <f t="shared" si="32"/>
        <v>3067.3</v>
      </c>
      <c r="G70" s="51">
        <v>1328.3</v>
      </c>
      <c r="H70" s="51">
        <v>1739</v>
      </c>
      <c r="I70" s="12">
        <v>1324</v>
      </c>
      <c r="J70" s="12">
        <v>1325.9</v>
      </c>
      <c r="K70" s="12">
        <v>2750.2</v>
      </c>
      <c r="L70" s="14">
        <f t="shared" si="29"/>
        <v>89.66191764744237</v>
      </c>
      <c r="M70" s="13">
        <f t="shared" si="30"/>
        <v>48.103966976841804</v>
      </c>
      <c r="N70" s="13">
        <f t="shared" si="31"/>
        <v>51.86903549470031</v>
      </c>
    </row>
    <row r="71" spans="1:14" ht="14.25" customHeight="1" hidden="1">
      <c r="A71" s="42" t="s">
        <v>42</v>
      </c>
      <c r="B71" s="42"/>
      <c r="C71" s="38" t="s">
        <v>43</v>
      </c>
      <c r="D71" s="39"/>
      <c r="E71" s="39">
        <f t="shared" si="33"/>
        <v>0</v>
      </c>
      <c r="F71" s="21">
        <f t="shared" si="32"/>
        <v>0</v>
      </c>
      <c r="G71" s="51"/>
      <c r="H71" s="51"/>
      <c r="I71" s="12"/>
      <c r="J71" s="12"/>
      <c r="K71" s="12"/>
      <c r="L71" s="14"/>
      <c r="M71" s="13"/>
      <c r="N71" s="13"/>
    </row>
    <row r="72" spans="1:14" ht="22.5">
      <c r="A72" s="41" t="s">
        <v>18</v>
      </c>
      <c r="B72" s="41"/>
      <c r="C72" s="38" t="s">
        <v>15</v>
      </c>
      <c r="D72" s="39">
        <v>175</v>
      </c>
      <c r="E72" s="39">
        <f t="shared" si="33"/>
        <v>350</v>
      </c>
      <c r="F72" s="21">
        <f t="shared" si="32"/>
        <v>263</v>
      </c>
      <c r="G72" s="51">
        <v>44</v>
      </c>
      <c r="H72" s="51">
        <v>219</v>
      </c>
      <c r="I72" s="12">
        <v>43</v>
      </c>
      <c r="J72" s="12">
        <v>44</v>
      </c>
      <c r="K72" s="12">
        <v>401.9</v>
      </c>
      <c r="L72" s="14">
        <f>K72*100/F72</f>
        <v>152.81368821292776</v>
      </c>
      <c r="M72" s="13">
        <f>K72*100/E72</f>
        <v>114.82857142857142</v>
      </c>
      <c r="N72" s="13">
        <f>K72*100/D72</f>
        <v>229.65714285714284</v>
      </c>
    </row>
    <row r="73" spans="1:14" ht="12.75" customHeight="1">
      <c r="A73" s="43" t="s">
        <v>12</v>
      </c>
      <c r="B73" s="43"/>
      <c r="C73" s="38" t="s">
        <v>7</v>
      </c>
      <c r="D73" s="39"/>
      <c r="E73" s="39">
        <f t="shared" si="33"/>
        <v>10</v>
      </c>
      <c r="F73" s="21">
        <f t="shared" si="32"/>
        <v>10</v>
      </c>
      <c r="G73" s="51">
        <v>10</v>
      </c>
      <c r="H73" s="51"/>
      <c r="I73" s="12"/>
      <c r="J73" s="12"/>
      <c r="K73" s="12">
        <v>12.6</v>
      </c>
      <c r="L73" s="14"/>
      <c r="M73" s="13"/>
      <c r="N73" s="13"/>
    </row>
    <row r="74" spans="1:14" ht="12.75">
      <c r="A74" s="44" t="s">
        <v>39</v>
      </c>
      <c r="B74" s="45"/>
      <c r="C74" s="46" t="s">
        <v>40</v>
      </c>
      <c r="D74" s="39"/>
      <c r="E74" s="39">
        <f t="shared" si="33"/>
        <v>0</v>
      </c>
      <c r="F74" s="21">
        <f t="shared" si="32"/>
        <v>0</v>
      </c>
      <c r="G74" s="51"/>
      <c r="H74" s="51"/>
      <c r="I74" s="12"/>
      <c r="J74" s="12"/>
      <c r="K74" s="12">
        <v>-24</v>
      </c>
      <c r="L74" s="14"/>
      <c r="M74" s="13"/>
      <c r="N74" s="13"/>
    </row>
    <row r="75" spans="1:14" ht="12.75">
      <c r="A75" s="47" t="s">
        <v>1</v>
      </c>
      <c r="B75" s="47"/>
      <c r="C75" s="48" t="s">
        <v>0</v>
      </c>
      <c r="D75" s="17">
        <f aca="true" t="shared" si="34" ref="D75:K75">D76+D77</f>
        <v>26371.2</v>
      </c>
      <c r="E75" s="17">
        <f t="shared" si="34"/>
        <v>45988.2</v>
      </c>
      <c r="F75" s="17">
        <f t="shared" si="34"/>
        <v>32802.6</v>
      </c>
      <c r="G75" s="17">
        <f t="shared" si="34"/>
        <v>16348.1</v>
      </c>
      <c r="H75" s="17">
        <f t="shared" si="34"/>
        <v>16454.5</v>
      </c>
      <c r="I75" s="17">
        <f t="shared" si="34"/>
        <v>7068.2</v>
      </c>
      <c r="J75" s="17">
        <f t="shared" si="34"/>
        <v>6117.4</v>
      </c>
      <c r="K75" s="17">
        <f t="shared" si="34"/>
        <v>9751</v>
      </c>
      <c r="L75" s="16">
        <f>K75*100/F75</f>
        <v>29.726302183363515</v>
      </c>
      <c r="M75" s="15">
        <f>K75*100/E75</f>
        <v>21.20326518541713</v>
      </c>
      <c r="N75" s="15">
        <f>K75*100/D75</f>
        <v>36.97594345346438</v>
      </c>
    </row>
    <row r="76" spans="1:14" ht="22.5">
      <c r="A76" s="49" t="s">
        <v>67</v>
      </c>
      <c r="B76" s="35"/>
      <c r="C76" s="50" t="s">
        <v>20</v>
      </c>
      <c r="D76" s="51">
        <v>26371.2</v>
      </c>
      <c r="E76" s="39">
        <f t="shared" si="33"/>
        <v>45988.2</v>
      </c>
      <c r="F76" s="21">
        <f t="shared" si="32"/>
        <v>32802.6</v>
      </c>
      <c r="G76" s="51">
        <f>11348.1+5000</f>
        <v>16348.1</v>
      </c>
      <c r="H76" s="51">
        <v>16454.5</v>
      </c>
      <c r="I76" s="12">
        <v>7068.2</v>
      </c>
      <c r="J76" s="13">
        <v>6117.4</v>
      </c>
      <c r="K76" s="13">
        <v>9746</v>
      </c>
      <c r="L76" s="14">
        <f>K76*100/F76</f>
        <v>29.711059489186834</v>
      </c>
      <c r="M76" s="13">
        <f>K76*100/E76</f>
        <v>21.19239283120453</v>
      </c>
      <c r="N76" s="13">
        <f>K76*100/D76</f>
        <v>36.95698337580391</v>
      </c>
    </row>
    <row r="77" spans="1:14" ht="21" customHeight="1">
      <c r="A77" s="49" t="s">
        <v>2</v>
      </c>
      <c r="B77" s="49"/>
      <c r="C77" s="52" t="s">
        <v>19</v>
      </c>
      <c r="D77" s="53"/>
      <c r="E77" s="39">
        <f t="shared" si="33"/>
        <v>0</v>
      </c>
      <c r="F77" s="21">
        <f>G77</f>
        <v>0</v>
      </c>
      <c r="G77" s="65"/>
      <c r="H77" s="65"/>
      <c r="I77" s="12"/>
      <c r="J77" s="13"/>
      <c r="K77" s="13">
        <v>5</v>
      </c>
      <c r="L77" s="16"/>
      <c r="M77" s="15"/>
      <c r="N77" s="13"/>
    </row>
    <row r="78" spans="1:14" ht="12.75">
      <c r="A78" s="43"/>
      <c r="B78" s="58"/>
      <c r="C78" s="59" t="s">
        <v>4</v>
      </c>
      <c r="D78" s="15">
        <f aca="true" t="shared" si="35" ref="D78:K78">D75+D64</f>
        <v>63754.2</v>
      </c>
      <c r="E78" s="15">
        <f t="shared" si="35"/>
        <v>83971.2</v>
      </c>
      <c r="F78" s="15">
        <f t="shared" si="35"/>
        <v>51337.5</v>
      </c>
      <c r="G78" s="15">
        <f t="shared" si="35"/>
        <v>25012.7</v>
      </c>
      <c r="H78" s="15">
        <f t="shared" si="35"/>
        <v>26324.800000000003</v>
      </c>
      <c r="I78" s="15">
        <f t="shared" si="35"/>
        <v>13901.5</v>
      </c>
      <c r="J78" s="15">
        <f t="shared" si="35"/>
        <v>18732.199999999997</v>
      </c>
      <c r="K78" s="15">
        <f t="shared" si="35"/>
        <v>26237.4</v>
      </c>
      <c r="L78" s="16">
        <f>K78*100/F78</f>
        <v>51.10766983199416</v>
      </c>
      <c r="M78" s="15">
        <f>K78*100/E78</f>
        <v>31.245712815822568</v>
      </c>
      <c r="N78" s="15">
        <f>K78*100/D78</f>
        <v>41.15399456035838</v>
      </c>
    </row>
    <row r="79" spans="1:14" ht="12.75">
      <c r="A79" s="85"/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16"/>
      <c r="M79" s="15"/>
      <c r="N79" s="13"/>
    </row>
    <row r="80" spans="1:14" ht="12.75">
      <c r="A80" s="88" t="s">
        <v>28</v>
      </c>
      <c r="B80" s="89"/>
      <c r="C80" s="89"/>
      <c r="D80" s="89"/>
      <c r="E80" s="89"/>
      <c r="F80" s="89"/>
      <c r="G80" s="89"/>
      <c r="H80" s="89"/>
      <c r="I80" s="89"/>
      <c r="J80" s="89"/>
      <c r="K80" s="89"/>
      <c r="L80" s="89"/>
      <c r="M80" s="89"/>
      <c r="N80" s="90"/>
    </row>
    <row r="81" spans="1:14" ht="12.75">
      <c r="A81" s="47" t="s">
        <v>3</v>
      </c>
      <c r="B81" s="47"/>
      <c r="C81" s="60" t="s">
        <v>68</v>
      </c>
      <c r="D81" s="16">
        <f aca="true" t="shared" si="36" ref="D81:J81">D82+D84+D85+D86+D87+D88+D89+D90+D91+D83</f>
        <v>36893.7</v>
      </c>
      <c r="E81" s="16">
        <f t="shared" si="36"/>
        <v>38656.1</v>
      </c>
      <c r="F81" s="16">
        <f t="shared" si="36"/>
        <v>20824.399999999998</v>
      </c>
      <c r="G81" s="16">
        <f t="shared" si="36"/>
        <v>9634</v>
      </c>
      <c r="H81" s="16">
        <f t="shared" si="36"/>
        <v>11190.4</v>
      </c>
      <c r="I81" s="16">
        <f t="shared" si="36"/>
        <v>8502.1</v>
      </c>
      <c r="J81" s="16">
        <f t="shared" si="36"/>
        <v>9329.6</v>
      </c>
      <c r="K81" s="16">
        <f>K82+K84+K85+K86+K87+K88+K89+K90+K91+K83-0.1</f>
        <v>17540.300000000003</v>
      </c>
      <c r="L81" s="16">
        <f aca="true" t="shared" si="37" ref="L81:L89">K81*100/F81</f>
        <v>84.22955763431361</v>
      </c>
      <c r="M81" s="15">
        <f aca="true" t="shared" si="38" ref="M81:M89">K81*100/E81</f>
        <v>45.37524478672189</v>
      </c>
      <c r="N81" s="15">
        <f aca="true" t="shared" si="39" ref="N81:N89">K81*100/D81</f>
        <v>47.54280541122198</v>
      </c>
    </row>
    <row r="82" spans="1:14" ht="13.5" customHeight="1">
      <c r="A82" s="43" t="s">
        <v>23</v>
      </c>
      <c r="B82" s="43"/>
      <c r="C82" s="38" t="s">
        <v>22</v>
      </c>
      <c r="D82" s="39">
        <v>23300</v>
      </c>
      <c r="E82" s="39">
        <f>G82+H82+I82+J82</f>
        <v>24996.3</v>
      </c>
      <c r="F82" s="21">
        <f aca="true" t="shared" si="40" ref="F82:F91">G82+H82</f>
        <v>14696.3</v>
      </c>
      <c r="G82" s="51">
        <v>7000</v>
      </c>
      <c r="H82" s="51">
        <v>7696.3</v>
      </c>
      <c r="I82" s="12">
        <v>5400</v>
      </c>
      <c r="J82" s="12">
        <v>4900</v>
      </c>
      <c r="K82" s="13">
        <v>12758.2</v>
      </c>
      <c r="L82" s="14">
        <f t="shared" si="37"/>
        <v>86.81232691221601</v>
      </c>
      <c r="M82" s="13">
        <f t="shared" si="38"/>
        <v>51.04035397238791</v>
      </c>
      <c r="N82" s="13">
        <f t="shared" si="39"/>
        <v>54.756223175965665</v>
      </c>
    </row>
    <row r="83" spans="1:14" ht="15.75" customHeight="1">
      <c r="A83" s="35" t="s">
        <v>70</v>
      </c>
      <c r="B83" s="35"/>
      <c r="C83" s="38" t="s">
        <v>71</v>
      </c>
      <c r="D83" s="39">
        <v>4138.7</v>
      </c>
      <c r="E83" s="39">
        <f>G83+H83+I83+J83</f>
        <v>4138.7</v>
      </c>
      <c r="F83" s="21">
        <f t="shared" si="40"/>
        <v>2214.4</v>
      </c>
      <c r="G83" s="51">
        <v>1135.4</v>
      </c>
      <c r="H83" s="51">
        <v>1079</v>
      </c>
      <c r="I83" s="12">
        <v>915.1</v>
      </c>
      <c r="J83" s="12">
        <v>1009.2</v>
      </c>
      <c r="K83" s="13">
        <v>1821.8</v>
      </c>
      <c r="L83" s="14">
        <f t="shared" si="37"/>
        <v>82.27059248554913</v>
      </c>
      <c r="M83" s="13">
        <f t="shared" si="38"/>
        <v>44.01865320028028</v>
      </c>
      <c r="N83" s="13">
        <f t="shared" si="39"/>
        <v>44.01865320028028</v>
      </c>
    </row>
    <row r="84" spans="1:14" ht="15" customHeight="1" hidden="1">
      <c r="A84" s="35" t="s">
        <v>8</v>
      </c>
      <c r="B84" s="35"/>
      <c r="C84" s="38" t="s">
        <v>5</v>
      </c>
      <c r="D84" s="39"/>
      <c r="E84" s="39">
        <f aca="true" t="shared" si="41" ref="E84:E91">G84+H84+I84+J84</f>
        <v>0</v>
      </c>
      <c r="F84" s="21">
        <f t="shared" si="40"/>
        <v>0</v>
      </c>
      <c r="G84" s="51"/>
      <c r="H84" s="51"/>
      <c r="I84" s="12"/>
      <c r="J84" s="12"/>
      <c r="K84" s="13"/>
      <c r="L84" s="14" t="e">
        <f t="shared" si="37"/>
        <v>#DIV/0!</v>
      </c>
      <c r="M84" s="13" t="e">
        <f t="shared" si="38"/>
        <v>#DIV/0!</v>
      </c>
      <c r="N84" s="13" t="e">
        <f t="shared" si="39"/>
        <v>#DIV/0!</v>
      </c>
    </row>
    <row r="85" spans="1:14" ht="12.75">
      <c r="A85" s="35" t="s">
        <v>9</v>
      </c>
      <c r="B85" s="35"/>
      <c r="C85" s="38" t="s">
        <v>6</v>
      </c>
      <c r="D85" s="39">
        <v>1880</v>
      </c>
      <c r="E85" s="39">
        <f t="shared" si="41"/>
        <v>1880</v>
      </c>
      <c r="F85" s="21">
        <f t="shared" si="40"/>
        <v>850</v>
      </c>
      <c r="G85" s="51">
        <v>460</v>
      </c>
      <c r="H85" s="51">
        <v>390</v>
      </c>
      <c r="I85" s="12">
        <v>330</v>
      </c>
      <c r="J85" s="12">
        <v>700</v>
      </c>
      <c r="K85" s="13">
        <v>873.2</v>
      </c>
      <c r="L85" s="14">
        <f t="shared" si="37"/>
        <v>102.72941176470589</v>
      </c>
      <c r="M85" s="13">
        <f t="shared" si="38"/>
        <v>46.4468085106383</v>
      </c>
      <c r="N85" s="13">
        <f t="shared" si="39"/>
        <v>46.4468085106383</v>
      </c>
    </row>
    <row r="86" spans="1:14" ht="12.75" hidden="1">
      <c r="A86" s="35" t="s">
        <v>10</v>
      </c>
      <c r="B86" s="35"/>
      <c r="C86" s="38" t="s">
        <v>21</v>
      </c>
      <c r="D86" s="39"/>
      <c r="E86" s="39">
        <f t="shared" si="41"/>
        <v>0</v>
      </c>
      <c r="F86" s="21">
        <f t="shared" si="40"/>
        <v>0</v>
      </c>
      <c r="G86" s="51"/>
      <c r="H86" s="51"/>
      <c r="I86" s="12"/>
      <c r="J86" s="12"/>
      <c r="K86" s="13"/>
      <c r="L86" s="14" t="e">
        <f t="shared" si="37"/>
        <v>#DIV/0!</v>
      </c>
      <c r="M86" s="13" t="e">
        <f t="shared" si="38"/>
        <v>#DIV/0!</v>
      </c>
      <c r="N86" s="13" t="e">
        <f t="shared" si="39"/>
        <v>#DIV/0!</v>
      </c>
    </row>
    <row r="87" spans="1:14" ht="22.5">
      <c r="A87" s="40" t="s">
        <v>11</v>
      </c>
      <c r="B87" s="40"/>
      <c r="C87" s="38" t="s">
        <v>17</v>
      </c>
      <c r="D87" s="39">
        <v>6954</v>
      </c>
      <c r="E87" s="39">
        <f t="shared" si="41"/>
        <v>6954</v>
      </c>
      <c r="F87" s="21">
        <f t="shared" si="40"/>
        <v>2713.6</v>
      </c>
      <c r="G87" s="51">
        <v>907.6</v>
      </c>
      <c r="H87" s="51">
        <v>1806</v>
      </c>
      <c r="I87" s="12">
        <v>1809</v>
      </c>
      <c r="J87" s="12">
        <v>2431.4</v>
      </c>
      <c r="K87" s="13">
        <v>1776.8</v>
      </c>
      <c r="L87" s="14">
        <f t="shared" si="37"/>
        <v>65.47759433962264</v>
      </c>
      <c r="M87" s="13">
        <f t="shared" si="38"/>
        <v>25.550762151279837</v>
      </c>
      <c r="N87" s="13">
        <f t="shared" si="39"/>
        <v>25.550762151279837</v>
      </c>
    </row>
    <row r="88" spans="1:14" ht="22.5">
      <c r="A88" s="42" t="s">
        <v>42</v>
      </c>
      <c r="B88" s="42"/>
      <c r="C88" s="38" t="s">
        <v>43</v>
      </c>
      <c r="D88" s="39">
        <v>496</v>
      </c>
      <c r="E88" s="39">
        <f t="shared" si="41"/>
        <v>496</v>
      </c>
      <c r="F88" s="21">
        <f t="shared" si="40"/>
        <v>256</v>
      </c>
      <c r="G88" s="51">
        <v>121</v>
      </c>
      <c r="H88" s="51">
        <v>135</v>
      </c>
      <c r="I88" s="12">
        <v>30</v>
      </c>
      <c r="J88" s="12">
        <v>210</v>
      </c>
      <c r="K88" s="13">
        <v>192.8</v>
      </c>
      <c r="L88" s="14">
        <f t="shared" si="37"/>
        <v>75.3125</v>
      </c>
      <c r="M88" s="13">
        <f t="shared" si="38"/>
        <v>38.87096774193548</v>
      </c>
      <c r="N88" s="13">
        <f t="shared" si="39"/>
        <v>38.87096774193548</v>
      </c>
    </row>
    <row r="89" spans="1:14" ht="22.5">
      <c r="A89" s="41" t="s">
        <v>18</v>
      </c>
      <c r="B89" s="41"/>
      <c r="C89" s="38" t="s">
        <v>15</v>
      </c>
      <c r="D89" s="39">
        <v>125</v>
      </c>
      <c r="E89" s="39">
        <f t="shared" si="41"/>
        <v>191.1</v>
      </c>
      <c r="F89" s="21">
        <f t="shared" si="40"/>
        <v>94.1</v>
      </c>
      <c r="G89" s="51">
        <v>10</v>
      </c>
      <c r="H89" s="51">
        <v>84.1</v>
      </c>
      <c r="I89" s="12">
        <v>18</v>
      </c>
      <c r="J89" s="12">
        <v>79</v>
      </c>
      <c r="K89" s="13">
        <v>91.6</v>
      </c>
      <c r="L89" s="14">
        <f t="shared" si="37"/>
        <v>97.34325185972371</v>
      </c>
      <c r="M89" s="13">
        <f t="shared" si="38"/>
        <v>47.933019361590794</v>
      </c>
      <c r="N89" s="13">
        <f t="shared" si="39"/>
        <v>73.28</v>
      </c>
    </row>
    <row r="90" spans="1:14" ht="15.75" customHeight="1">
      <c r="A90" s="43" t="s">
        <v>12</v>
      </c>
      <c r="B90" s="43"/>
      <c r="C90" s="38" t="s">
        <v>7</v>
      </c>
      <c r="D90" s="39"/>
      <c r="E90" s="39">
        <f t="shared" si="41"/>
        <v>0</v>
      </c>
      <c r="F90" s="21">
        <f t="shared" si="40"/>
        <v>0</v>
      </c>
      <c r="G90" s="51"/>
      <c r="H90" s="51"/>
      <c r="I90" s="12"/>
      <c r="J90" s="12"/>
      <c r="K90" s="13">
        <v>19.7</v>
      </c>
      <c r="L90" s="14"/>
      <c r="M90" s="13"/>
      <c r="N90" s="13"/>
    </row>
    <row r="91" spans="1:14" ht="12.75">
      <c r="A91" s="44" t="s">
        <v>39</v>
      </c>
      <c r="B91" s="45"/>
      <c r="C91" s="46" t="s">
        <v>40</v>
      </c>
      <c r="D91" s="39"/>
      <c r="E91" s="39">
        <f t="shared" si="41"/>
        <v>0</v>
      </c>
      <c r="F91" s="21">
        <f t="shared" si="40"/>
        <v>0</v>
      </c>
      <c r="G91" s="51"/>
      <c r="H91" s="51"/>
      <c r="I91" s="12"/>
      <c r="J91" s="12"/>
      <c r="K91" s="13">
        <v>6.3</v>
      </c>
      <c r="L91" s="14"/>
      <c r="M91" s="13"/>
      <c r="N91" s="13"/>
    </row>
    <row r="92" spans="1:14" ht="12.75" hidden="1">
      <c r="A92" s="44" t="s">
        <v>44</v>
      </c>
      <c r="B92" s="45"/>
      <c r="C92" s="46" t="s">
        <v>45</v>
      </c>
      <c r="D92" s="62"/>
      <c r="E92" s="46"/>
      <c r="F92" s="21">
        <f>G92</f>
        <v>0</v>
      </c>
      <c r="G92" s="51"/>
      <c r="H92" s="51"/>
      <c r="I92" s="12" t="e">
        <f>J92+#REF!+#REF!+#REF!</f>
        <v>#REF!</v>
      </c>
      <c r="J92" s="12"/>
      <c r="K92" s="13"/>
      <c r="L92" s="16" t="e">
        <f>K92*100/F92</f>
        <v>#DIV/0!</v>
      </c>
      <c r="M92" s="15" t="e">
        <f>K92*100/E92</f>
        <v>#DIV/0!</v>
      </c>
      <c r="N92" s="13" t="e">
        <f>K92*100/D92</f>
        <v>#DIV/0!</v>
      </c>
    </row>
    <row r="93" spans="1:14" ht="12.75">
      <c r="A93" s="47" t="s">
        <v>1</v>
      </c>
      <c r="B93" s="47"/>
      <c r="C93" s="48" t="s">
        <v>0</v>
      </c>
      <c r="D93" s="17">
        <f aca="true" t="shared" si="42" ref="D93:K93">D94+D95</f>
        <v>52314.9</v>
      </c>
      <c r="E93" s="17">
        <f t="shared" si="42"/>
        <v>71066.9</v>
      </c>
      <c r="F93" s="70">
        <f t="shared" si="42"/>
        <v>32783.7</v>
      </c>
      <c r="G93" s="17">
        <f t="shared" si="42"/>
        <v>19122</v>
      </c>
      <c r="H93" s="17">
        <f t="shared" si="42"/>
        <v>13661.7</v>
      </c>
      <c r="I93" s="17">
        <f t="shared" si="42"/>
        <v>26903.7</v>
      </c>
      <c r="J93" s="17">
        <f t="shared" si="42"/>
        <v>11379.5</v>
      </c>
      <c r="K93" s="17">
        <f t="shared" si="42"/>
        <v>22460.5</v>
      </c>
      <c r="L93" s="16">
        <f>K93*100/F93</f>
        <v>68.51118086122068</v>
      </c>
      <c r="M93" s="15">
        <f>K93*100/E93</f>
        <v>31.60472737659867</v>
      </c>
      <c r="N93" s="15">
        <f>K93*100/D93</f>
        <v>42.93327522369344</v>
      </c>
    </row>
    <row r="94" spans="1:14" ht="22.5">
      <c r="A94" s="49" t="s">
        <v>67</v>
      </c>
      <c r="B94" s="35"/>
      <c r="C94" s="50" t="s">
        <v>20</v>
      </c>
      <c r="D94" s="51">
        <v>52314.9</v>
      </c>
      <c r="E94" s="39">
        <f>G94+H94+I94+J94</f>
        <v>71051.9</v>
      </c>
      <c r="F94" s="21">
        <f>G94+H94</f>
        <v>32768.7</v>
      </c>
      <c r="G94" s="51">
        <v>19112</v>
      </c>
      <c r="H94" s="51">
        <v>13656.7</v>
      </c>
      <c r="I94" s="12">
        <v>26903.7</v>
      </c>
      <c r="J94" s="12">
        <v>11379.5</v>
      </c>
      <c r="K94" s="13">
        <v>22453.9</v>
      </c>
      <c r="L94" s="14">
        <f>K94*100/F94</f>
        <v>68.52240094968676</v>
      </c>
      <c r="M94" s="13">
        <f>K94*100/E94</f>
        <v>31.602110569879205</v>
      </c>
      <c r="N94" s="13">
        <f>K94*100/D94</f>
        <v>42.920659315032616</v>
      </c>
    </row>
    <row r="95" spans="1:14" ht="15" customHeight="1">
      <c r="A95" s="49" t="s">
        <v>2</v>
      </c>
      <c r="B95" s="49"/>
      <c r="C95" s="52" t="s">
        <v>19</v>
      </c>
      <c r="D95" s="53"/>
      <c r="E95" s="39">
        <f>G95+H95+I95+J95</f>
        <v>15</v>
      </c>
      <c r="F95" s="21">
        <f>G95+H95</f>
        <v>15</v>
      </c>
      <c r="G95" s="71">
        <v>10</v>
      </c>
      <c r="H95" s="71">
        <v>5</v>
      </c>
      <c r="I95" s="12"/>
      <c r="J95" s="12"/>
      <c r="K95" s="13">
        <v>6.6</v>
      </c>
      <c r="L95" s="14"/>
      <c r="M95" s="13"/>
      <c r="N95" s="13"/>
    </row>
    <row r="96" spans="1:14" ht="12.75">
      <c r="A96" s="43"/>
      <c r="B96" s="58"/>
      <c r="C96" s="59" t="s">
        <v>4</v>
      </c>
      <c r="D96" s="15">
        <f aca="true" t="shared" si="43" ref="D96:K96">D93+D81</f>
        <v>89208.6</v>
      </c>
      <c r="E96" s="15">
        <f t="shared" si="43"/>
        <v>109723</v>
      </c>
      <c r="F96" s="15">
        <f t="shared" si="43"/>
        <v>53608.09999999999</v>
      </c>
      <c r="G96" s="15">
        <f t="shared" si="43"/>
        <v>28756</v>
      </c>
      <c r="H96" s="15">
        <f t="shared" si="43"/>
        <v>24852.1</v>
      </c>
      <c r="I96" s="15">
        <f t="shared" si="43"/>
        <v>35405.8</v>
      </c>
      <c r="J96" s="15">
        <f t="shared" si="43"/>
        <v>20709.1</v>
      </c>
      <c r="K96" s="15">
        <f t="shared" si="43"/>
        <v>40000.8</v>
      </c>
      <c r="L96" s="16">
        <f>K96*100/F96</f>
        <v>74.61708212005277</v>
      </c>
      <c r="M96" s="15">
        <f>K96*100/E96</f>
        <v>36.45616689299418</v>
      </c>
      <c r="N96" s="15">
        <f>K96*100/D96</f>
        <v>44.83962308566663</v>
      </c>
    </row>
    <row r="97" spans="1:14" ht="12.75">
      <c r="A97" s="85"/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16"/>
      <c r="M97" s="15"/>
      <c r="N97" s="13"/>
    </row>
    <row r="98" spans="1:14" ht="12.75">
      <c r="A98" s="88" t="s">
        <v>29</v>
      </c>
      <c r="B98" s="89"/>
      <c r="C98" s="89"/>
      <c r="D98" s="89"/>
      <c r="E98" s="89"/>
      <c r="F98" s="89"/>
      <c r="G98" s="89"/>
      <c r="H98" s="89"/>
      <c r="I98" s="89"/>
      <c r="J98" s="89"/>
      <c r="K98" s="89"/>
      <c r="L98" s="89"/>
      <c r="M98" s="89"/>
      <c r="N98" s="90"/>
    </row>
    <row r="99" spans="1:14" ht="12.75">
      <c r="A99" s="47" t="s">
        <v>3</v>
      </c>
      <c r="B99" s="47"/>
      <c r="C99" s="60" t="s">
        <v>68</v>
      </c>
      <c r="D99" s="16">
        <f aca="true" t="shared" si="44" ref="D99:J99">D100+D103+D107+D104+D105+D108+D106+D102+D101</f>
        <v>2809.8</v>
      </c>
      <c r="E99" s="16">
        <f t="shared" si="44"/>
        <v>2809.8</v>
      </c>
      <c r="F99" s="16">
        <f t="shared" si="44"/>
        <v>1400.8000000000002</v>
      </c>
      <c r="G99" s="16">
        <f t="shared" si="44"/>
        <v>696.5</v>
      </c>
      <c r="H99" s="16">
        <f t="shared" si="44"/>
        <v>704.3</v>
      </c>
      <c r="I99" s="16">
        <f t="shared" si="44"/>
        <v>704.5</v>
      </c>
      <c r="J99" s="16">
        <f t="shared" si="44"/>
        <v>704.5</v>
      </c>
      <c r="K99" s="16">
        <f>K100+K103+K107+K104+K105+K108+K106+K102+K101+0.1</f>
        <v>1324.8999999999999</v>
      </c>
      <c r="L99" s="16">
        <f aca="true" t="shared" si="45" ref="L99:L106">K99*100/F99</f>
        <v>94.5816676185037</v>
      </c>
      <c r="M99" s="15">
        <f aca="true" t="shared" si="46" ref="M99:M106">K99*100/E99</f>
        <v>47.15282226492989</v>
      </c>
      <c r="N99" s="15">
        <f aca="true" t="shared" si="47" ref="N99:N106">K99*100/D99</f>
        <v>47.15282226492989</v>
      </c>
    </row>
    <row r="100" spans="1:14" ht="12.75">
      <c r="A100" s="43" t="s">
        <v>23</v>
      </c>
      <c r="B100" s="43"/>
      <c r="C100" s="38" t="s">
        <v>22</v>
      </c>
      <c r="D100" s="39">
        <v>1280</v>
      </c>
      <c r="E100" s="39">
        <f>G100+H100+I100+J100</f>
        <v>1280</v>
      </c>
      <c r="F100" s="21">
        <f aca="true" t="shared" si="48" ref="F100:F110">G100+H100</f>
        <v>640</v>
      </c>
      <c r="G100" s="51">
        <v>320</v>
      </c>
      <c r="H100" s="51">
        <v>320</v>
      </c>
      <c r="I100" s="12">
        <v>320</v>
      </c>
      <c r="J100" s="13">
        <v>320</v>
      </c>
      <c r="K100" s="13">
        <v>604.3</v>
      </c>
      <c r="L100" s="14">
        <f t="shared" si="45"/>
        <v>94.42187499999999</v>
      </c>
      <c r="M100" s="13">
        <f t="shared" si="46"/>
        <v>47.21093749999999</v>
      </c>
      <c r="N100" s="13">
        <f t="shared" si="47"/>
        <v>47.21093749999999</v>
      </c>
    </row>
    <row r="101" spans="1:14" ht="12.75">
      <c r="A101" s="35" t="s">
        <v>70</v>
      </c>
      <c r="B101" s="35"/>
      <c r="C101" s="38" t="s">
        <v>71</v>
      </c>
      <c r="D101" s="39">
        <v>1342.3</v>
      </c>
      <c r="E101" s="39">
        <f>G101+H101+I101+J101</f>
        <v>1342.3000000000002</v>
      </c>
      <c r="F101" s="21">
        <f t="shared" si="48"/>
        <v>671.1</v>
      </c>
      <c r="G101" s="51">
        <v>335.5</v>
      </c>
      <c r="H101" s="51">
        <v>335.6</v>
      </c>
      <c r="I101" s="12">
        <v>335.6</v>
      </c>
      <c r="J101" s="13">
        <v>335.6</v>
      </c>
      <c r="K101" s="13">
        <v>590.8</v>
      </c>
      <c r="L101" s="14">
        <f t="shared" si="45"/>
        <v>88.03457010877662</v>
      </c>
      <c r="M101" s="13">
        <f t="shared" si="46"/>
        <v>44.01400581092154</v>
      </c>
      <c r="N101" s="13">
        <f t="shared" si="47"/>
        <v>44.014005810921546</v>
      </c>
    </row>
    <row r="102" spans="1:14" ht="12.75" hidden="1">
      <c r="A102" s="35" t="s">
        <v>8</v>
      </c>
      <c r="B102" s="35"/>
      <c r="C102" s="38" t="s">
        <v>5</v>
      </c>
      <c r="D102" s="39"/>
      <c r="E102" s="39">
        <f>G102+H102+I102+J102</f>
        <v>0</v>
      </c>
      <c r="F102" s="21">
        <f t="shared" si="48"/>
        <v>0</v>
      </c>
      <c r="G102" s="51"/>
      <c r="H102" s="51"/>
      <c r="I102" s="12"/>
      <c r="J102" s="13"/>
      <c r="K102" s="13"/>
      <c r="L102" s="14" t="e">
        <f t="shared" si="45"/>
        <v>#DIV/0!</v>
      </c>
      <c r="M102" s="13" t="e">
        <f t="shared" si="46"/>
        <v>#DIV/0!</v>
      </c>
      <c r="N102" s="13" t="e">
        <f t="shared" si="47"/>
        <v>#DIV/0!</v>
      </c>
    </row>
    <row r="103" spans="1:14" ht="12.75">
      <c r="A103" s="35" t="s">
        <v>9</v>
      </c>
      <c r="B103" s="35"/>
      <c r="C103" s="38" t="s">
        <v>6</v>
      </c>
      <c r="D103" s="39">
        <v>125</v>
      </c>
      <c r="E103" s="39">
        <f aca="true" t="shared" si="49" ref="E103:E111">G103+H103+I103+J103</f>
        <v>125</v>
      </c>
      <c r="F103" s="21">
        <f t="shared" si="48"/>
        <v>58.5</v>
      </c>
      <c r="G103" s="51">
        <v>25.3</v>
      </c>
      <c r="H103" s="51">
        <v>33.2</v>
      </c>
      <c r="I103" s="12">
        <v>33.3</v>
      </c>
      <c r="J103" s="13">
        <v>33.2</v>
      </c>
      <c r="K103" s="13">
        <v>85.7</v>
      </c>
      <c r="L103" s="14">
        <f t="shared" si="45"/>
        <v>146.4957264957265</v>
      </c>
      <c r="M103" s="13">
        <f t="shared" si="46"/>
        <v>68.56</v>
      </c>
      <c r="N103" s="13">
        <f t="shared" si="47"/>
        <v>68.56</v>
      </c>
    </row>
    <row r="104" spans="1:14" ht="12.75">
      <c r="A104" s="35" t="s">
        <v>10</v>
      </c>
      <c r="B104" s="35"/>
      <c r="C104" s="38" t="s">
        <v>21</v>
      </c>
      <c r="D104" s="39">
        <v>1.5</v>
      </c>
      <c r="E104" s="39">
        <f t="shared" si="49"/>
        <v>1.5</v>
      </c>
      <c r="F104" s="21">
        <f t="shared" si="48"/>
        <v>0.7</v>
      </c>
      <c r="G104" s="51">
        <v>0.4</v>
      </c>
      <c r="H104" s="51">
        <v>0.3</v>
      </c>
      <c r="I104" s="12">
        <v>0.4</v>
      </c>
      <c r="J104" s="13">
        <v>0.4</v>
      </c>
      <c r="K104" s="13">
        <v>1.1</v>
      </c>
      <c r="L104" s="14">
        <f t="shared" si="45"/>
        <v>157.14285714285717</v>
      </c>
      <c r="M104" s="13">
        <f t="shared" si="46"/>
        <v>73.33333333333334</v>
      </c>
      <c r="N104" s="13">
        <f t="shared" si="47"/>
        <v>73.33333333333334</v>
      </c>
    </row>
    <row r="105" spans="1:14" ht="22.5">
      <c r="A105" s="40" t="s">
        <v>11</v>
      </c>
      <c r="B105" s="40"/>
      <c r="C105" s="38" t="s">
        <v>17</v>
      </c>
      <c r="D105" s="39">
        <v>26</v>
      </c>
      <c r="E105" s="39">
        <f t="shared" si="49"/>
        <v>26</v>
      </c>
      <c r="F105" s="21">
        <f t="shared" si="48"/>
        <v>13</v>
      </c>
      <c r="G105" s="51">
        <v>6.5</v>
      </c>
      <c r="H105" s="51">
        <v>6.5</v>
      </c>
      <c r="I105" s="12">
        <v>6.5</v>
      </c>
      <c r="J105" s="13">
        <v>6.5</v>
      </c>
      <c r="K105" s="13">
        <v>17.4</v>
      </c>
      <c r="L105" s="14">
        <f t="shared" si="45"/>
        <v>133.84615384615384</v>
      </c>
      <c r="M105" s="13">
        <f t="shared" si="46"/>
        <v>66.92307692307692</v>
      </c>
      <c r="N105" s="13">
        <f t="shared" si="47"/>
        <v>66.92307692307692</v>
      </c>
    </row>
    <row r="106" spans="1:14" ht="22.5" customHeight="1">
      <c r="A106" s="42" t="s">
        <v>42</v>
      </c>
      <c r="B106" s="42"/>
      <c r="C106" s="38" t="s">
        <v>43</v>
      </c>
      <c r="D106" s="39">
        <v>35</v>
      </c>
      <c r="E106" s="39">
        <f t="shared" si="49"/>
        <v>35</v>
      </c>
      <c r="F106" s="21">
        <f t="shared" si="48"/>
        <v>17.5</v>
      </c>
      <c r="G106" s="51">
        <v>8.8</v>
      </c>
      <c r="H106" s="51">
        <v>8.7</v>
      </c>
      <c r="I106" s="12">
        <v>8.7</v>
      </c>
      <c r="J106" s="13">
        <v>8.8</v>
      </c>
      <c r="K106" s="13">
        <v>18.7</v>
      </c>
      <c r="L106" s="14">
        <f t="shared" si="45"/>
        <v>106.85714285714286</v>
      </c>
      <c r="M106" s="13">
        <f t="shared" si="46"/>
        <v>53.42857142857143</v>
      </c>
      <c r="N106" s="13">
        <f t="shared" si="47"/>
        <v>53.42857142857143</v>
      </c>
    </row>
    <row r="107" spans="1:14" ht="21" customHeight="1">
      <c r="A107" s="43" t="s">
        <v>12</v>
      </c>
      <c r="B107" s="43"/>
      <c r="C107" s="72" t="s">
        <v>7</v>
      </c>
      <c r="D107" s="39"/>
      <c r="E107" s="39">
        <f t="shared" si="49"/>
        <v>0</v>
      </c>
      <c r="F107" s="21">
        <f t="shared" si="48"/>
        <v>0</v>
      </c>
      <c r="G107" s="51"/>
      <c r="H107" s="51"/>
      <c r="I107" s="12"/>
      <c r="J107" s="13"/>
      <c r="K107" s="13">
        <v>5</v>
      </c>
      <c r="L107" s="14"/>
      <c r="M107" s="13"/>
      <c r="N107" s="13"/>
    </row>
    <row r="108" spans="1:14" ht="16.5" customHeight="1">
      <c r="A108" s="42" t="s">
        <v>39</v>
      </c>
      <c r="B108" s="73"/>
      <c r="C108" s="46" t="s">
        <v>40</v>
      </c>
      <c r="D108" s="39"/>
      <c r="E108" s="39">
        <f t="shared" si="49"/>
        <v>0</v>
      </c>
      <c r="F108" s="21">
        <f t="shared" si="48"/>
        <v>0</v>
      </c>
      <c r="G108" s="51"/>
      <c r="H108" s="51"/>
      <c r="I108" s="12"/>
      <c r="J108" s="13"/>
      <c r="K108" s="13">
        <v>1.8</v>
      </c>
      <c r="L108" s="16"/>
      <c r="M108" s="15"/>
      <c r="N108" s="13"/>
    </row>
    <row r="109" spans="1:14" ht="12.75">
      <c r="A109" s="32" t="s">
        <v>1</v>
      </c>
      <c r="B109" s="32"/>
      <c r="C109" s="48" t="s">
        <v>0</v>
      </c>
      <c r="D109" s="17">
        <f aca="true" t="shared" si="50" ref="D109:K109">D110+D111</f>
        <v>21712.5</v>
      </c>
      <c r="E109" s="17">
        <f t="shared" si="50"/>
        <v>23571</v>
      </c>
      <c r="F109" s="17">
        <f t="shared" si="50"/>
        <v>12876.5</v>
      </c>
      <c r="G109" s="17">
        <f t="shared" si="50"/>
        <v>6838</v>
      </c>
      <c r="H109" s="17">
        <f t="shared" si="50"/>
        <v>6038.5</v>
      </c>
      <c r="I109" s="17">
        <f t="shared" si="50"/>
        <v>5347.2</v>
      </c>
      <c r="J109" s="17">
        <f t="shared" si="50"/>
        <v>5347.3</v>
      </c>
      <c r="K109" s="17">
        <f t="shared" si="50"/>
        <v>13519.8</v>
      </c>
      <c r="L109" s="16">
        <f>K109*100/F109</f>
        <v>104.99592280511008</v>
      </c>
      <c r="M109" s="15">
        <f>K109*100/E109</f>
        <v>57.357770141275296</v>
      </c>
      <c r="N109" s="15">
        <f>K109*100/D109</f>
        <v>62.26735751295337</v>
      </c>
    </row>
    <row r="110" spans="1:14" ht="22.5">
      <c r="A110" s="49" t="s">
        <v>67</v>
      </c>
      <c r="B110" s="35"/>
      <c r="C110" s="50" t="s">
        <v>20</v>
      </c>
      <c r="D110" s="51">
        <v>21712.5</v>
      </c>
      <c r="E110" s="39">
        <f t="shared" si="49"/>
        <v>23571</v>
      </c>
      <c r="F110" s="21">
        <f t="shared" si="48"/>
        <v>12876.5</v>
      </c>
      <c r="G110" s="51">
        <f>6675.7+162.3</f>
        <v>6838</v>
      </c>
      <c r="H110" s="51">
        <v>6038.5</v>
      </c>
      <c r="I110" s="12">
        <v>5347.2</v>
      </c>
      <c r="J110" s="13">
        <v>5347.3</v>
      </c>
      <c r="K110" s="13">
        <v>13519.8</v>
      </c>
      <c r="L110" s="14">
        <f>K110*100/F110</f>
        <v>104.99592280511008</v>
      </c>
      <c r="M110" s="13">
        <f>K110*100/E110</f>
        <v>57.357770141275296</v>
      </c>
      <c r="N110" s="13">
        <f>K110*100/D110</f>
        <v>62.26735751295337</v>
      </c>
    </row>
    <row r="111" spans="1:14" ht="12.75" hidden="1">
      <c r="A111" s="49" t="s">
        <v>2</v>
      </c>
      <c r="B111" s="49"/>
      <c r="C111" s="52" t="s">
        <v>19</v>
      </c>
      <c r="D111" s="52"/>
      <c r="E111" s="39">
        <f t="shared" si="49"/>
        <v>0</v>
      </c>
      <c r="F111" s="39">
        <f>G111+H111</f>
        <v>0</v>
      </c>
      <c r="G111" s="71"/>
      <c r="H111" s="71"/>
      <c r="I111" s="12"/>
      <c r="J111" s="13"/>
      <c r="K111" s="13"/>
      <c r="L111" s="16"/>
      <c r="M111" s="15"/>
      <c r="N111" s="13" t="e">
        <f>K111*100/D111</f>
        <v>#DIV/0!</v>
      </c>
    </row>
    <row r="112" spans="1:14" ht="12.75">
      <c r="A112" s="43"/>
      <c r="B112" s="58"/>
      <c r="C112" s="59" t="s">
        <v>4</v>
      </c>
      <c r="D112" s="15">
        <f aca="true" t="shared" si="51" ref="D112:K112">D109+D99</f>
        <v>24522.3</v>
      </c>
      <c r="E112" s="15">
        <f t="shared" si="51"/>
        <v>26380.8</v>
      </c>
      <c r="F112" s="34">
        <f t="shared" si="51"/>
        <v>14277.3</v>
      </c>
      <c r="G112" s="34">
        <f t="shared" si="51"/>
        <v>7534.5</v>
      </c>
      <c r="H112" s="34">
        <f>H109+H99</f>
        <v>6742.8</v>
      </c>
      <c r="I112" s="15">
        <f t="shared" si="51"/>
        <v>6051.7</v>
      </c>
      <c r="J112" s="15">
        <f t="shared" si="51"/>
        <v>6051.8</v>
      </c>
      <c r="K112" s="15">
        <f t="shared" si="51"/>
        <v>14844.699999999999</v>
      </c>
      <c r="L112" s="16">
        <f>K112*100/F112</f>
        <v>103.97414076891289</v>
      </c>
      <c r="M112" s="15">
        <f>K112*100/E112</f>
        <v>56.27084849587579</v>
      </c>
      <c r="N112" s="15">
        <f>K112*100/D112</f>
        <v>60.535512574269134</v>
      </c>
    </row>
    <row r="113" spans="1:14" ht="12.75">
      <c r="A113" s="85"/>
      <c r="B113" s="86"/>
      <c r="C113" s="86"/>
      <c r="D113" s="86"/>
      <c r="E113" s="86"/>
      <c r="F113" s="86"/>
      <c r="G113" s="86"/>
      <c r="H113" s="86"/>
      <c r="I113" s="86"/>
      <c r="J113" s="86"/>
      <c r="K113" s="86"/>
      <c r="L113" s="16"/>
      <c r="M113" s="15"/>
      <c r="N113" s="13"/>
    </row>
    <row r="114" spans="1:14" ht="12.75">
      <c r="A114" s="88" t="s">
        <v>30</v>
      </c>
      <c r="B114" s="89"/>
      <c r="C114" s="89"/>
      <c r="D114" s="89"/>
      <c r="E114" s="89"/>
      <c r="F114" s="89"/>
      <c r="G114" s="89"/>
      <c r="H114" s="89"/>
      <c r="I114" s="89"/>
      <c r="J114" s="89"/>
      <c r="K114" s="89"/>
      <c r="L114" s="89"/>
      <c r="M114" s="89"/>
      <c r="N114" s="90"/>
    </row>
    <row r="115" spans="1:14" ht="12.75">
      <c r="A115" s="47" t="s">
        <v>3</v>
      </c>
      <c r="B115" s="47"/>
      <c r="C115" s="60" t="s">
        <v>68</v>
      </c>
      <c r="D115" s="16">
        <f aca="true" t="shared" si="52" ref="D115:J115">D116+D120+D124+D121+D122+D125+D123+D126+D117+D118</f>
        <v>5053.8</v>
      </c>
      <c r="E115" s="16">
        <f t="shared" si="52"/>
        <v>5053.8</v>
      </c>
      <c r="F115" s="16">
        <f t="shared" si="52"/>
        <v>2317.4</v>
      </c>
      <c r="G115" s="16">
        <f t="shared" si="52"/>
        <v>1073.6</v>
      </c>
      <c r="H115" s="16">
        <f t="shared" si="52"/>
        <v>1243.8</v>
      </c>
      <c r="I115" s="16">
        <f t="shared" si="52"/>
        <v>1246.5</v>
      </c>
      <c r="J115" s="16">
        <f t="shared" si="52"/>
        <v>1489.9</v>
      </c>
      <c r="K115" s="16">
        <f>K116+K120+K124+K121+K122+K125+K123+K126+K117+K118+K119-0.1</f>
        <v>1991.7</v>
      </c>
      <c r="L115" s="16">
        <f>K115*100/F115</f>
        <v>85.9454561146112</v>
      </c>
      <c r="M115" s="15">
        <f>K115*100/E115</f>
        <v>39.40994894930547</v>
      </c>
      <c r="N115" s="15">
        <f>K115*100/D115</f>
        <v>39.40994894930547</v>
      </c>
    </row>
    <row r="116" spans="1:14" ht="12.75">
      <c r="A116" s="43" t="s">
        <v>23</v>
      </c>
      <c r="B116" s="43"/>
      <c r="C116" s="38" t="s">
        <v>22</v>
      </c>
      <c r="D116" s="39">
        <v>1210</v>
      </c>
      <c r="E116" s="39">
        <f>G116+H116+I116+J116</f>
        <v>1210</v>
      </c>
      <c r="F116" s="21">
        <f aca="true" t="shared" si="53" ref="F116:F128">G116+H116</f>
        <v>584</v>
      </c>
      <c r="G116" s="39">
        <v>210</v>
      </c>
      <c r="H116" s="39">
        <v>374</v>
      </c>
      <c r="I116" s="13">
        <v>279</v>
      </c>
      <c r="J116" s="13">
        <v>347</v>
      </c>
      <c r="K116" s="13">
        <v>436.2</v>
      </c>
      <c r="L116" s="14">
        <f>K116*100/F116</f>
        <v>74.6917808219178</v>
      </c>
      <c r="M116" s="13">
        <f>K116*100/E116</f>
        <v>36.049586776859506</v>
      </c>
      <c r="N116" s="13">
        <f>K116*100/D116</f>
        <v>36.049586776859506</v>
      </c>
    </row>
    <row r="117" spans="1:14" ht="12.75" hidden="1">
      <c r="A117" s="35" t="s">
        <v>8</v>
      </c>
      <c r="B117" s="35"/>
      <c r="C117" s="38" t="s">
        <v>5</v>
      </c>
      <c r="D117" s="39"/>
      <c r="E117" s="39">
        <f>G117+H117+I117+J117</f>
        <v>0</v>
      </c>
      <c r="F117" s="21">
        <f t="shared" si="53"/>
        <v>0</v>
      </c>
      <c r="G117" s="39"/>
      <c r="H117" s="39"/>
      <c r="I117" s="13"/>
      <c r="J117" s="13"/>
      <c r="K117" s="13"/>
      <c r="L117" s="14" t="e">
        <f>K117*100/F117</f>
        <v>#DIV/0!</v>
      </c>
      <c r="M117" s="13" t="e">
        <f>K117*100/E117</f>
        <v>#DIV/0!</v>
      </c>
      <c r="N117" s="13" t="e">
        <f>K117*100/D117</f>
        <v>#DIV/0!</v>
      </c>
    </row>
    <row r="118" spans="1:14" ht="13.5" customHeight="1">
      <c r="A118" s="35" t="s">
        <v>70</v>
      </c>
      <c r="B118" s="35"/>
      <c r="C118" s="38" t="s">
        <v>71</v>
      </c>
      <c r="D118" s="39">
        <v>2908.3</v>
      </c>
      <c r="E118" s="39">
        <f>G118+H118+I118+J118</f>
        <v>2908.3</v>
      </c>
      <c r="F118" s="21">
        <f t="shared" si="53"/>
        <v>1305.1</v>
      </c>
      <c r="G118" s="39">
        <v>631.1</v>
      </c>
      <c r="H118" s="39">
        <v>674</v>
      </c>
      <c r="I118" s="13">
        <v>794.2</v>
      </c>
      <c r="J118" s="13">
        <v>809</v>
      </c>
      <c r="K118" s="13">
        <v>1280.2</v>
      </c>
      <c r="L118" s="14">
        <f>K118*100/F118</f>
        <v>98.0921002222052</v>
      </c>
      <c r="M118" s="13">
        <f>K118*100/E118</f>
        <v>44.01884262283808</v>
      </c>
      <c r="N118" s="13">
        <f>K118*100/D118</f>
        <v>44.01884262283808</v>
      </c>
    </row>
    <row r="119" spans="1:14" ht="12.75">
      <c r="A119" s="35" t="s">
        <v>8</v>
      </c>
      <c r="B119" s="35"/>
      <c r="C119" s="38" t="s">
        <v>5</v>
      </c>
      <c r="D119" s="39"/>
      <c r="E119" s="39"/>
      <c r="F119" s="21">
        <f t="shared" si="53"/>
        <v>0</v>
      </c>
      <c r="G119" s="39"/>
      <c r="H119" s="39"/>
      <c r="I119" s="13"/>
      <c r="J119" s="13"/>
      <c r="K119" s="13">
        <v>25.2</v>
      </c>
      <c r="L119" s="14"/>
      <c r="M119" s="13"/>
      <c r="N119" s="13"/>
    </row>
    <row r="120" spans="1:14" ht="12.75">
      <c r="A120" s="35" t="s">
        <v>9</v>
      </c>
      <c r="B120" s="35"/>
      <c r="C120" s="38" t="s">
        <v>6</v>
      </c>
      <c r="D120" s="39">
        <v>145</v>
      </c>
      <c r="E120" s="39">
        <f aca="true" t="shared" si="54" ref="E120:E128">G120+H120+I120+J120</f>
        <v>145</v>
      </c>
      <c r="F120" s="21">
        <f t="shared" si="53"/>
        <v>53.7</v>
      </c>
      <c r="G120" s="39">
        <v>50.2</v>
      </c>
      <c r="H120" s="39">
        <v>3.5</v>
      </c>
      <c r="I120" s="13">
        <v>4</v>
      </c>
      <c r="J120" s="13">
        <v>87.3</v>
      </c>
      <c r="K120" s="13">
        <v>43.3</v>
      </c>
      <c r="L120" s="14">
        <f>K120*100/F120</f>
        <v>80.63314711359403</v>
      </c>
      <c r="M120" s="13">
        <f>K120*100/E120</f>
        <v>29.862068965517242</v>
      </c>
      <c r="N120" s="13">
        <f>K120*100/D120</f>
        <v>29.862068965517242</v>
      </c>
    </row>
    <row r="121" spans="1:14" ht="12.75">
      <c r="A121" s="35" t="s">
        <v>10</v>
      </c>
      <c r="B121" s="35"/>
      <c r="C121" s="38" t="s">
        <v>21</v>
      </c>
      <c r="D121" s="39">
        <v>12</v>
      </c>
      <c r="E121" s="39">
        <f t="shared" si="54"/>
        <v>12</v>
      </c>
      <c r="F121" s="21">
        <f t="shared" si="53"/>
        <v>6</v>
      </c>
      <c r="G121" s="39">
        <v>3</v>
      </c>
      <c r="H121" s="39">
        <v>3</v>
      </c>
      <c r="I121" s="13">
        <v>3</v>
      </c>
      <c r="J121" s="13">
        <v>3</v>
      </c>
      <c r="K121" s="13">
        <v>3.8</v>
      </c>
      <c r="L121" s="14">
        <f>K121*100/F121</f>
        <v>63.333333333333336</v>
      </c>
      <c r="M121" s="13">
        <f>K121*100/E121</f>
        <v>31.666666666666668</v>
      </c>
      <c r="N121" s="13">
        <f>K121*100/D121</f>
        <v>31.666666666666668</v>
      </c>
    </row>
    <row r="122" spans="1:14" ht="22.5">
      <c r="A122" s="40" t="s">
        <v>11</v>
      </c>
      <c r="B122" s="40"/>
      <c r="C122" s="38" t="s">
        <v>17</v>
      </c>
      <c r="D122" s="39">
        <v>657.2</v>
      </c>
      <c r="E122" s="39">
        <f t="shared" si="54"/>
        <v>657.2</v>
      </c>
      <c r="F122" s="21">
        <f t="shared" si="53"/>
        <v>298.6</v>
      </c>
      <c r="G122" s="39">
        <v>149.3</v>
      </c>
      <c r="H122" s="39">
        <v>149.3</v>
      </c>
      <c r="I122" s="13">
        <v>149.3</v>
      </c>
      <c r="J122" s="13">
        <v>209.3</v>
      </c>
      <c r="K122" s="13">
        <v>60.6</v>
      </c>
      <c r="L122" s="14">
        <f>K122*100/F122</f>
        <v>20.2947086403215</v>
      </c>
      <c r="M122" s="13">
        <f>K122*100/E122</f>
        <v>9.220937309799147</v>
      </c>
      <c r="N122" s="13">
        <f>K122*100/D122</f>
        <v>9.220937309799147</v>
      </c>
    </row>
    <row r="123" spans="1:14" ht="22.5">
      <c r="A123" s="42" t="s">
        <v>42</v>
      </c>
      <c r="B123" s="42"/>
      <c r="C123" s="38" t="s">
        <v>43</v>
      </c>
      <c r="D123" s="39">
        <v>121.3</v>
      </c>
      <c r="E123" s="39">
        <f t="shared" si="54"/>
        <v>121.3</v>
      </c>
      <c r="F123" s="21">
        <f t="shared" si="53"/>
        <v>70</v>
      </c>
      <c r="G123" s="39">
        <v>30</v>
      </c>
      <c r="H123" s="39">
        <v>40</v>
      </c>
      <c r="I123" s="13">
        <v>17</v>
      </c>
      <c r="J123" s="13">
        <v>34.3</v>
      </c>
      <c r="K123" s="13">
        <v>24.2</v>
      </c>
      <c r="L123" s="14">
        <f>K123*100/F123</f>
        <v>34.57142857142857</v>
      </c>
      <c r="M123" s="13">
        <f>K123*100/E123</f>
        <v>19.950535861500413</v>
      </c>
      <c r="N123" s="13">
        <f>K123*100/D123</f>
        <v>19.950535861500413</v>
      </c>
    </row>
    <row r="124" spans="1:14" ht="16.5" customHeight="1" hidden="1">
      <c r="A124" s="41" t="s">
        <v>18</v>
      </c>
      <c r="B124" s="41"/>
      <c r="C124" s="38" t="s">
        <v>15</v>
      </c>
      <c r="D124" s="39"/>
      <c r="E124" s="39">
        <f t="shared" si="54"/>
        <v>0</v>
      </c>
      <c r="F124" s="21">
        <f t="shared" si="53"/>
        <v>0</v>
      </c>
      <c r="G124" s="39"/>
      <c r="H124" s="39"/>
      <c r="I124" s="13"/>
      <c r="J124" s="13"/>
      <c r="K124" s="13"/>
      <c r="L124" s="14"/>
      <c r="M124" s="13"/>
      <c r="N124" s="13"/>
    </row>
    <row r="125" spans="1:14" ht="17.25" customHeight="1">
      <c r="A125" s="43" t="s">
        <v>12</v>
      </c>
      <c r="B125" s="43"/>
      <c r="C125" s="38" t="s">
        <v>7</v>
      </c>
      <c r="D125" s="39"/>
      <c r="E125" s="39">
        <f t="shared" si="54"/>
        <v>0</v>
      </c>
      <c r="F125" s="21">
        <f t="shared" si="53"/>
        <v>0</v>
      </c>
      <c r="G125" s="39"/>
      <c r="H125" s="39"/>
      <c r="I125" s="13"/>
      <c r="J125" s="13"/>
      <c r="K125" s="13">
        <v>9</v>
      </c>
      <c r="L125" s="16"/>
      <c r="M125" s="15"/>
      <c r="N125" s="13"/>
    </row>
    <row r="126" spans="1:14" ht="14.25" customHeight="1">
      <c r="A126" s="41" t="s">
        <v>39</v>
      </c>
      <c r="B126" s="73"/>
      <c r="C126" s="46" t="s">
        <v>40</v>
      </c>
      <c r="D126" s="39"/>
      <c r="E126" s="39">
        <f t="shared" si="54"/>
        <v>0</v>
      </c>
      <c r="F126" s="21">
        <f t="shared" si="53"/>
        <v>0</v>
      </c>
      <c r="G126" s="39"/>
      <c r="H126" s="39"/>
      <c r="I126" s="13"/>
      <c r="J126" s="13"/>
      <c r="K126" s="13">
        <v>109.3</v>
      </c>
      <c r="L126" s="16"/>
      <c r="M126" s="15"/>
      <c r="N126" s="13"/>
    </row>
    <row r="127" spans="1:14" ht="12.75">
      <c r="A127" s="47" t="s">
        <v>1</v>
      </c>
      <c r="B127" s="47"/>
      <c r="C127" s="48" t="s">
        <v>0</v>
      </c>
      <c r="D127" s="17">
        <f aca="true" t="shared" si="55" ref="D127:K127">D128</f>
        <v>29006.8</v>
      </c>
      <c r="E127" s="17">
        <f t="shared" si="55"/>
        <v>34977</v>
      </c>
      <c r="F127" s="74">
        <f t="shared" si="55"/>
        <v>14815</v>
      </c>
      <c r="G127" s="74">
        <f t="shared" si="55"/>
        <v>5681</v>
      </c>
      <c r="H127" s="74">
        <f t="shared" si="55"/>
        <v>9134</v>
      </c>
      <c r="I127" s="74">
        <f t="shared" si="55"/>
        <v>13128.1</v>
      </c>
      <c r="J127" s="17">
        <f t="shared" si="55"/>
        <v>7033.9</v>
      </c>
      <c r="K127" s="17">
        <f t="shared" si="55"/>
        <v>11432.1</v>
      </c>
      <c r="L127" s="16">
        <f>K127*100/F127</f>
        <v>77.16571042861965</v>
      </c>
      <c r="M127" s="15">
        <f>K127*100/E127</f>
        <v>32.68462132258341</v>
      </c>
      <c r="N127" s="15">
        <f>K127*100/D127</f>
        <v>39.4117930967911</v>
      </c>
    </row>
    <row r="128" spans="1:14" ht="22.5">
      <c r="A128" s="49" t="s">
        <v>67</v>
      </c>
      <c r="B128" s="35"/>
      <c r="C128" s="50" t="s">
        <v>20</v>
      </c>
      <c r="D128" s="51">
        <v>29006.8</v>
      </c>
      <c r="E128" s="39">
        <f t="shared" si="54"/>
        <v>34977</v>
      </c>
      <c r="F128" s="21">
        <f t="shared" si="53"/>
        <v>14815</v>
      </c>
      <c r="G128" s="39">
        <v>5681</v>
      </c>
      <c r="H128" s="39">
        <v>9134</v>
      </c>
      <c r="I128" s="13">
        <v>13128.1</v>
      </c>
      <c r="J128" s="13">
        <v>7033.9</v>
      </c>
      <c r="K128" s="13">
        <v>11432.1</v>
      </c>
      <c r="L128" s="14">
        <f>K128*100/F128</f>
        <v>77.16571042861965</v>
      </c>
      <c r="M128" s="13">
        <f>K128*100/E128</f>
        <v>32.68462132258341</v>
      </c>
      <c r="N128" s="13">
        <f>K128*100/D128</f>
        <v>39.4117930967911</v>
      </c>
    </row>
    <row r="129" spans="1:14" ht="12.75">
      <c r="A129" s="43"/>
      <c r="B129" s="58"/>
      <c r="C129" s="59" t="s">
        <v>4</v>
      </c>
      <c r="D129" s="15">
        <f aca="true" t="shared" si="56" ref="D129:K129">D127+D115</f>
        <v>34060.6</v>
      </c>
      <c r="E129" s="15">
        <f t="shared" si="56"/>
        <v>40030.8</v>
      </c>
      <c r="F129" s="15">
        <f t="shared" si="56"/>
        <v>17132.4</v>
      </c>
      <c r="G129" s="15">
        <f t="shared" si="56"/>
        <v>6754.6</v>
      </c>
      <c r="H129" s="15">
        <f t="shared" si="56"/>
        <v>10377.8</v>
      </c>
      <c r="I129" s="15">
        <f t="shared" si="56"/>
        <v>14374.6</v>
      </c>
      <c r="J129" s="15">
        <f t="shared" si="56"/>
        <v>8523.8</v>
      </c>
      <c r="K129" s="15">
        <f t="shared" si="56"/>
        <v>13423.800000000001</v>
      </c>
      <c r="L129" s="16">
        <f>K129*100/F129</f>
        <v>78.35329551026125</v>
      </c>
      <c r="M129" s="15">
        <f>K129*100/E129</f>
        <v>33.533679067118314</v>
      </c>
      <c r="N129" s="15">
        <f>K129*100/D129</f>
        <v>39.4115194682419</v>
      </c>
    </row>
    <row r="130" spans="1:14" ht="12.75">
      <c r="A130" s="85"/>
      <c r="B130" s="86"/>
      <c r="C130" s="86"/>
      <c r="D130" s="86"/>
      <c r="E130" s="86"/>
      <c r="F130" s="86"/>
      <c r="G130" s="86"/>
      <c r="H130" s="86"/>
      <c r="I130" s="86"/>
      <c r="J130" s="86"/>
      <c r="K130" s="86"/>
      <c r="L130" s="16"/>
      <c r="M130" s="15"/>
      <c r="N130" s="13"/>
    </row>
    <row r="131" spans="1:14" ht="12.75">
      <c r="A131" s="88" t="s">
        <v>31</v>
      </c>
      <c r="B131" s="89"/>
      <c r="C131" s="89"/>
      <c r="D131" s="89"/>
      <c r="E131" s="89"/>
      <c r="F131" s="89"/>
      <c r="G131" s="89"/>
      <c r="H131" s="89"/>
      <c r="I131" s="89"/>
      <c r="J131" s="89"/>
      <c r="K131" s="89"/>
      <c r="L131" s="89"/>
      <c r="M131" s="89"/>
      <c r="N131" s="90"/>
    </row>
    <row r="132" spans="1:14" ht="12.75">
      <c r="A132" s="47" t="s">
        <v>3</v>
      </c>
      <c r="B132" s="47"/>
      <c r="C132" s="60" t="s">
        <v>68</v>
      </c>
      <c r="D132" s="16">
        <f aca="true" t="shared" si="57" ref="D132:J132">D133+D136+D137+D138+D140+D142+D139+D141+D134</f>
        <v>10033.1</v>
      </c>
      <c r="E132" s="16">
        <f t="shared" si="57"/>
        <v>10033.099999999999</v>
      </c>
      <c r="F132" s="16">
        <f t="shared" si="57"/>
        <v>4808.4</v>
      </c>
      <c r="G132" s="16">
        <f t="shared" si="57"/>
        <v>1784.1</v>
      </c>
      <c r="H132" s="16">
        <f t="shared" si="57"/>
        <v>3024.3</v>
      </c>
      <c r="I132" s="16">
        <f t="shared" si="57"/>
        <v>2790.7</v>
      </c>
      <c r="J132" s="16">
        <f t="shared" si="57"/>
        <v>2434</v>
      </c>
      <c r="K132" s="16">
        <f>K133+K136+K137+K138+K140+K142+K139+K141+K134+K135-0.1</f>
        <v>4209.099999999999</v>
      </c>
      <c r="L132" s="16">
        <f aca="true" t="shared" si="58" ref="L132:L140">K132*100/F132</f>
        <v>87.53639464270859</v>
      </c>
      <c r="M132" s="15">
        <f aca="true" t="shared" si="59" ref="M132:M140">K132*100/E132</f>
        <v>41.95213842182376</v>
      </c>
      <c r="N132" s="15">
        <f aca="true" t="shared" si="60" ref="N132:N139">K132*100/D132</f>
        <v>41.952138421823754</v>
      </c>
    </row>
    <row r="133" spans="1:14" ht="12.75">
      <c r="A133" s="43" t="s">
        <v>23</v>
      </c>
      <c r="B133" s="43"/>
      <c r="C133" s="38" t="s">
        <v>22</v>
      </c>
      <c r="D133" s="39">
        <v>2950</v>
      </c>
      <c r="E133" s="39">
        <f>G133+H133+I133+J133</f>
        <v>2950</v>
      </c>
      <c r="F133" s="21">
        <f aca="true" t="shared" si="61" ref="F133:F144">G133+H133</f>
        <v>1445.5</v>
      </c>
      <c r="G133" s="51">
        <v>531</v>
      </c>
      <c r="H133" s="51">
        <v>914.5</v>
      </c>
      <c r="I133" s="12">
        <v>796.5</v>
      </c>
      <c r="J133" s="13">
        <v>708</v>
      </c>
      <c r="K133" s="13">
        <v>1040</v>
      </c>
      <c r="L133" s="14">
        <f t="shared" si="58"/>
        <v>71.94742303701142</v>
      </c>
      <c r="M133" s="13">
        <f t="shared" si="59"/>
        <v>35.25423728813559</v>
      </c>
      <c r="N133" s="13">
        <f t="shared" si="60"/>
        <v>35.25423728813559</v>
      </c>
    </row>
    <row r="134" spans="1:14" ht="12.75">
      <c r="A134" s="35" t="s">
        <v>70</v>
      </c>
      <c r="B134" s="35"/>
      <c r="C134" s="38" t="s">
        <v>71</v>
      </c>
      <c r="D134" s="39">
        <v>6359.1</v>
      </c>
      <c r="E134" s="39">
        <f>G134+H134+I134+J134</f>
        <v>6359.099999999999</v>
      </c>
      <c r="F134" s="21">
        <f t="shared" si="61"/>
        <v>3116.2</v>
      </c>
      <c r="G134" s="51">
        <v>1144.6</v>
      </c>
      <c r="H134" s="51">
        <v>1971.6</v>
      </c>
      <c r="I134" s="12">
        <v>1716.7</v>
      </c>
      <c r="J134" s="13">
        <v>1526.2</v>
      </c>
      <c r="K134" s="13">
        <v>2799.1</v>
      </c>
      <c r="L134" s="14">
        <f t="shared" si="58"/>
        <v>89.82414479173353</v>
      </c>
      <c r="M134" s="13">
        <f t="shared" si="59"/>
        <v>44.0172351433379</v>
      </c>
      <c r="N134" s="13">
        <f t="shared" si="60"/>
        <v>44.01723514333789</v>
      </c>
    </row>
    <row r="135" spans="1:14" ht="12.75">
      <c r="A135" s="35" t="s">
        <v>8</v>
      </c>
      <c r="B135" s="35"/>
      <c r="C135" s="38" t="s">
        <v>5</v>
      </c>
      <c r="D135" s="39"/>
      <c r="E135" s="39"/>
      <c r="F135" s="21">
        <f t="shared" si="61"/>
        <v>0</v>
      </c>
      <c r="G135" s="51"/>
      <c r="H135" s="51"/>
      <c r="I135" s="12"/>
      <c r="J135" s="13"/>
      <c r="K135" s="13">
        <v>0.2</v>
      </c>
      <c r="L135" s="14"/>
      <c r="M135" s="13"/>
      <c r="N135" s="13"/>
    </row>
    <row r="136" spans="1:14" ht="12.75">
      <c r="A136" s="35" t="s">
        <v>9</v>
      </c>
      <c r="B136" s="35"/>
      <c r="C136" s="38" t="s">
        <v>6</v>
      </c>
      <c r="D136" s="39">
        <v>394</v>
      </c>
      <c r="E136" s="39">
        <f aca="true" t="shared" si="62" ref="E136:E145">G136+H136+I136+J136</f>
        <v>394</v>
      </c>
      <c r="F136" s="21">
        <f t="shared" si="61"/>
        <v>164.8</v>
      </c>
      <c r="G136" s="51">
        <v>69.7</v>
      </c>
      <c r="H136" s="51">
        <v>95.1</v>
      </c>
      <c r="I136" s="12">
        <v>84.8</v>
      </c>
      <c r="J136" s="13">
        <v>144.4</v>
      </c>
      <c r="K136" s="13">
        <v>196.6</v>
      </c>
      <c r="L136" s="14">
        <f t="shared" si="58"/>
        <v>119.29611650485437</v>
      </c>
      <c r="M136" s="13">
        <f t="shared" si="59"/>
        <v>49.898477157360404</v>
      </c>
      <c r="N136" s="13">
        <f t="shared" si="60"/>
        <v>49.898477157360404</v>
      </c>
    </row>
    <row r="137" spans="1:14" ht="12.75">
      <c r="A137" s="35" t="s">
        <v>10</v>
      </c>
      <c r="B137" s="35"/>
      <c r="C137" s="38" t="s">
        <v>21</v>
      </c>
      <c r="D137" s="39">
        <v>10</v>
      </c>
      <c r="E137" s="39">
        <f t="shared" si="62"/>
        <v>10</v>
      </c>
      <c r="F137" s="21">
        <f t="shared" si="61"/>
        <v>4.9</v>
      </c>
      <c r="G137" s="51">
        <v>1.8</v>
      </c>
      <c r="H137" s="51">
        <v>3.1</v>
      </c>
      <c r="I137" s="12">
        <v>2.7</v>
      </c>
      <c r="J137" s="13">
        <v>2.4</v>
      </c>
      <c r="K137" s="13">
        <v>10.3</v>
      </c>
      <c r="L137" s="14">
        <f t="shared" si="58"/>
        <v>210.20408163265304</v>
      </c>
      <c r="M137" s="13">
        <f t="shared" si="59"/>
        <v>103</v>
      </c>
      <c r="N137" s="13">
        <f t="shared" si="60"/>
        <v>103</v>
      </c>
    </row>
    <row r="138" spans="1:14" ht="22.5">
      <c r="A138" s="40" t="s">
        <v>11</v>
      </c>
      <c r="B138" s="40"/>
      <c r="C138" s="38" t="s">
        <v>17</v>
      </c>
      <c r="D138" s="39">
        <v>220</v>
      </c>
      <c r="E138" s="39">
        <f t="shared" si="62"/>
        <v>220</v>
      </c>
      <c r="F138" s="21">
        <f t="shared" si="61"/>
        <v>27</v>
      </c>
      <c r="G138" s="51">
        <v>12</v>
      </c>
      <c r="H138" s="51">
        <v>15</v>
      </c>
      <c r="I138" s="12">
        <v>165</v>
      </c>
      <c r="J138" s="13">
        <v>28</v>
      </c>
      <c r="K138" s="13">
        <v>87.5</v>
      </c>
      <c r="L138" s="14">
        <f t="shared" si="58"/>
        <v>324.0740740740741</v>
      </c>
      <c r="M138" s="13">
        <f t="shared" si="59"/>
        <v>39.77272727272727</v>
      </c>
      <c r="N138" s="13">
        <f t="shared" si="60"/>
        <v>39.77272727272727</v>
      </c>
    </row>
    <row r="139" spans="1:14" ht="22.5">
      <c r="A139" s="42" t="s">
        <v>42</v>
      </c>
      <c r="B139" s="42"/>
      <c r="C139" s="38" t="s">
        <v>43</v>
      </c>
      <c r="D139" s="39">
        <v>100</v>
      </c>
      <c r="E139" s="39">
        <f t="shared" si="62"/>
        <v>100</v>
      </c>
      <c r="F139" s="21">
        <f t="shared" si="61"/>
        <v>50</v>
      </c>
      <c r="G139" s="51">
        <v>25</v>
      </c>
      <c r="H139" s="51">
        <v>25</v>
      </c>
      <c r="I139" s="12">
        <v>25</v>
      </c>
      <c r="J139" s="13">
        <v>25</v>
      </c>
      <c r="K139" s="13">
        <v>64.2</v>
      </c>
      <c r="L139" s="14">
        <f t="shared" si="58"/>
        <v>128.4</v>
      </c>
      <c r="M139" s="13">
        <f t="shared" si="59"/>
        <v>64.2</v>
      </c>
      <c r="N139" s="13">
        <f t="shared" si="60"/>
        <v>64.2</v>
      </c>
    </row>
    <row r="140" spans="1:14" ht="18.75" customHeight="1" hidden="1">
      <c r="A140" s="42" t="s">
        <v>18</v>
      </c>
      <c r="B140" s="42"/>
      <c r="C140" s="38" t="s">
        <v>15</v>
      </c>
      <c r="D140" s="39">
        <v>0</v>
      </c>
      <c r="E140" s="39">
        <f t="shared" si="62"/>
        <v>0</v>
      </c>
      <c r="F140" s="21">
        <f t="shared" si="61"/>
        <v>0</v>
      </c>
      <c r="G140" s="51"/>
      <c r="H140" s="51"/>
      <c r="I140" s="12"/>
      <c r="J140" s="13"/>
      <c r="K140" s="13"/>
      <c r="L140" s="14" t="e">
        <f t="shared" si="58"/>
        <v>#DIV/0!</v>
      </c>
      <c r="M140" s="13" t="e">
        <f t="shared" si="59"/>
        <v>#DIV/0!</v>
      </c>
      <c r="N140" s="13"/>
    </row>
    <row r="141" spans="1:14" ht="21" customHeight="1">
      <c r="A141" s="43" t="s">
        <v>12</v>
      </c>
      <c r="B141" s="43"/>
      <c r="C141" s="38" t="s">
        <v>7</v>
      </c>
      <c r="D141" s="39"/>
      <c r="E141" s="39">
        <f t="shared" si="62"/>
        <v>0</v>
      </c>
      <c r="F141" s="21">
        <f t="shared" si="61"/>
        <v>0</v>
      </c>
      <c r="G141" s="51"/>
      <c r="H141" s="51"/>
      <c r="I141" s="12"/>
      <c r="J141" s="13"/>
      <c r="K141" s="13">
        <v>25</v>
      </c>
      <c r="L141" s="14"/>
      <c r="M141" s="13"/>
      <c r="N141" s="13"/>
    </row>
    <row r="142" spans="1:14" ht="18" customHeight="1">
      <c r="A142" s="42" t="s">
        <v>39</v>
      </c>
      <c r="B142" s="73"/>
      <c r="C142" s="46" t="s">
        <v>40</v>
      </c>
      <c r="D142" s="39"/>
      <c r="E142" s="39">
        <f t="shared" si="62"/>
        <v>0</v>
      </c>
      <c r="F142" s="21">
        <f t="shared" si="61"/>
        <v>0</v>
      </c>
      <c r="G142" s="51"/>
      <c r="H142" s="51"/>
      <c r="I142" s="12"/>
      <c r="J142" s="13"/>
      <c r="K142" s="12">
        <v>-13.7</v>
      </c>
      <c r="L142" s="14"/>
      <c r="M142" s="13"/>
      <c r="N142" s="13"/>
    </row>
    <row r="143" spans="1:14" ht="18" customHeight="1">
      <c r="A143" s="32" t="s">
        <v>1</v>
      </c>
      <c r="B143" s="32"/>
      <c r="C143" s="48" t="s">
        <v>0</v>
      </c>
      <c r="D143" s="17">
        <f aca="true" t="shared" si="63" ref="D143:K143">D144+D145+D146</f>
        <v>42946.5</v>
      </c>
      <c r="E143" s="17">
        <f t="shared" si="63"/>
        <v>44068.4</v>
      </c>
      <c r="F143" s="17">
        <f t="shared" si="63"/>
        <v>21520.7</v>
      </c>
      <c r="G143" s="17">
        <f t="shared" si="63"/>
        <v>9575.2</v>
      </c>
      <c r="H143" s="17">
        <f t="shared" si="63"/>
        <v>11945.5</v>
      </c>
      <c r="I143" s="17">
        <f t="shared" si="63"/>
        <v>12456.8</v>
      </c>
      <c r="J143" s="17">
        <f t="shared" si="63"/>
        <v>10090.9</v>
      </c>
      <c r="K143" s="17">
        <f t="shared" si="63"/>
        <v>16752.9</v>
      </c>
      <c r="L143" s="16">
        <f>K143*100/F143</f>
        <v>77.84551617744776</v>
      </c>
      <c r="M143" s="15">
        <f>K143*100/E143</f>
        <v>38.01567563151828</v>
      </c>
      <c r="N143" s="15">
        <f>K143*100/D143</f>
        <v>39.00876672138592</v>
      </c>
    </row>
    <row r="144" spans="1:14" ht="22.5">
      <c r="A144" s="49" t="s">
        <v>67</v>
      </c>
      <c r="B144" s="35"/>
      <c r="C144" s="50" t="s">
        <v>20</v>
      </c>
      <c r="D144" s="51">
        <v>42946.5</v>
      </c>
      <c r="E144" s="39">
        <f t="shared" si="62"/>
        <v>44068.4</v>
      </c>
      <c r="F144" s="21">
        <f t="shared" si="61"/>
        <v>21520.7</v>
      </c>
      <c r="G144" s="51">
        <v>9575.2</v>
      </c>
      <c r="H144" s="51">
        <v>11945.5</v>
      </c>
      <c r="I144" s="12">
        <v>12456.8</v>
      </c>
      <c r="J144" s="13">
        <v>10090.9</v>
      </c>
      <c r="K144" s="13">
        <v>16752.9</v>
      </c>
      <c r="L144" s="14">
        <f>K144*100/F144</f>
        <v>77.84551617744776</v>
      </c>
      <c r="M144" s="13">
        <f>K144*100/E144</f>
        <v>38.01567563151828</v>
      </c>
      <c r="N144" s="13">
        <f>K144*100/D144</f>
        <v>39.00876672138592</v>
      </c>
    </row>
    <row r="145" spans="1:14" ht="12.75" customHeight="1" hidden="1">
      <c r="A145" s="49" t="s">
        <v>2</v>
      </c>
      <c r="B145" s="49"/>
      <c r="C145" s="52" t="s">
        <v>19</v>
      </c>
      <c r="D145" s="52"/>
      <c r="E145" s="39">
        <f t="shared" si="62"/>
        <v>0</v>
      </c>
      <c r="F145" s="21">
        <f>G145</f>
        <v>0</v>
      </c>
      <c r="G145" s="71"/>
      <c r="H145" s="71"/>
      <c r="I145" s="12"/>
      <c r="J145" s="13"/>
      <c r="K145" s="13"/>
      <c r="L145" s="14"/>
      <c r="M145" s="13"/>
      <c r="N145" s="13"/>
    </row>
    <row r="146" spans="1:14" ht="33" customHeight="1" hidden="1">
      <c r="A146" s="49" t="s">
        <v>66</v>
      </c>
      <c r="B146" s="55"/>
      <c r="C146" s="56" t="s">
        <v>63</v>
      </c>
      <c r="D146" s="52"/>
      <c r="E146" s="39"/>
      <c r="F146" s="21">
        <f>G146</f>
        <v>0</v>
      </c>
      <c r="G146" s="71"/>
      <c r="H146" s="71"/>
      <c r="I146" s="12"/>
      <c r="J146" s="13"/>
      <c r="K146" s="13"/>
      <c r="L146" s="14"/>
      <c r="M146" s="13"/>
      <c r="N146" s="13"/>
    </row>
    <row r="147" spans="1:14" ht="12.75">
      <c r="A147" s="43"/>
      <c r="B147" s="58"/>
      <c r="C147" s="59" t="s">
        <v>4</v>
      </c>
      <c r="D147" s="15">
        <f aca="true" t="shared" si="64" ref="D147:K147">D143+D132</f>
        <v>52979.6</v>
      </c>
      <c r="E147" s="15">
        <f t="shared" si="64"/>
        <v>54101.5</v>
      </c>
      <c r="F147" s="15">
        <f t="shared" si="64"/>
        <v>26329.1</v>
      </c>
      <c r="G147" s="34">
        <f t="shared" si="64"/>
        <v>11359.300000000001</v>
      </c>
      <c r="H147" s="34">
        <f t="shared" si="64"/>
        <v>14969.8</v>
      </c>
      <c r="I147" s="34">
        <f t="shared" si="64"/>
        <v>15247.5</v>
      </c>
      <c r="J147" s="15">
        <f t="shared" si="64"/>
        <v>12524.9</v>
      </c>
      <c r="K147" s="15">
        <f t="shared" si="64"/>
        <v>20962</v>
      </c>
      <c r="L147" s="16">
        <f>K147*100/F147</f>
        <v>79.61533056579982</v>
      </c>
      <c r="M147" s="15">
        <f>K147*100/E147</f>
        <v>38.7456909697513</v>
      </c>
      <c r="N147" s="15">
        <f>K147*100/D147</f>
        <v>39.566172640035035</v>
      </c>
    </row>
    <row r="148" spans="1:14" ht="12.75">
      <c r="A148" s="98"/>
      <c r="B148" s="99"/>
      <c r="C148" s="99"/>
      <c r="D148" s="99"/>
      <c r="E148" s="99"/>
      <c r="F148" s="99"/>
      <c r="G148" s="99"/>
      <c r="H148" s="99"/>
      <c r="I148" s="99"/>
      <c r="J148" s="99"/>
      <c r="K148" s="99"/>
      <c r="L148" s="16"/>
      <c r="M148" s="15"/>
      <c r="N148" s="13"/>
    </row>
    <row r="149" spans="1:14" ht="12.75">
      <c r="A149" s="88" t="s">
        <v>32</v>
      </c>
      <c r="B149" s="89"/>
      <c r="C149" s="89"/>
      <c r="D149" s="89"/>
      <c r="E149" s="89"/>
      <c r="F149" s="89"/>
      <c r="G149" s="89"/>
      <c r="H149" s="89"/>
      <c r="I149" s="89"/>
      <c r="J149" s="89"/>
      <c r="K149" s="89"/>
      <c r="L149" s="89"/>
      <c r="M149" s="89"/>
      <c r="N149" s="90"/>
    </row>
    <row r="150" spans="1:14" ht="12.75">
      <c r="A150" s="47" t="s">
        <v>3</v>
      </c>
      <c r="B150" s="47"/>
      <c r="C150" s="60" t="s">
        <v>68</v>
      </c>
      <c r="D150" s="16">
        <f aca="true" t="shared" si="65" ref="D150:J150">D151+D154+D156+D158+D155+D159+D157+D160+D153+D152</f>
        <v>20058.2</v>
      </c>
      <c r="E150" s="16">
        <f t="shared" si="65"/>
        <v>20058.2</v>
      </c>
      <c r="F150" s="16">
        <f t="shared" si="65"/>
        <v>10089.599999999999</v>
      </c>
      <c r="G150" s="16">
        <f t="shared" si="65"/>
        <v>4954.4</v>
      </c>
      <c r="H150" s="16">
        <f t="shared" si="65"/>
        <v>5135.2</v>
      </c>
      <c r="I150" s="16">
        <f t="shared" si="65"/>
        <v>5636.5</v>
      </c>
      <c r="J150" s="16">
        <f t="shared" si="65"/>
        <v>4332.099999999999</v>
      </c>
      <c r="K150" s="16">
        <f>K151+K154+K156+K158+K155+K159+K157+K160+K153+K152</f>
        <v>8215.8</v>
      </c>
      <c r="L150" s="16">
        <f aca="true" t="shared" si="66" ref="L150:L156">K150*100/F150</f>
        <v>81.42840152235966</v>
      </c>
      <c r="M150" s="15">
        <f aca="true" t="shared" si="67" ref="M150:M156">K150*100/E150</f>
        <v>40.95980696174133</v>
      </c>
      <c r="N150" s="15">
        <f aca="true" t="shared" si="68" ref="N150:N156">K150*100/D150</f>
        <v>40.95980696174133</v>
      </c>
    </row>
    <row r="151" spans="1:14" ht="12.75">
      <c r="A151" s="43" t="s">
        <v>23</v>
      </c>
      <c r="B151" s="43"/>
      <c r="C151" s="38" t="s">
        <v>22</v>
      </c>
      <c r="D151" s="39">
        <v>13450</v>
      </c>
      <c r="E151" s="51">
        <f>G151+H151+I151+J151</f>
        <v>13450</v>
      </c>
      <c r="F151" s="21">
        <f aca="true" t="shared" si="69" ref="F151:F162">G151+H151</f>
        <v>6765.799999999999</v>
      </c>
      <c r="G151" s="51">
        <v>3322.2</v>
      </c>
      <c r="H151" s="51">
        <v>3443.6</v>
      </c>
      <c r="I151" s="12">
        <v>3779.5</v>
      </c>
      <c r="J151" s="13">
        <v>2904.7</v>
      </c>
      <c r="K151" s="13">
        <v>5394.1</v>
      </c>
      <c r="L151" s="14">
        <f t="shared" si="66"/>
        <v>79.7259747553874</v>
      </c>
      <c r="M151" s="13">
        <f t="shared" si="67"/>
        <v>40.10483271375465</v>
      </c>
      <c r="N151" s="13">
        <f t="shared" si="68"/>
        <v>40.10483271375465</v>
      </c>
    </row>
    <row r="152" spans="1:14" ht="12.75">
      <c r="A152" s="35" t="s">
        <v>70</v>
      </c>
      <c r="B152" s="35"/>
      <c r="C152" s="38" t="s">
        <v>71</v>
      </c>
      <c r="D152" s="39">
        <v>4776.3</v>
      </c>
      <c r="E152" s="51">
        <f>G152+H152+I152+J152</f>
        <v>4776.3</v>
      </c>
      <c r="F152" s="21">
        <f t="shared" si="69"/>
        <v>2402.4</v>
      </c>
      <c r="G152" s="51">
        <v>1179.7</v>
      </c>
      <c r="H152" s="51">
        <v>1222.7</v>
      </c>
      <c r="I152" s="12">
        <v>1342.2</v>
      </c>
      <c r="J152" s="13">
        <v>1031.7</v>
      </c>
      <c r="K152" s="13">
        <v>2102.4</v>
      </c>
      <c r="L152" s="14">
        <f t="shared" si="66"/>
        <v>87.51248751248751</v>
      </c>
      <c r="M152" s="13">
        <f t="shared" si="67"/>
        <v>44.01733559449783</v>
      </c>
      <c r="N152" s="13">
        <f t="shared" si="68"/>
        <v>44.01733559449783</v>
      </c>
    </row>
    <row r="153" spans="1:14" ht="12.75" customHeight="1">
      <c r="A153" s="35" t="s">
        <v>8</v>
      </c>
      <c r="B153" s="35"/>
      <c r="C153" s="38" t="s">
        <v>5</v>
      </c>
      <c r="D153" s="39">
        <v>10</v>
      </c>
      <c r="E153" s="51">
        <f aca="true" t="shared" si="70" ref="E153:E162">G153+H153+I153+J153</f>
        <v>10</v>
      </c>
      <c r="F153" s="21">
        <f t="shared" si="69"/>
        <v>5</v>
      </c>
      <c r="G153" s="51">
        <v>2.5</v>
      </c>
      <c r="H153" s="51">
        <v>2.5</v>
      </c>
      <c r="I153" s="12">
        <v>2.8</v>
      </c>
      <c r="J153" s="13">
        <v>2.2</v>
      </c>
      <c r="K153" s="13">
        <v>11.2</v>
      </c>
      <c r="L153" s="14">
        <f t="shared" si="66"/>
        <v>224</v>
      </c>
      <c r="M153" s="13">
        <f t="shared" si="67"/>
        <v>112</v>
      </c>
      <c r="N153" s="13">
        <f t="shared" si="68"/>
        <v>112</v>
      </c>
    </row>
    <row r="154" spans="1:14" ht="12.75">
      <c r="A154" s="35" t="s">
        <v>9</v>
      </c>
      <c r="B154" s="35"/>
      <c r="C154" s="38" t="s">
        <v>6</v>
      </c>
      <c r="D154" s="39">
        <v>1510</v>
      </c>
      <c r="E154" s="51">
        <f t="shared" si="70"/>
        <v>1510</v>
      </c>
      <c r="F154" s="21">
        <f t="shared" si="69"/>
        <v>759.6</v>
      </c>
      <c r="G154" s="51">
        <v>373</v>
      </c>
      <c r="H154" s="51">
        <v>386.6</v>
      </c>
      <c r="I154" s="12">
        <v>424.3</v>
      </c>
      <c r="J154" s="13">
        <v>326.1</v>
      </c>
      <c r="K154" s="13">
        <v>537.4</v>
      </c>
      <c r="L154" s="14">
        <f t="shared" si="66"/>
        <v>70.74776197998946</v>
      </c>
      <c r="M154" s="13">
        <f t="shared" si="67"/>
        <v>35.58940397350993</v>
      </c>
      <c r="N154" s="13">
        <f t="shared" si="68"/>
        <v>35.58940397350993</v>
      </c>
    </row>
    <row r="155" spans="1:14" ht="12.75">
      <c r="A155" s="35" t="s">
        <v>10</v>
      </c>
      <c r="B155" s="35"/>
      <c r="C155" s="38" t="s">
        <v>21</v>
      </c>
      <c r="D155" s="39">
        <v>145.1</v>
      </c>
      <c r="E155" s="51">
        <f t="shared" si="70"/>
        <v>145.1</v>
      </c>
      <c r="F155" s="21">
        <f t="shared" si="69"/>
        <v>72.9</v>
      </c>
      <c r="G155" s="51">
        <v>35.8</v>
      </c>
      <c r="H155" s="51">
        <v>37.1</v>
      </c>
      <c r="I155" s="12">
        <v>40.8</v>
      </c>
      <c r="J155" s="13">
        <v>31.4</v>
      </c>
      <c r="K155" s="13">
        <v>35.3</v>
      </c>
      <c r="L155" s="14">
        <f t="shared" si="66"/>
        <v>48.42249657064471</v>
      </c>
      <c r="M155" s="13">
        <f t="shared" si="67"/>
        <v>24.328049620951067</v>
      </c>
      <c r="N155" s="13">
        <f t="shared" si="68"/>
        <v>24.328049620951067</v>
      </c>
    </row>
    <row r="156" spans="1:14" ht="22.5">
      <c r="A156" s="40" t="s">
        <v>11</v>
      </c>
      <c r="B156" s="40"/>
      <c r="C156" s="38" t="s">
        <v>17</v>
      </c>
      <c r="D156" s="39">
        <v>166.8</v>
      </c>
      <c r="E156" s="51">
        <f t="shared" si="70"/>
        <v>166.8</v>
      </c>
      <c r="F156" s="21">
        <f t="shared" si="69"/>
        <v>83.9</v>
      </c>
      <c r="G156" s="51">
        <v>41.2</v>
      </c>
      <c r="H156" s="51">
        <v>42.7</v>
      </c>
      <c r="I156" s="12">
        <v>46.9</v>
      </c>
      <c r="J156" s="13">
        <v>36</v>
      </c>
      <c r="K156" s="13">
        <v>87.4</v>
      </c>
      <c r="L156" s="14">
        <f t="shared" si="66"/>
        <v>104.17163289630511</v>
      </c>
      <c r="M156" s="13">
        <f t="shared" si="67"/>
        <v>52.39808153477218</v>
      </c>
      <c r="N156" s="13">
        <f t="shared" si="68"/>
        <v>52.39808153477218</v>
      </c>
    </row>
    <row r="157" spans="1:14" ht="19.5" customHeight="1">
      <c r="A157" s="42" t="s">
        <v>42</v>
      </c>
      <c r="B157" s="42"/>
      <c r="C157" s="38" t="s">
        <v>43</v>
      </c>
      <c r="D157" s="39"/>
      <c r="E157" s="51">
        <f t="shared" si="70"/>
        <v>0</v>
      </c>
      <c r="F157" s="21">
        <f t="shared" si="69"/>
        <v>0</v>
      </c>
      <c r="G157" s="51"/>
      <c r="H157" s="51"/>
      <c r="I157" s="12"/>
      <c r="J157" s="13"/>
      <c r="K157" s="13">
        <v>18</v>
      </c>
      <c r="L157" s="14"/>
      <c r="M157" s="13"/>
      <c r="N157" s="13"/>
    </row>
    <row r="158" spans="1:14" ht="19.5" customHeight="1" hidden="1">
      <c r="A158" s="41" t="s">
        <v>18</v>
      </c>
      <c r="B158" s="41"/>
      <c r="C158" s="38" t="s">
        <v>15</v>
      </c>
      <c r="D158" s="39"/>
      <c r="E158" s="51">
        <f t="shared" si="70"/>
        <v>0</v>
      </c>
      <c r="F158" s="21">
        <f t="shared" si="69"/>
        <v>0</v>
      </c>
      <c r="G158" s="51"/>
      <c r="H158" s="51"/>
      <c r="I158" s="12"/>
      <c r="J158" s="13"/>
      <c r="K158" s="13"/>
      <c r="L158" s="14"/>
      <c r="M158" s="13"/>
      <c r="N158" s="13"/>
    </row>
    <row r="159" spans="1:14" ht="17.25" customHeight="1">
      <c r="A159" s="43" t="s">
        <v>12</v>
      </c>
      <c r="B159" s="43"/>
      <c r="C159" s="38" t="s">
        <v>7</v>
      </c>
      <c r="D159" s="39"/>
      <c r="E159" s="51">
        <f t="shared" si="70"/>
        <v>0</v>
      </c>
      <c r="F159" s="21">
        <f t="shared" si="69"/>
        <v>0</v>
      </c>
      <c r="G159" s="51"/>
      <c r="H159" s="51"/>
      <c r="I159" s="12"/>
      <c r="J159" s="13"/>
      <c r="K159" s="13">
        <v>30</v>
      </c>
      <c r="L159" s="14"/>
      <c r="M159" s="13"/>
      <c r="N159" s="13"/>
    </row>
    <row r="160" spans="1:14" ht="16.5" customHeight="1">
      <c r="A160" s="41" t="s">
        <v>39</v>
      </c>
      <c r="B160" s="61"/>
      <c r="C160" s="46" t="s">
        <v>40</v>
      </c>
      <c r="D160" s="39"/>
      <c r="E160" s="51">
        <f t="shared" si="70"/>
        <v>0</v>
      </c>
      <c r="F160" s="21">
        <f t="shared" si="69"/>
        <v>0</v>
      </c>
      <c r="G160" s="51"/>
      <c r="H160" s="51"/>
      <c r="I160" s="12"/>
      <c r="J160" s="13"/>
      <c r="K160" s="13">
        <v>0</v>
      </c>
      <c r="L160" s="16"/>
      <c r="M160" s="15"/>
      <c r="N160" s="13"/>
    </row>
    <row r="161" spans="1:14" ht="12.75">
      <c r="A161" s="47" t="s">
        <v>1</v>
      </c>
      <c r="B161" s="47"/>
      <c r="C161" s="48" t="s">
        <v>0</v>
      </c>
      <c r="D161" s="17">
        <f>D162+D163</f>
        <v>29590.9</v>
      </c>
      <c r="E161" s="17">
        <f>E162+E163</f>
        <v>32347.1</v>
      </c>
      <c r="F161" s="17">
        <f aca="true" t="shared" si="71" ref="F161:K161">F162+F163</f>
        <v>17640.5</v>
      </c>
      <c r="G161" s="17">
        <f t="shared" si="71"/>
        <v>8016.1</v>
      </c>
      <c r="H161" s="17">
        <f t="shared" si="71"/>
        <v>9624.4</v>
      </c>
      <c r="I161" s="17">
        <f t="shared" si="71"/>
        <v>8315</v>
      </c>
      <c r="J161" s="17">
        <f t="shared" si="71"/>
        <v>6391.6</v>
      </c>
      <c r="K161" s="17">
        <f t="shared" si="71"/>
        <v>10855.9</v>
      </c>
      <c r="L161" s="16">
        <f>K161*100/F161</f>
        <v>61.53963889912418</v>
      </c>
      <c r="M161" s="15">
        <f>K161*100/E161</f>
        <v>33.56065922447453</v>
      </c>
      <c r="N161" s="15">
        <f>K161*100/D161</f>
        <v>36.686616493584175</v>
      </c>
    </row>
    <row r="162" spans="1:14" ht="22.5">
      <c r="A162" s="49" t="s">
        <v>67</v>
      </c>
      <c r="B162" s="35"/>
      <c r="C162" s="50" t="s">
        <v>20</v>
      </c>
      <c r="D162" s="51">
        <v>29590.9</v>
      </c>
      <c r="E162" s="51">
        <f t="shared" si="70"/>
        <v>32347.1</v>
      </c>
      <c r="F162" s="21">
        <f t="shared" si="69"/>
        <v>17640.5</v>
      </c>
      <c r="G162" s="51">
        <f>7857.3+158.8</f>
        <v>8016.1</v>
      </c>
      <c r="H162" s="51">
        <v>9624.4</v>
      </c>
      <c r="I162" s="12">
        <v>8315</v>
      </c>
      <c r="J162" s="13">
        <v>6391.6</v>
      </c>
      <c r="K162" s="13">
        <v>10855.9</v>
      </c>
      <c r="L162" s="14">
        <f>K162*100/F162</f>
        <v>61.53963889912418</v>
      </c>
      <c r="M162" s="13">
        <f>K162*100/E162</f>
        <v>33.56065922447453</v>
      </c>
      <c r="N162" s="13">
        <f>K162*100/D162</f>
        <v>36.686616493584175</v>
      </c>
    </row>
    <row r="163" spans="1:14" ht="12.75" hidden="1">
      <c r="A163" s="49" t="s">
        <v>2</v>
      </c>
      <c r="B163" s="49"/>
      <c r="C163" s="52" t="s">
        <v>19</v>
      </c>
      <c r="D163" s="52"/>
      <c r="E163" s="51">
        <f>G163+H163+I163+J163</f>
        <v>0</v>
      </c>
      <c r="F163" s="39">
        <f>G163</f>
        <v>0</v>
      </c>
      <c r="G163" s="51"/>
      <c r="H163" s="51"/>
      <c r="I163" s="12"/>
      <c r="J163" s="13"/>
      <c r="K163" s="13"/>
      <c r="L163" s="14"/>
      <c r="M163" s="13"/>
      <c r="N163" s="13" t="e">
        <f>K163*100/D163</f>
        <v>#DIV/0!</v>
      </c>
    </row>
    <row r="164" spans="1:14" ht="12.75">
      <c r="A164" s="43"/>
      <c r="B164" s="58"/>
      <c r="C164" s="59" t="s">
        <v>4</v>
      </c>
      <c r="D164" s="15">
        <f aca="true" t="shared" si="72" ref="D164:K164">D161+D150</f>
        <v>49649.100000000006</v>
      </c>
      <c r="E164" s="15">
        <f t="shared" si="72"/>
        <v>52405.3</v>
      </c>
      <c r="F164" s="15">
        <f t="shared" si="72"/>
        <v>27730.1</v>
      </c>
      <c r="G164" s="15">
        <f t="shared" si="72"/>
        <v>12970.5</v>
      </c>
      <c r="H164" s="15">
        <f t="shared" si="72"/>
        <v>14759.599999999999</v>
      </c>
      <c r="I164" s="15">
        <f t="shared" si="72"/>
        <v>13951.5</v>
      </c>
      <c r="J164" s="15">
        <f t="shared" si="72"/>
        <v>10723.7</v>
      </c>
      <c r="K164" s="15">
        <f t="shared" si="72"/>
        <v>19071.699999999997</v>
      </c>
      <c r="L164" s="16">
        <f>K164*100/F164</f>
        <v>68.77616741374895</v>
      </c>
      <c r="M164" s="15">
        <f>K164*100/E164</f>
        <v>36.39269310546833</v>
      </c>
      <c r="N164" s="15">
        <f>K164*100/D164</f>
        <v>38.41298230985052</v>
      </c>
    </row>
    <row r="165" spans="1:14" ht="12.75">
      <c r="A165" s="85"/>
      <c r="B165" s="86"/>
      <c r="C165" s="86"/>
      <c r="D165" s="86"/>
      <c r="E165" s="86"/>
      <c r="F165" s="86"/>
      <c r="G165" s="86"/>
      <c r="H165" s="86"/>
      <c r="I165" s="86"/>
      <c r="J165" s="86"/>
      <c r="K165" s="86"/>
      <c r="L165" s="16"/>
      <c r="M165" s="15"/>
      <c r="N165" s="13"/>
    </row>
    <row r="166" spans="1:14" ht="12.75">
      <c r="A166" s="88" t="s">
        <v>33</v>
      </c>
      <c r="B166" s="89"/>
      <c r="C166" s="89"/>
      <c r="D166" s="89"/>
      <c r="E166" s="89"/>
      <c r="F166" s="89"/>
      <c r="G166" s="89"/>
      <c r="H166" s="89"/>
      <c r="I166" s="89"/>
      <c r="J166" s="89"/>
      <c r="K166" s="89"/>
      <c r="L166" s="89"/>
      <c r="M166" s="89"/>
      <c r="N166" s="90"/>
    </row>
    <row r="167" spans="1:14" ht="12.75">
      <c r="A167" s="47" t="s">
        <v>3</v>
      </c>
      <c r="B167" s="47"/>
      <c r="C167" s="60" t="s">
        <v>68</v>
      </c>
      <c r="D167" s="16">
        <f>D168+D171+D172+D173+D175+D176+D177+D174+D169+D170</f>
        <v>6717.4</v>
      </c>
      <c r="E167" s="16">
        <f>E168+E171+E172+E173+E175+E176+E177+E174+E169+E170</f>
        <v>7133.9</v>
      </c>
      <c r="F167" s="16">
        <f aca="true" t="shared" si="73" ref="F167:K167">F168+F171+F172+F173+F175+F176+F177+F174+F169+F170</f>
        <v>3498.2</v>
      </c>
      <c r="G167" s="16">
        <f t="shared" si="73"/>
        <v>1609.2</v>
      </c>
      <c r="H167" s="16">
        <f t="shared" si="73"/>
        <v>1889</v>
      </c>
      <c r="I167" s="16">
        <f t="shared" si="73"/>
        <v>1552.9</v>
      </c>
      <c r="J167" s="16">
        <f t="shared" si="73"/>
        <v>2082.8</v>
      </c>
      <c r="K167" s="16">
        <f t="shared" si="73"/>
        <v>3093.5</v>
      </c>
      <c r="L167" s="16">
        <f>K167*100/F167</f>
        <v>88.4311931850666</v>
      </c>
      <c r="M167" s="15">
        <f aca="true" t="shared" si="74" ref="M167:M174">K167*100/E167</f>
        <v>43.363377675605214</v>
      </c>
      <c r="N167" s="15">
        <f>K167*100/D167</f>
        <v>46.052043945574184</v>
      </c>
    </row>
    <row r="168" spans="1:14" ht="12.75">
      <c r="A168" s="43" t="s">
        <v>23</v>
      </c>
      <c r="B168" s="43"/>
      <c r="C168" s="38" t="s">
        <v>22</v>
      </c>
      <c r="D168" s="39">
        <v>2900</v>
      </c>
      <c r="E168" s="51">
        <f>G168+H168+I168+J168</f>
        <v>2900</v>
      </c>
      <c r="F168" s="21">
        <f aca="true" t="shared" si="75" ref="F168:F179">G168+H168</f>
        <v>1491.7</v>
      </c>
      <c r="G168" s="39">
        <v>720</v>
      </c>
      <c r="H168" s="39">
        <v>771.7</v>
      </c>
      <c r="I168" s="12">
        <v>625</v>
      </c>
      <c r="J168" s="13">
        <v>783.3</v>
      </c>
      <c r="K168" s="13">
        <v>1156.1</v>
      </c>
      <c r="L168" s="14">
        <f>K168*100/F168</f>
        <v>77.50217872226318</v>
      </c>
      <c r="M168" s="13">
        <f t="shared" si="74"/>
        <v>39.86551724137931</v>
      </c>
      <c r="N168" s="13">
        <f>K168*100/D168</f>
        <v>39.86551724137931</v>
      </c>
    </row>
    <row r="169" spans="1:14" ht="12.75">
      <c r="A169" s="35" t="s">
        <v>70</v>
      </c>
      <c r="B169" s="35"/>
      <c r="C169" s="38" t="s">
        <v>71</v>
      </c>
      <c r="D169" s="39">
        <v>2746.1</v>
      </c>
      <c r="E169" s="51">
        <f>G169+H169+I169+J169</f>
        <v>2746.1</v>
      </c>
      <c r="F169" s="21">
        <f t="shared" si="75"/>
        <v>1373.1</v>
      </c>
      <c r="G169" s="39">
        <v>686.6</v>
      </c>
      <c r="H169" s="39">
        <v>686.5</v>
      </c>
      <c r="I169" s="12">
        <v>686.5</v>
      </c>
      <c r="J169" s="13">
        <v>686.5</v>
      </c>
      <c r="K169" s="13">
        <v>1208.8</v>
      </c>
      <c r="L169" s="14">
        <f>K169*100/F169</f>
        <v>88.03437477241279</v>
      </c>
      <c r="M169" s="13">
        <f t="shared" si="74"/>
        <v>44.01879028440334</v>
      </c>
      <c r="N169" s="13">
        <f>K169*100/D169</f>
        <v>44.01879028440334</v>
      </c>
    </row>
    <row r="170" spans="1:14" ht="15" customHeight="1">
      <c r="A170" s="35" t="s">
        <v>8</v>
      </c>
      <c r="B170" s="35"/>
      <c r="C170" s="38" t="s">
        <v>5</v>
      </c>
      <c r="D170" s="39">
        <v>2</v>
      </c>
      <c r="E170" s="51">
        <f>G170+H170+I170+J170</f>
        <v>2</v>
      </c>
      <c r="F170" s="21">
        <f t="shared" si="75"/>
        <v>2</v>
      </c>
      <c r="G170" s="39"/>
      <c r="H170" s="39">
        <v>2</v>
      </c>
      <c r="I170" s="12"/>
      <c r="J170" s="13"/>
      <c r="K170" s="13"/>
      <c r="L170" s="14"/>
      <c r="M170" s="13">
        <f t="shared" si="74"/>
        <v>0</v>
      </c>
      <c r="N170" s="13"/>
    </row>
    <row r="171" spans="1:14" ht="12.75">
      <c r="A171" s="35" t="s">
        <v>9</v>
      </c>
      <c r="B171" s="35"/>
      <c r="C171" s="38" t="s">
        <v>6</v>
      </c>
      <c r="D171" s="39">
        <v>686</v>
      </c>
      <c r="E171" s="51">
        <f>G171+H171+I171+J171</f>
        <v>686</v>
      </c>
      <c r="F171" s="21">
        <f t="shared" si="75"/>
        <v>84.8</v>
      </c>
      <c r="G171" s="39"/>
      <c r="H171" s="39">
        <v>84.8</v>
      </c>
      <c r="I171" s="12">
        <v>145.5</v>
      </c>
      <c r="J171" s="13">
        <v>455.7</v>
      </c>
      <c r="K171" s="13">
        <v>202.8</v>
      </c>
      <c r="L171" s="14">
        <f aca="true" t="shared" si="76" ref="L171:L176">K171*100/F171</f>
        <v>239.1509433962264</v>
      </c>
      <c r="M171" s="13">
        <f t="shared" si="74"/>
        <v>29.56268221574344</v>
      </c>
      <c r="N171" s="13">
        <f>K171*100/D171</f>
        <v>29.56268221574344</v>
      </c>
    </row>
    <row r="172" spans="1:14" ht="12.75">
      <c r="A172" s="35" t="s">
        <v>10</v>
      </c>
      <c r="B172" s="35"/>
      <c r="C172" s="38" t="s">
        <v>21</v>
      </c>
      <c r="D172" s="39">
        <v>35</v>
      </c>
      <c r="E172" s="51">
        <f aca="true" t="shared" si="77" ref="E172:E179">G172+H172+I172+J172</f>
        <v>35</v>
      </c>
      <c r="F172" s="21">
        <f t="shared" si="75"/>
        <v>17.5</v>
      </c>
      <c r="G172" s="39">
        <v>8.7</v>
      </c>
      <c r="H172" s="39">
        <v>8.8</v>
      </c>
      <c r="I172" s="12">
        <v>8.8</v>
      </c>
      <c r="J172" s="13">
        <v>8.7</v>
      </c>
      <c r="K172" s="13">
        <v>10.5</v>
      </c>
      <c r="L172" s="14">
        <f t="shared" si="76"/>
        <v>60</v>
      </c>
      <c r="M172" s="13">
        <f t="shared" si="74"/>
        <v>30</v>
      </c>
      <c r="N172" s="13">
        <f>K172*100/D172</f>
        <v>30</v>
      </c>
    </row>
    <row r="173" spans="1:14" ht="22.5">
      <c r="A173" s="40" t="s">
        <v>11</v>
      </c>
      <c r="B173" s="40"/>
      <c r="C173" s="38" t="s">
        <v>17</v>
      </c>
      <c r="D173" s="39">
        <v>246.3</v>
      </c>
      <c r="E173" s="51">
        <f t="shared" si="77"/>
        <v>603</v>
      </c>
      <c r="F173" s="21">
        <f t="shared" si="75"/>
        <v>418.3</v>
      </c>
      <c r="G173" s="39">
        <v>130.8</v>
      </c>
      <c r="H173" s="39">
        <v>287.5</v>
      </c>
      <c r="I173" s="12">
        <v>61.6</v>
      </c>
      <c r="J173" s="13">
        <v>123.1</v>
      </c>
      <c r="K173" s="13">
        <v>402.7</v>
      </c>
      <c r="L173" s="14">
        <f t="shared" si="76"/>
        <v>96.27061917284246</v>
      </c>
      <c r="M173" s="13">
        <f t="shared" si="74"/>
        <v>66.78275290215589</v>
      </c>
      <c r="N173" s="13">
        <f>K173*100/D173</f>
        <v>163.4997969955339</v>
      </c>
    </row>
    <row r="174" spans="1:14" ht="22.5">
      <c r="A174" s="42" t="s">
        <v>42</v>
      </c>
      <c r="B174" s="42"/>
      <c r="C174" s="38" t="s">
        <v>43</v>
      </c>
      <c r="D174" s="39">
        <v>102</v>
      </c>
      <c r="E174" s="51">
        <f t="shared" si="77"/>
        <v>120.4</v>
      </c>
      <c r="F174" s="21">
        <f t="shared" si="75"/>
        <v>69.4</v>
      </c>
      <c r="G174" s="39">
        <f>25.5+18.4</f>
        <v>43.9</v>
      </c>
      <c r="H174" s="39">
        <v>25.5</v>
      </c>
      <c r="I174" s="12">
        <v>25.5</v>
      </c>
      <c r="J174" s="13">
        <v>25.5</v>
      </c>
      <c r="K174" s="13">
        <v>71.2</v>
      </c>
      <c r="L174" s="14">
        <f t="shared" si="76"/>
        <v>102.5936599423631</v>
      </c>
      <c r="M174" s="13">
        <f t="shared" si="74"/>
        <v>59.136212624584715</v>
      </c>
      <c r="N174" s="13">
        <f>K174*100/D174</f>
        <v>69.80392156862744</v>
      </c>
    </row>
    <row r="175" spans="1:14" ht="22.5" hidden="1">
      <c r="A175" s="41" t="s">
        <v>18</v>
      </c>
      <c r="B175" s="41"/>
      <c r="C175" s="38" t="s">
        <v>15</v>
      </c>
      <c r="D175" s="39"/>
      <c r="E175" s="51">
        <f t="shared" si="77"/>
        <v>0</v>
      </c>
      <c r="F175" s="21">
        <f t="shared" si="75"/>
        <v>0</v>
      </c>
      <c r="G175" s="39"/>
      <c r="H175" s="39"/>
      <c r="I175" s="12"/>
      <c r="J175" s="13"/>
      <c r="K175" s="13"/>
      <c r="L175" s="14" t="e">
        <f t="shared" si="76"/>
        <v>#DIV/0!</v>
      </c>
      <c r="M175" s="13" t="e">
        <f>K175*100/E175</f>
        <v>#DIV/0!</v>
      </c>
      <c r="N175" s="13" t="e">
        <f>K175*100/D175</f>
        <v>#DIV/0!</v>
      </c>
    </row>
    <row r="176" spans="1:14" ht="17.25" customHeight="1">
      <c r="A176" s="43" t="s">
        <v>12</v>
      </c>
      <c r="B176" s="43"/>
      <c r="C176" s="38" t="s">
        <v>7</v>
      </c>
      <c r="D176" s="39"/>
      <c r="E176" s="51">
        <f t="shared" si="77"/>
        <v>41.4</v>
      </c>
      <c r="F176" s="21">
        <f t="shared" si="75"/>
        <v>41.4</v>
      </c>
      <c r="G176" s="39">
        <v>19.2</v>
      </c>
      <c r="H176" s="39">
        <v>22.2</v>
      </c>
      <c r="I176" s="12"/>
      <c r="J176" s="13"/>
      <c r="K176" s="13">
        <v>41.4</v>
      </c>
      <c r="L176" s="14">
        <f t="shared" si="76"/>
        <v>100</v>
      </c>
      <c r="M176" s="13">
        <f>K176*100/E176</f>
        <v>100</v>
      </c>
      <c r="N176" s="13"/>
    </row>
    <row r="177" spans="1:14" ht="14.25" customHeight="1">
      <c r="A177" s="63" t="s">
        <v>39</v>
      </c>
      <c r="B177" s="45"/>
      <c r="C177" s="46" t="s">
        <v>40</v>
      </c>
      <c r="D177" s="39"/>
      <c r="E177" s="51">
        <f t="shared" si="77"/>
        <v>0</v>
      </c>
      <c r="F177" s="21">
        <f t="shared" si="75"/>
        <v>0</v>
      </c>
      <c r="G177" s="39"/>
      <c r="H177" s="39"/>
      <c r="I177" s="12"/>
      <c r="J177" s="13"/>
      <c r="K177" s="13">
        <v>0</v>
      </c>
      <c r="L177" s="16"/>
      <c r="M177" s="15"/>
      <c r="N177" s="13"/>
    </row>
    <row r="178" spans="1:14" ht="12.75">
      <c r="A178" s="47" t="s">
        <v>1</v>
      </c>
      <c r="B178" s="47"/>
      <c r="C178" s="48" t="s">
        <v>0</v>
      </c>
      <c r="D178" s="17">
        <f aca="true" t="shared" si="78" ref="D178:K178">D179+D180</f>
        <v>24541.8</v>
      </c>
      <c r="E178" s="17">
        <f t="shared" si="78"/>
        <v>33878.799999999996</v>
      </c>
      <c r="F178" s="74">
        <f t="shared" si="78"/>
        <v>14931</v>
      </c>
      <c r="G178" s="74">
        <f t="shared" si="78"/>
        <v>6310</v>
      </c>
      <c r="H178" s="74">
        <f t="shared" si="78"/>
        <v>8621</v>
      </c>
      <c r="I178" s="17">
        <f t="shared" si="78"/>
        <v>12310.6</v>
      </c>
      <c r="J178" s="17">
        <f t="shared" si="78"/>
        <v>6637.2</v>
      </c>
      <c r="K178" s="17">
        <f t="shared" si="78"/>
        <v>9962</v>
      </c>
      <c r="L178" s="16">
        <f>K178*100/F178</f>
        <v>66.7202464670819</v>
      </c>
      <c r="M178" s="15">
        <f>K178*100/E178</f>
        <v>29.404819533159383</v>
      </c>
      <c r="N178" s="15">
        <f>K178*100/D178</f>
        <v>40.59196961918034</v>
      </c>
    </row>
    <row r="179" spans="1:14" ht="23.25" customHeight="1">
      <c r="A179" s="49" t="s">
        <v>67</v>
      </c>
      <c r="B179" s="35"/>
      <c r="C179" s="50" t="s">
        <v>20</v>
      </c>
      <c r="D179" s="51">
        <v>24541.8</v>
      </c>
      <c r="E179" s="51">
        <f t="shared" si="77"/>
        <v>33828.799999999996</v>
      </c>
      <c r="F179" s="21">
        <f t="shared" si="75"/>
        <v>14881</v>
      </c>
      <c r="G179" s="39">
        <f>6166.9+143.1</f>
        <v>6310</v>
      </c>
      <c r="H179" s="39">
        <v>8571</v>
      </c>
      <c r="I179" s="12">
        <v>12310.6</v>
      </c>
      <c r="J179" s="13">
        <v>6637.2</v>
      </c>
      <c r="K179" s="13">
        <v>9912</v>
      </c>
      <c r="L179" s="14">
        <f>K179*100/F179</f>
        <v>66.60842685303408</v>
      </c>
      <c r="M179" s="13">
        <f>K179*100/E179</f>
        <v>29.300477699475007</v>
      </c>
      <c r="N179" s="13">
        <f>K179*100/D179</f>
        <v>40.38823558174217</v>
      </c>
    </row>
    <row r="180" spans="1:14" ht="19.5" customHeight="1">
      <c r="A180" s="49" t="s">
        <v>2</v>
      </c>
      <c r="B180" s="49"/>
      <c r="C180" s="52" t="s">
        <v>19</v>
      </c>
      <c r="D180" s="53"/>
      <c r="E180" s="51">
        <f>G180+H180+I180+J180</f>
        <v>50</v>
      </c>
      <c r="F180" s="21">
        <f>G180+H180</f>
        <v>50</v>
      </c>
      <c r="G180" s="53"/>
      <c r="H180" s="53">
        <v>50</v>
      </c>
      <c r="I180" s="12"/>
      <c r="J180" s="13"/>
      <c r="K180" s="13">
        <v>50</v>
      </c>
      <c r="L180" s="14">
        <f>K180*100/F180</f>
        <v>100</v>
      </c>
      <c r="M180" s="13">
        <f>K180*100/E180</f>
        <v>100</v>
      </c>
      <c r="N180" s="13"/>
    </row>
    <row r="181" spans="1:14" ht="12.75">
      <c r="A181" s="43"/>
      <c r="B181" s="58"/>
      <c r="C181" s="59" t="s">
        <v>4</v>
      </c>
      <c r="D181" s="15">
        <f aca="true" t="shared" si="79" ref="D181:K181">D178+D167</f>
        <v>31259.199999999997</v>
      </c>
      <c r="E181" s="15">
        <f t="shared" si="79"/>
        <v>41012.7</v>
      </c>
      <c r="F181" s="15">
        <f t="shared" si="79"/>
        <v>18429.2</v>
      </c>
      <c r="G181" s="15">
        <f t="shared" si="79"/>
        <v>7919.2</v>
      </c>
      <c r="H181" s="15">
        <f t="shared" si="79"/>
        <v>10510</v>
      </c>
      <c r="I181" s="15">
        <f t="shared" si="79"/>
        <v>13863.5</v>
      </c>
      <c r="J181" s="15">
        <f t="shared" si="79"/>
        <v>8720</v>
      </c>
      <c r="K181" s="15">
        <f t="shared" si="79"/>
        <v>13055.5</v>
      </c>
      <c r="L181" s="16">
        <f>K181*100/F181</f>
        <v>70.84138215440713</v>
      </c>
      <c r="M181" s="15">
        <f>K181*100/E181</f>
        <v>31.83282251595238</v>
      </c>
      <c r="N181" s="15">
        <f>K181*100/D181</f>
        <v>41.76530429441573</v>
      </c>
    </row>
    <row r="182" spans="1:14" ht="12.75">
      <c r="A182" s="85"/>
      <c r="B182" s="86"/>
      <c r="C182" s="86"/>
      <c r="D182" s="86"/>
      <c r="E182" s="86"/>
      <c r="F182" s="86"/>
      <c r="G182" s="86"/>
      <c r="H182" s="86"/>
      <c r="I182" s="86"/>
      <c r="J182" s="86"/>
      <c r="K182" s="86"/>
      <c r="L182" s="16"/>
      <c r="M182" s="15"/>
      <c r="N182" s="13"/>
    </row>
    <row r="183" spans="1:14" ht="12.75">
      <c r="A183" s="88" t="s">
        <v>34</v>
      </c>
      <c r="B183" s="89"/>
      <c r="C183" s="89"/>
      <c r="D183" s="89"/>
      <c r="E183" s="89"/>
      <c r="F183" s="89"/>
      <c r="G183" s="89"/>
      <c r="H183" s="89"/>
      <c r="I183" s="89"/>
      <c r="J183" s="89"/>
      <c r="K183" s="89"/>
      <c r="L183" s="89"/>
      <c r="M183" s="89"/>
      <c r="N183" s="90"/>
    </row>
    <row r="184" spans="1:14" ht="12.75">
      <c r="A184" s="47" t="s">
        <v>3</v>
      </c>
      <c r="B184" s="47"/>
      <c r="C184" s="60" t="s">
        <v>68</v>
      </c>
      <c r="D184" s="16">
        <f aca="true" t="shared" si="80" ref="D184:J184">D185+D187+D188+D189+D190+D192+D194+D193+D191+D186</f>
        <v>24972.1</v>
      </c>
      <c r="E184" s="16">
        <f t="shared" si="80"/>
        <v>26473.1</v>
      </c>
      <c r="F184" s="16">
        <f t="shared" si="80"/>
        <v>13230.6</v>
      </c>
      <c r="G184" s="16">
        <f t="shared" si="80"/>
        <v>7431.3</v>
      </c>
      <c r="H184" s="16">
        <f t="shared" si="80"/>
        <v>5799.3</v>
      </c>
      <c r="I184" s="16">
        <f t="shared" si="80"/>
        <v>5719.3</v>
      </c>
      <c r="J184" s="16">
        <f t="shared" si="80"/>
        <v>7523.2</v>
      </c>
      <c r="K184" s="16">
        <f>K185+K187+K188+K189+K190+K192+K194+K193+K191+K186+0.1</f>
        <v>12504.2</v>
      </c>
      <c r="L184" s="16">
        <f aca="true" t="shared" si="81" ref="L184:L191">K184*100/F184</f>
        <v>94.50969721705742</v>
      </c>
      <c r="M184" s="15">
        <f aca="true" t="shared" si="82" ref="M184:M191">K184*100/E184</f>
        <v>47.233606944407725</v>
      </c>
      <c r="N184" s="15">
        <f aca="true" t="shared" si="83" ref="N184:N191">K184*100/D184</f>
        <v>50.07268111212113</v>
      </c>
    </row>
    <row r="185" spans="1:14" ht="12.75">
      <c r="A185" s="43" t="s">
        <v>23</v>
      </c>
      <c r="B185" s="43"/>
      <c r="C185" s="38" t="s">
        <v>22</v>
      </c>
      <c r="D185" s="39">
        <v>16900</v>
      </c>
      <c r="E185" s="51">
        <f>G185+H185+I185+J185</f>
        <v>16900</v>
      </c>
      <c r="F185" s="21">
        <f aca="true" t="shared" si="84" ref="F185:F196">G185+H185</f>
        <v>8448</v>
      </c>
      <c r="G185" s="51">
        <v>4224</v>
      </c>
      <c r="H185" s="51">
        <v>4224</v>
      </c>
      <c r="I185" s="12">
        <v>4224</v>
      </c>
      <c r="J185" s="13">
        <v>4228</v>
      </c>
      <c r="K185" s="13">
        <v>7420.7</v>
      </c>
      <c r="L185" s="14">
        <f t="shared" si="81"/>
        <v>87.83972537878788</v>
      </c>
      <c r="M185" s="13">
        <f t="shared" si="82"/>
        <v>43.909467455621304</v>
      </c>
      <c r="N185" s="13">
        <f t="shared" si="83"/>
        <v>43.909467455621304</v>
      </c>
    </row>
    <row r="186" spans="1:14" ht="12.75">
      <c r="A186" s="35" t="s">
        <v>70</v>
      </c>
      <c r="B186" s="35"/>
      <c r="C186" s="38" t="s">
        <v>71</v>
      </c>
      <c r="D186" s="39">
        <v>4105.1</v>
      </c>
      <c r="E186" s="51">
        <f>G186+H186+I186+J186</f>
        <v>4105.099999999999</v>
      </c>
      <c r="F186" s="21">
        <f t="shared" si="84"/>
        <v>2048.6</v>
      </c>
      <c r="G186" s="51">
        <v>1024.3</v>
      </c>
      <c r="H186" s="51">
        <v>1024.3</v>
      </c>
      <c r="I186" s="12">
        <v>1024.3</v>
      </c>
      <c r="J186" s="13">
        <v>1032.2</v>
      </c>
      <c r="K186" s="13">
        <v>1807</v>
      </c>
      <c r="L186" s="14">
        <f t="shared" si="81"/>
        <v>88.20658010348531</v>
      </c>
      <c r="M186" s="13">
        <f t="shared" si="82"/>
        <v>44.01841611653797</v>
      </c>
      <c r="N186" s="13">
        <f t="shared" si="83"/>
        <v>44.01841611653796</v>
      </c>
    </row>
    <row r="187" spans="1:14" ht="16.5" customHeight="1">
      <c r="A187" s="35" t="s">
        <v>8</v>
      </c>
      <c r="B187" s="35"/>
      <c r="C187" s="38" t="s">
        <v>5</v>
      </c>
      <c r="D187" s="39"/>
      <c r="E187" s="51">
        <f aca="true" t="shared" si="85" ref="E187:E196">G187+H187+I187+J187</f>
        <v>0</v>
      </c>
      <c r="F187" s="21">
        <f t="shared" si="84"/>
        <v>0</v>
      </c>
      <c r="G187" s="51"/>
      <c r="H187" s="51"/>
      <c r="I187" s="12"/>
      <c r="J187" s="13"/>
      <c r="K187" s="13">
        <v>0.9</v>
      </c>
      <c r="L187" s="14"/>
      <c r="M187" s="13"/>
      <c r="N187" s="13"/>
    </row>
    <row r="188" spans="1:14" ht="12.75">
      <c r="A188" s="35" t="s">
        <v>9</v>
      </c>
      <c r="B188" s="35"/>
      <c r="C188" s="38" t="s">
        <v>6</v>
      </c>
      <c r="D188" s="39">
        <v>2860</v>
      </c>
      <c r="E188" s="51">
        <f t="shared" si="85"/>
        <v>2860</v>
      </c>
      <c r="F188" s="21">
        <f t="shared" si="84"/>
        <v>625</v>
      </c>
      <c r="G188" s="51">
        <v>345</v>
      </c>
      <c r="H188" s="51">
        <v>280</v>
      </c>
      <c r="I188" s="12">
        <v>280</v>
      </c>
      <c r="J188" s="13">
        <v>1955</v>
      </c>
      <c r="K188" s="13">
        <v>842.4</v>
      </c>
      <c r="L188" s="14">
        <f t="shared" si="81"/>
        <v>134.784</v>
      </c>
      <c r="M188" s="13">
        <f t="shared" si="82"/>
        <v>29.454545454545453</v>
      </c>
      <c r="N188" s="13">
        <f t="shared" si="83"/>
        <v>29.454545454545453</v>
      </c>
    </row>
    <row r="189" spans="1:14" ht="12.75">
      <c r="A189" s="35" t="s">
        <v>10</v>
      </c>
      <c r="B189" s="35"/>
      <c r="C189" s="38" t="s">
        <v>21</v>
      </c>
      <c r="D189" s="39">
        <v>182</v>
      </c>
      <c r="E189" s="51">
        <f t="shared" si="85"/>
        <v>182</v>
      </c>
      <c r="F189" s="21">
        <f t="shared" si="84"/>
        <v>86</v>
      </c>
      <c r="G189" s="51">
        <v>51</v>
      </c>
      <c r="H189" s="51">
        <v>35</v>
      </c>
      <c r="I189" s="12">
        <v>38</v>
      </c>
      <c r="J189" s="13">
        <v>58</v>
      </c>
      <c r="K189" s="13">
        <v>59.2</v>
      </c>
      <c r="L189" s="14">
        <f t="shared" si="81"/>
        <v>68.83720930232558</v>
      </c>
      <c r="M189" s="13">
        <f t="shared" si="82"/>
        <v>32.527472527472526</v>
      </c>
      <c r="N189" s="13">
        <f t="shared" si="83"/>
        <v>32.527472527472526</v>
      </c>
    </row>
    <row r="190" spans="1:14" ht="22.5">
      <c r="A190" s="40" t="s">
        <v>11</v>
      </c>
      <c r="B190" s="40"/>
      <c r="C190" s="38" t="s">
        <v>17</v>
      </c>
      <c r="D190" s="39">
        <v>760</v>
      </c>
      <c r="E190" s="51">
        <f t="shared" si="85"/>
        <v>760</v>
      </c>
      <c r="F190" s="21">
        <f t="shared" si="84"/>
        <v>462</v>
      </c>
      <c r="G190" s="51">
        <v>241</v>
      </c>
      <c r="H190" s="51">
        <v>221</v>
      </c>
      <c r="I190" s="12">
        <v>123</v>
      </c>
      <c r="J190" s="13">
        <v>175</v>
      </c>
      <c r="K190" s="13">
        <v>310.5</v>
      </c>
      <c r="L190" s="14">
        <f t="shared" si="81"/>
        <v>67.20779220779221</v>
      </c>
      <c r="M190" s="13">
        <f t="shared" si="82"/>
        <v>40.85526315789474</v>
      </c>
      <c r="N190" s="13">
        <f t="shared" si="83"/>
        <v>40.85526315789474</v>
      </c>
    </row>
    <row r="191" spans="1:14" ht="22.5">
      <c r="A191" s="41" t="s">
        <v>42</v>
      </c>
      <c r="B191" s="42"/>
      <c r="C191" s="38" t="s">
        <v>43</v>
      </c>
      <c r="D191" s="39">
        <v>165</v>
      </c>
      <c r="E191" s="51">
        <f t="shared" si="85"/>
        <v>165</v>
      </c>
      <c r="F191" s="21">
        <f t="shared" si="84"/>
        <v>60</v>
      </c>
      <c r="G191" s="51">
        <v>45</v>
      </c>
      <c r="H191" s="51">
        <v>15</v>
      </c>
      <c r="I191" s="12">
        <v>30</v>
      </c>
      <c r="J191" s="13">
        <v>75</v>
      </c>
      <c r="K191" s="13">
        <v>114.4</v>
      </c>
      <c r="L191" s="14">
        <f t="shared" si="81"/>
        <v>190.66666666666666</v>
      </c>
      <c r="M191" s="13">
        <f t="shared" si="82"/>
        <v>69.33333333333333</v>
      </c>
      <c r="N191" s="13">
        <f t="shared" si="83"/>
        <v>69.33333333333333</v>
      </c>
    </row>
    <row r="192" spans="1:14" ht="24" customHeight="1">
      <c r="A192" s="41" t="s">
        <v>18</v>
      </c>
      <c r="B192" s="42"/>
      <c r="C192" s="38" t="s">
        <v>15</v>
      </c>
      <c r="D192" s="39"/>
      <c r="E192" s="51">
        <f t="shared" si="85"/>
        <v>1501</v>
      </c>
      <c r="F192" s="21">
        <f t="shared" si="84"/>
        <v>1501</v>
      </c>
      <c r="G192" s="51">
        <v>1501</v>
      </c>
      <c r="H192" s="51"/>
      <c r="I192" s="12"/>
      <c r="J192" s="13"/>
      <c r="K192" s="13">
        <v>1948</v>
      </c>
      <c r="L192" s="14">
        <f>K192*100/F192</f>
        <v>129.78014656895402</v>
      </c>
      <c r="M192" s="13">
        <f>K192*100/E192</f>
        <v>129.78014656895402</v>
      </c>
      <c r="N192" s="13"/>
    </row>
    <row r="193" spans="1:14" ht="18" customHeight="1">
      <c r="A193" s="43" t="s">
        <v>12</v>
      </c>
      <c r="B193" s="43"/>
      <c r="C193" s="38" t="s">
        <v>7</v>
      </c>
      <c r="D193" s="39"/>
      <c r="E193" s="51">
        <f t="shared" si="85"/>
        <v>0</v>
      </c>
      <c r="F193" s="21">
        <f t="shared" si="84"/>
        <v>0</v>
      </c>
      <c r="G193" s="51"/>
      <c r="H193" s="51"/>
      <c r="I193" s="12"/>
      <c r="J193" s="13"/>
      <c r="K193" s="13">
        <v>1</v>
      </c>
      <c r="L193" s="14"/>
      <c r="M193" s="13"/>
      <c r="N193" s="13"/>
    </row>
    <row r="194" spans="1:14" ht="15" customHeight="1">
      <c r="A194" s="63" t="s">
        <v>39</v>
      </c>
      <c r="B194" s="45"/>
      <c r="C194" s="46" t="s">
        <v>40</v>
      </c>
      <c r="D194" s="39"/>
      <c r="E194" s="51">
        <f t="shared" si="85"/>
        <v>0</v>
      </c>
      <c r="F194" s="21">
        <f t="shared" si="84"/>
        <v>0</v>
      </c>
      <c r="G194" s="75"/>
      <c r="H194" s="75"/>
      <c r="I194" s="12"/>
      <c r="J194" s="13"/>
      <c r="K194" s="13">
        <v>0</v>
      </c>
      <c r="L194" s="16"/>
      <c r="M194" s="15"/>
      <c r="N194" s="13"/>
    </row>
    <row r="195" spans="1:14" ht="12.75">
      <c r="A195" s="32" t="s">
        <v>1</v>
      </c>
      <c r="B195" s="47"/>
      <c r="C195" s="48" t="s">
        <v>0</v>
      </c>
      <c r="D195" s="34">
        <f aca="true" t="shared" si="86" ref="D195:K195">D196</f>
        <v>25429.7</v>
      </c>
      <c r="E195" s="34">
        <f t="shared" si="86"/>
        <v>26893.6</v>
      </c>
      <c r="F195" s="34">
        <f t="shared" si="86"/>
        <v>14558.5</v>
      </c>
      <c r="G195" s="34">
        <f t="shared" si="86"/>
        <v>7739.400000000001</v>
      </c>
      <c r="H195" s="34">
        <f t="shared" si="86"/>
        <v>6819.1</v>
      </c>
      <c r="I195" s="34">
        <f t="shared" si="86"/>
        <v>6173.3</v>
      </c>
      <c r="J195" s="34">
        <f t="shared" si="86"/>
        <v>6161.8</v>
      </c>
      <c r="K195" s="34">
        <f t="shared" si="86"/>
        <v>10395.4</v>
      </c>
      <c r="L195" s="16">
        <f>K195*100/F195</f>
        <v>71.40433423773054</v>
      </c>
      <c r="M195" s="15">
        <f>K195*100/E195</f>
        <v>38.65380611000387</v>
      </c>
      <c r="N195" s="15">
        <f>K195*100/D195</f>
        <v>40.878972225389994</v>
      </c>
    </row>
    <row r="196" spans="1:14" ht="22.5">
      <c r="A196" s="76" t="s">
        <v>67</v>
      </c>
      <c r="B196" s="35"/>
      <c r="C196" s="50" t="s">
        <v>20</v>
      </c>
      <c r="D196" s="51">
        <v>25429.7</v>
      </c>
      <c r="E196" s="51">
        <f t="shared" si="85"/>
        <v>26893.6</v>
      </c>
      <c r="F196" s="21">
        <f t="shared" si="84"/>
        <v>14558.5</v>
      </c>
      <c r="G196" s="51">
        <f>7583.3+156.1</f>
        <v>7739.400000000001</v>
      </c>
      <c r="H196" s="51">
        <v>6819.1</v>
      </c>
      <c r="I196" s="12">
        <v>6173.3</v>
      </c>
      <c r="J196" s="13">
        <v>6161.8</v>
      </c>
      <c r="K196" s="13">
        <v>10395.4</v>
      </c>
      <c r="L196" s="14">
        <f>K196*100/F196</f>
        <v>71.40433423773054</v>
      </c>
      <c r="M196" s="13">
        <f>K196*100/E196</f>
        <v>38.65380611000387</v>
      </c>
      <c r="N196" s="13">
        <f>K196*100/D196</f>
        <v>40.878972225389994</v>
      </c>
    </row>
    <row r="197" spans="1:14" ht="12.75">
      <c r="A197" s="43"/>
      <c r="B197" s="58"/>
      <c r="C197" s="59" t="s">
        <v>4</v>
      </c>
      <c r="D197" s="15">
        <f aca="true" t="shared" si="87" ref="D197:K197">D195+D184</f>
        <v>50401.8</v>
      </c>
      <c r="E197" s="15">
        <f t="shared" si="87"/>
        <v>53366.7</v>
      </c>
      <c r="F197" s="15">
        <f t="shared" si="87"/>
        <v>27789.1</v>
      </c>
      <c r="G197" s="15">
        <f t="shared" si="87"/>
        <v>15170.7</v>
      </c>
      <c r="H197" s="15">
        <f t="shared" si="87"/>
        <v>12618.400000000001</v>
      </c>
      <c r="I197" s="15">
        <f t="shared" si="87"/>
        <v>11892.6</v>
      </c>
      <c r="J197" s="15">
        <f t="shared" si="87"/>
        <v>13685</v>
      </c>
      <c r="K197" s="15">
        <f t="shared" si="87"/>
        <v>22899.6</v>
      </c>
      <c r="L197" s="16">
        <f>K197*100/F197</f>
        <v>82.40497173352142</v>
      </c>
      <c r="M197" s="15">
        <f>K197*100/E197</f>
        <v>42.90990449100282</v>
      </c>
      <c r="N197" s="15">
        <f>K197*100/D197</f>
        <v>45.434091639584295</v>
      </c>
    </row>
    <row r="198" spans="1:14" ht="12.75">
      <c r="A198" s="85"/>
      <c r="B198" s="86"/>
      <c r="C198" s="86"/>
      <c r="D198" s="86"/>
      <c r="E198" s="86"/>
      <c r="F198" s="86"/>
      <c r="G198" s="86"/>
      <c r="H198" s="86"/>
      <c r="I198" s="86"/>
      <c r="J198" s="86"/>
      <c r="K198" s="86"/>
      <c r="L198" s="16"/>
      <c r="M198" s="15"/>
      <c r="N198" s="13"/>
    </row>
    <row r="199" spans="1:14" ht="12.75">
      <c r="A199" s="88" t="s">
        <v>35</v>
      </c>
      <c r="B199" s="89"/>
      <c r="C199" s="89"/>
      <c r="D199" s="89"/>
      <c r="E199" s="89"/>
      <c r="F199" s="89"/>
      <c r="G199" s="89"/>
      <c r="H199" s="89"/>
      <c r="I199" s="89"/>
      <c r="J199" s="89"/>
      <c r="K199" s="89"/>
      <c r="L199" s="89"/>
      <c r="M199" s="89"/>
      <c r="N199" s="90"/>
    </row>
    <row r="200" spans="1:14" ht="12.75">
      <c r="A200" s="47" t="s">
        <v>3</v>
      </c>
      <c r="B200" s="47"/>
      <c r="C200" s="60" t="s">
        <v>68</v>
      </c>
      <c r="D200" s="16">
        <f aca="true" t="shared" si="88" ref="D200:J200">D201+D204+D206+D207+D205+D208+D209+D203+D202</f>
        <v>5052.299999999999</v>
      </c>
      <c r="E200" s="16">
        <f t="shared" si="88"/>
        <v>5087.700000000001</v>
      </c>
      <c r="F200" s="16">
        <f t="shared" si="88"/>
        <v>2513.2</v>
      </c>
      <c r="G200" s="16">
        <f t="shared" si="88"/>
        <v>1233.3</v>
      </c>
      <c r="H200" s="16">
        <f t="shared" si="88"/>
        <v>1279.9</v>
      </c>
      <c r="I200" s="16">
        <f t="shared" si="88"/>
        <v>1197.1</v>
      </c>
      <c r="J200" s="16">
        <f t="shared" si="88"/>
        <v>1377.4</v>
      </c>
      <c r="K200" s="16">
        <f>K201+K204+K206+K207+K205+K208+K209+K203+K202+0.1</f>
        <v>2269.7</v>
      </c>
      <c r="L200" s="16">
        <f>K200*100/F200</f>
        <v>90.31115709056184</v>
      </c>
      <c r="M200" s="15">
        <f aca="true" t="shared" si="89" ref="M200:M206">K200*100/E200</f>
        <v>44.61151404367395</v>
      </c>
      <c r="N200" s="15">
        <f aca="true" t="shared" si="90" ref="N200:N208">K200*100/D200</f>
        <v>44.924093977000574</v>
      </c>
    </row>
    <row r="201" spans="1:14" ht="12.75">
      <c r="A201" s="43" t="s">
        <v>23</v>
      </c>
      <c r="B201" s="43"/>
      <c r="C201" s="38" t="s">
        <v>22</v>
      </c>
      <c r="D201" s="39">
        <v>1250</v>
      </c>
      <c r="E201" s="51">
        <f>G201+H201+I201+J201</f>
        <v>1250</v>
      </c>
      <c r="F201" s="21">
        <f aca="true" t="shared" si="91" ref="F201:F211">G201+H201</f>
        <v>590</v>
      </c>
      <c r="G201" s="51">
        <v>250</v>
      </c>
      <c r="H201" s="51">
        <v>340</v>
      </c>
      <c r="I201" s="12">
        <v>270</v>
      </c>
      <c r="J201" s="12">
        <v>390</v>
      </c>
      <c r="K201" s="13">
        <v>444.9</v>
      </c>
      <c r="L201" s="14">
        <f>K201*100/F201</f>
        <v>75.40677966101696</v>
      </c>
      <c r="M201" s="13">
        <f t="shared" si="89"/>
        <v>35.592</v>
      </c>
      <c r="N201" s="13">
        <f t="shared" si="90"/>
        <v>35.592</v>
      </c>
    </row>
    <row r="202" spans="1:14" ht="12.75">
      <c r="A202" s="35" t="s">
        <v>70</v>
      </c>
      <c r="B202" s="35"/>
      <c r="C202" s="38" t="s">
        <v>71</v>
      </c>
      <c r="D202" s="39">
        <v>3417.2</v>
      </c>
      <c r="E202" s="51">
        <f>G202+H202+I202+J202</f>
        <v>3417.2000000000003</v>
      </c>
      <c r="F202" s="21">
        <f t="shared" si="91"/>
        <v>1708.5</v>
      </c>
      <c r="G202" s="51">
        <v>854.4</v>
      </c>
      <c r="H202" s="51">
        <v>854.1</v>
      </c>
      <c r="I202" s="12">
        <v>854.3</v>
      </c>
      <c r="J202" s="12">
        <v>854.4</v>
      </c>
      <c r="K202" s="13">
        <v>1504.2</v>
      </c>
      <c r="L202" s="14">
        <f>K202*100/F202</f>
        <v>88.04214223002634</v>
      </c>
      <c r="M202" s="13">
        <f t="shared" si="89"/>
        <v>44.018494674002106</v>
      </c>
      <c r="N202" s="13">
        <f t="shared" si="90"/>
        <v>44.018494674002106</v>
      </c>
    </row>
    <row r="203" spans="1:14" ht="12.75">
      <c r="A203" s="35" t="s">
        <v>8</v>
      </c>
      <c r="B203" s="77" t="s">
        <v>55</v>
      </c>
      <c r="C203" s="38" t="s">
        <v>5</v>
      </c>
      <c r="D203" s="39">
        <v>7</v>
      </c>
      <c r="E203" s="51">
        <f aca="true" t="shared" si="92" ref="E203:E211">G203+H203+I203+J203</f>
        <v>42.4</v>
      </c>
      <c r="F203" s="21">
        <f t="shared" si="91"/>
        <v>42.4</v>
      </c>
      <c r="G203" s="51">
        <v>35.4</v>
      </c>
      <c r="H203" s="51">
        <v>7</v>
      </c>
      <c r="I203" s="12"/>
      <c r="J203" s="12"/>
      <c r="K203" s="13">
        <v>42.7</v>
      </c>
      <c r="L203" s="14"/>
      <c r="M203" s="13">
        <f t="shared" si="89"/>
        <v>100.70754716981132</v>
      </c>
      <c r="N203" s="13">
        <f t="shared" si="90"/>
        <v>610</v>
      </c>
    </row>
    <row r="204" spans="1:14" ht="12.75">
      <c r="A204" s="35" t="s">
        <v>9</v>
      </c>
      <c r="B204" s="35"/>
      <c r="C204" s="38" t="s">
        <v>6</v>
      </c>
      <c r="D204" s="39">
        <v>225</v>
      </c>
      <c r="E204" s="51">
        <f t="shared" si="92"/>
        <v>225</v>
      </c>
      <c r="F204" s="21">
        <f t="shared" si="91"/>
        <v>92</v>
      </c>
      <c r="G204" s="51">
        <v>49</v>
      </c>
      <c r="H204" s="51">
        <v>43</v>
      </c>
      <c r="I204" s="12">
        <v>38</v>
      </c>
      <c r="J204" s="12">
        <v>95</v>
      </c>
      <c r="K204" s="13">
        <v>94.2</v>
      </c>
      <c r="L204" s="14">
        <f>K204*100/F204</f>
        <v>102.3913043478261</v>
      </c>
      <c r="M204" s="13">
        <f t="shared" si="89"/>
        <v>41.86666666666667</v>
      </c>
      <c r="N204" s="13">
        <f t="shared" si="90"/>
        <v>41.86666666666667</v>
      </c>
    </row>
    <row r="205" spans="1:14" ht="12.75">
      <c r="A205" s="35" t="s">
        <v>10</v>
      </c>
      <c r="B205" s="35"/>
      <c r="C205" s="38" t="s">
        <v>21</v>
      </c>
      <c r="D205" s="39">
        <v>18</v>
      </c>
      <c r="E205" s="51">
        <f t="shared" si="92"/>
        <v>18</v>
      </c>
      <c r="F205" s="21">
        <f t="shared" si="91"/>
        <v>9</v>
      </c>
      <c r="G205" s="51">
        <v>3</v>
      </c>
      <c r="H205" s="51">
        <v>6</v>
      </c>
      <c r="I205" s="12">
        <v>5</v>
      </c>
      <c r="J205" s="12">
        <v>4</v>
      </c>
      <c r="K205" s="13">
        <v>6.3</v>
      </c>
      <c r="L205" s="14">
        <f>K205*100/F205</f>
        <v>70</v>
      </c>
      <c r="M205" s="13">
        <f t="shared" si="89"/>
        <v>35</v>
      </c>
      <c r="N205" s="13">
        <f t="shared" si="90"/>
        <v>35</v>
      </c>
    </row>
    <row r="206" spans="1:14" ht="22.5">
      <c r="A206" s="40" t="s">
        <v>11</v>
      </c>
      <c r="B206" s="40"/>
      <c r="C206" s="38" t="s">
        <v>17</v>
      </c>
      <c r="D206" s="39">
        <v>135.1</v>
      </c>
      <c r="E206" s="51">
        <f t="shared" si="92"/>
        <v>135.1</v>
      </c>
      <c r="F206" s="21">
        <f t="shared" si="91"/>
        <v>71.3</v>
      </c>
      <c r="G206" s="51">
        <v>41.5</v>
      </c>
      <c r="H206" s="51">
        <v>29.8</v>
      </c>
      <c r="I206" s="12">
        <v>29.8</v>
      </c>
      <c r="J206" s="12">
        <v>34</v>
      </c>
      <c r="K206" s="13">
        <v>58.3</v>
      </c>
      <c r="L206" s="14">
        <f>K206*100/F206</f>
        <v>81.7671809256662</v>
      </c>
      <c r="M206" s="13">
        <f t="shared" si="89"/>
        <v>43.153219837157664</v>
      </c>
      <c r="N206" s="13">
        <f t="shared" si="90"/>
        <v>43.153219837157664</v>
      </c>
    </row>
    <row r="207" spans="1:14" ht="18.75" customHeight="1">
      <c r="A207" s="41" t="s">
        <v>18</v>
      </c>
      <c r="B207" s="41"/>
      <c r="C207" s="38" t="s">
        <v>15</v>
      </c>
      <c r="D207" s="39"/>
      <c r="E207" s="51">
        <f t="shared" si="92"/>
        <v>0</v>
      </c>
      <c r="F207" s="21">
        <f t="shared" si="91"/>
        <v>0</v>
      </c>
      <c r="G207" s="51"/>
      <c r="H207" s="51"/>
      <c r="I207" s="12"/>
      <c r="J207" s="12"/>
      <c r="K207" s="13">
        <v>119</v>
      </c>
      <c r="L207" s="14"/>
      <c r="M207" s="13"/>
      <c r="N207" s="13"/>
    </row>
    <row r="208" spans="1:14" ht="12" customHeight="1" hidden="1">
      <c r="A208" s="41" t="s">
        <v>12</v>
      </c>
      <c r="B208" s="61"/>
      <c r="C208" s="38" t="s">
        <v>7</v>
      </c>
      <c r="D208" s="39"/>
      <c r="E208" s="51">
        <f t="shared" si="92"/>
        <v>0</v>
      </c>
      <c r="F208" s="21">
        <f t="shared" si="91"/>
        <v>0</v>
      </c>
      <c r="G208" s="51"/>
      <c r="H208" s="51"/>
      <c r="I208" s="12"/>
      <c r="J208" s="12"/>
      <c r="K208" s="13"/>
      <c r="L208" s="14"/>
      <c r="M208" s="13"/>
      <c r="N208" s="13" t="e">
        <f t="shared" si="90"/>
        <v>#DIV/0!</v>
      </c>
    </row>
    <row r="209" spans="1:14" ht="13.5" customHeight="1">
      <c r="A209" s="63" t="s">
        <v>39</v>
      </c>
      <c r="B209" s="45"/>
      <c r="C209" s="46" t="s">
        <v>40</v>
      </c>
      <c r="D209" s="39"/>
      <c r="E209" s="51">
        <f t="shared" si="92"/>
        <v>0</v>
      </c>
      <c r="F209" s="21">
        <f t="shared" si="91"/>
        <v>0</v>
      </c>
      <c r="G209" s="51"/>
      <c r="H209" s="51"/>
      <c r="I209" s="12"/>
      <c r="J209" s="12"/>
      <c r="K209" s="13">
        <v>0</v>
      </c>
      <c r="L209" s="14"/>
      <c r="M209" s="13"/>
      <c r="N209" s="13"/>
    </row>
    <row r="210" spans="1:14" ht="12.75">
      <c r="A210" s="47" t="s">
        <v>1</v>
      </c>
      <c r="B210" s="47"/>
      <c r="C210" s="48" t="s">
        <v>0</v>
      </c>
      <c r="D210" s="17">
        <f aca="true" t="shared" si="93" ref="D210:K210">D211</f>
        <v>25551.8</v>
      </c>
      <c r="E210" s="17">
        <f t="shared" si="93"/>
        <v>27038.1</v>
      </c>
      <c r="F210" s="17">
        <f t="shared" si="93"/>
        <v>14674.3</v>
      </c>
      <c r="G210" s="17">
        <f t="shared" si="93"/>
        <v>6375.4</v>
      </c>
      <c r="H210" s="17">
        <f t="shared" si="93"/>
        <v>8298.9</v>
      </c>
      <c r="I210" s="17">
        <f t="shared" si="93"/>
        <v>6169.4</v>
      </c>
      <c r="J210" s="17">
        <f t="shared" si="93"/>
        <v>6194.4</v>
      </c>
      <c r="K210" s="17">
        <f t="shared" si="93"/>
        <v>9832.5</v>
      </c>
      <c r="L210" s="16">
        <f>K210*100/F210</f>
        <v>67.00489972264435</v>
      </c>
      <c r="M210" s="15">
        <f>K210*100/E210</f>
        <v>36.36535111564792</v>
      </c>
      <c r="N210" s="15">
        <f>K210*100/D210</f>
        <v>38.48065498321058</v>
      </c>
    </row>
    <row r="211" spans="1:14" ht="22.5">
      <c r="A211" s="49" t="s">
        <v>67</v>
      </c>
      <c r="B211" s="35"/>
      <c r="C211" s="50" t="s">
        <v>20</v>
      </c>
      <c r="D211" s="51">
        <v>25551.8</v>
      </c>
      <c r="E211" s="51">
        <f t="shared" si="92"/>
        <v>27038.1</v>
      </c>
      <c r="F211" s="21">
        <f t="shared" si="91"/>
        <v>14674.3</v>
      </c>
      <c r="G211" s="51">
        <v>6375.4</v>
      </c>
      <c r="H211" s="51">
        <v>8298.9</v>
      </c>
      <c r="I211" s="12">
        <v>6169.4</v>
      </c>
      <c r="J211" s="12">
        <v>6194.4</v>
      </c>
      <c r="K211" s="13">
        <v>9832.5</v>
      </c>
      <c r="L211" s="14">
        <f>K211*100/F211</f>
        <v>67.00489972264435</v>
      </c>
      <c r="M211" s="13">
        <f>K211*100/E211</f>
        <v>36.36535111564792</v>
      </c>
      <c r="N211" s="13">
        <f>K211*100/D211</f>
        <v>38.48065498321058</v>
      </c>
    </row>
    <row r="212" spans="1:14" ht="12.75">
      <c r="A212" s="43"/>
      <c r="B212" s="58"/>
      <c r="C212" s="59" t="s">
        <v>4</v>
      </c>
      <c r="D212" s="15">
        <f aca="true" t="shared" si="94" ref="D212:K212">D210+D200</f>
        <v>30604.1</v>
      </c>
      <c r="E212" s="15">
        <f t="shared" si="94"/>
        <v>32125.8</v>
      </c>
      <c r="F212" s="15">
        <f t="shared" si="94"/>
        <v>17187.5</v>
      </c>
      <c r="G212" s="34">
        <f t="shared" si="94"/>
        <v>7608.7</v>
      </c>
      <c r="H212" s="34">
        <f t="shared" si="94"/>
        <v>9578.8</v>
      </c>
      <c r="I212" s="34">
        <f t="shared" si="94"/>
        <v>7366.5</v>
      </c>
      <c r="J212" s="34">
        <f t="shared" si="94"/>
        <v>7571.799999999999</v>
      </c>
      <c r="K212" s="15">
        <f t="shared" si="94"/>
        <v>12102.2</v>
      </c>
      <c r="L212" s="16">
        <f>K212*100/F212</f>
        <v>70.4128</v>
      </c>
      <c r="M212" s="15">
        <f>K212*100/E212</f>
        <v>37.67127978135953</v>
      </c>
      <c r="N212" s="15">
        <f>K212*100/D212</f>
        <v>39.544374773314686</v>
      </c>
    </row>
    <row r="213" spans="1:14" ht="12.75">
      <c r="A213" s="85"/>
      <c r="B213" s="86"/>
      <c r="C213" s="86"/>
      <c r="D213" s="86"/>
      <c r="E213" s="86"/>
      <c r="F213" s="86"/>
      <c r="G213" s="86"/>
      <c r="H213" s="86"/>
      <c r="I213" s="86"/>
      <c r="J213" s="86"/>
      <c r="K213" s="86"/>
      <c r="L213" s="16"/>
      <c r="M213" s="15"/>
      <c r="N213" s="13"/>
    </row>
    <row r="214" spans="1:14" ht="12.75">
      <c r="A214" s="88" t="s">
        <v>36</v>
      </c>
      <c r="B214" s="89"/>
      <c r="C214" s="89"/>
      <c r="D214" s="89"/>
      <c r="E214" s="89"/>
      <c r="F214" s="89"/>
      <c r="G214" s="89"/>
      <c r="H214" s="89"/>
      <c r="I214" s="89"/>
      <c r="J214" s="89"/>
      <c r="K214" s="89"/>
      <c r="L214" s="89"/>
      <c r="M214" s="89"/>
      <c r="N214" s="90"/>
    </row>
    <row r="215" spans="1:14" ht="12.75">
      <c r="A215" s="47" t="s">
        <v>3</v>
      </c>
      <c r="B215" s="78"/>
      <c r="C215" s="60" t="s">
        <v>68</v>
      </c>
      <c r="D215" s="16">
        <f aca="true" t="shared" si="95" ref="D215:J215">D216+D218+D219+D220+D222+D223+D225+D227+D224+D221+D228+D226+D217</f>
        <v>978570.1</v>
      </c>
      <c r="E215" s="16">
        <f t="shared" si="95"/>
        <v>1012200.0000000002</v>
      </c>
      <c r="F215" s="16">
        <f t="shared" si="95"/>
        <v>533612.4</v>
      </c>
      <c r="G215" s="16">
        <f t="shared" si="95"/>
        <v>258995.70000000004</v>
      </c>
      <c r="H215" s="16">
        <f t="shared" si="95"/>
        <v>274616.7</v>
      </c>
      <c r="I215" s="16">
        <f t="shared" si="95"/>
        <v>225462</v>
      </c>
      <c r="J215" s="16">
        <f t="shared" si="95"/>
        <v>253125.59999999998</v>
      </c>
      <c r="K215" s="16">
        <f>K216+K218+K219+K220+K222+K223+K225+K227+K224+K221+K228+K226+K217</f>
        <v>450866.70000000007</v>
      </c>
      <c r="L215" s="16">
        <f aca="true" t="shared" si="96" ref="L215:L220">K215*100/F215</f>
        <v>84.4932951333215</v>
      </c>
      <c r="M215" s="15">
        <f aca="true" t="shared" si="97" ref="M215:M220">K215*100/E215</f>
        <v>44.54324244220509</v>
      </c>
      <c r="N215" s="15">
        <f aca="true" t="shared" si="98" ref="N215:N227">K215*100/D215</f>
        <v>46.074031896130904</v>
      </c>
    </row>
    <row r="216" spans="1:14" ht="12.75">
      <c r="A216" s="43" t="s">
        <v>23</v>
      </c>
      <c r="B216" s="79" t="s">
        <v>54</v>
      </c>
      <c r="C216" s="38" t="s">
        <v>22</v>
      </c>
      <c r="D216" s="13">
        <f>D9+D31+D47+D65+D82+D100+D116+D133+D151+D168+D185+D201</f>
        <v>706575.5</v>
      </c>
      <c r="E216" s="51">
        <f>G216+H216+I216+J216</f>
        <v>712738.0000000001</v>
      </c>
      <c r="F216" s="21">
        <f aca="true" t="shared" si="99" ref="F216:F232">G216+H216</f>
        <v>377644.80000000005</v>
      </c>
      <c r="G216" s="13">
        <f>G9+G31+G47+G65+G82+G100+G116+G133+G151+G168+G185+G201</f>
        <v>187473.90000000002</v>
      </c>
      <c r="H216" s="13">
        <f>H9+H31+H47+H65+H82+H100+H116+H133+H151+H168+H185+H201</f>
        <v>190170.9</v>
      </c>
      <c r="I216" s="13">
        <f>I9+I31+I47+I65+I82+I100+I116+I133+I151+I168+I185+I201</f>
        <v>160426.30000000002</v>
      </c>
      <c r="J216" s="13">
        <f>J9+J31+J47+J65+J82+J100+J116+J133+J151+J168+J185+J201</f>
        <v>174666.9</v>
      </c>
      <c r="K216" s="13">
        <f>K9+K31+K47+K65+K82+K100+K116+K133+K151+K168+K185+K201-0.1</f>
        <v>316230.80000000005</v>
      </c>
      <c r="L216" s="14">
        <f t="shared" si="96"/>
        <v>83.7376285864389</v>
      </c>
      <c r="M216" s="13">
        <f t="shared" si="97"/>
        <v>44.36844955649902</v>
      </c>
      <c r="N216" s="13">
        <f t="shared" si="98"/>
        <v>44.755415380238915</v>
      </c>
    </row>
    <row r="217" spans="1:14" ht="12.75">
      <c r="A217" s="35" t="s">
        <v>70</v>
      </c>
      <c r="B217" s="35"/>
      <c r="C217" s="38" t="s">
        <v>71</v>
      </c>
      <c r="D217" s="13">
        <f>D10+D32+D48+D66+D83+D101+D118+D134+D152+D169+D186+D202</f>
        <v>46940.7</v>
      </c>
      <c r="E217" s="51">
        <f aca="true" t="shared" si="100" ref="E217:E232">G217+H217+I217+J217</f>
        <v>47160.40000000001</v>
      </c>
      <c r="F217" s="21">
        <f t="shared" si="99"/>
        <v>23527.600000000002</v>
      </c>
      <c r="G217" s="13">
        <f>G10+G32+G48+G66+G83+G101+G118+G134+G152+G169+G186+G202</f>
        <v>11338.2</v>
      </c>
      <c r="H217" s="13">
        <f>H10+H32+H48+H66+H83+H101+H118+H134+H152+H169+H186+H202</f>
        <v>12189.400000000001</v>
      </c>
      <c r="I217" s="13">
        <f>I10+I32+I48+I66+I83+I101+I118+I134+I152+I169+I186+I202</f>
        <v>12023.5</v>
      </c>
      <c r="J217" s="13">
        <f>J10+J32+J48+J66+J83+J101+J118+J134+J152+J169+J186+J202</f>
        <v>11609.300000000001</v>
      </c>
      <c r="K217" s="13">
        <f>K10+K32+K48+K66+K83+K101+K118+K134+K152+K169+K186+K202+0.1</f>
        <v>20662.399999999998</v>
      </c>
      <c r="L217" s="14">
        <f t="shared" si="96"/>
        <v>87.8219622910964</v>
      </c>
      <c r="M217" s="13">
        <f t="shared" si="97"/>
        <v>43.81302957566092</v>
      </c>
      <c r="N217" s="13">
        <f t="shared" si="98"/>
        <v>44.01809091044658</v>
      </c>
    </row>
    <row r="218" spans="1:14" ht="12.75">
      <c r="A218" s="35" t="s">
        <v>8</v>
      </c>
      <c r="B218" s="77" t="s">
        <v>55</v>
      </c>
      <c r="C218" s="38" t="s">
        <v>5</v>
      </c>
      <c r="D218" s="13">
        <f>D11+D49+D67+D203+D153+D117+D187+D84+D102+D170+D119</f>
        <v>45460</v>
      </c>
      <c r="E218" s="51">
        <f>G218+H218+I218+J218</f>
        <v>46654.399999999994</v>
      </c>
      <c r="F218" s="21">
        <f t="shared" si="99"/>
        <v>25307.4</v>
      </c>
      <c r="G218" s="13">
        <f>G11+G49+G67+G203+G153+G117+G187+G84+G102+G170</f>
        <v>8365.6</v>
      </c>
      <c r="H218" s="13">
        <f>H11+H49+H67+H203+H153+H117+H187+H84+H102+H170</f>
        <v>16941.8</v>
      </c>
      <c r="I218" s="13">
        <f>I11+I49+I67+I203+I153+I117+I187+I84+I102+I170</f>
        <v>10566.8</v>
      </c>
      <c r="J218" s="13">
        <f>J11+J49+J67+J203+J153+J117+J187+J84+J102+J170</f>
        <v>10780.2</v>
      </c>
      <c r="K218" s="13">
        <f>K11+K49+K67+K203+K153+K117+K187+K84+K102+K170+K119+K135</f>
        <v>25153.400000000005</v>
      </c>
      <c r="L218" s="14">
        <f t="shared" si="96"/>
        <v>99.39148233323061</v>
      </c>
      <c r="M218" s="13">
        <f t="shared" si="97"/>
        <v>53.91431461984295</v>
      </c>
      <c r="N218" s="13">
        <f t="shared" si="98"/>
        <v>55.33084029916411</v>
      </c>
    </row>
    <row r="219" spans="1:14" ht="12.75">
      <c r="A219" s="35" t="s">
        <v>9</v>
      </c>
      <c r="B219" s="77" t="s">
        <v>56</v>
      </c>
      <c r="C219" s="38" t="s">
        <v>6</v>
      </c>
      <c r="D219" s="13">
        <f>D12+D33+D50+D68+D85+D103+D120+D136+D154+D171+D188+D204</f>
        <v>21147.7</v>
      </c>
      <c r="E219" s="51">
        <f t="shared" si="100"/>
        <v>22217.700000000004</v>
      </c>
      <c r="F219" s="21">
        <f t="shared" si="99"/>
        <v>7739</v>
      </c>
      <c r="G219" s="13">
        <f>G12+G33+G50+G68+G85+G103+G120+G136+G154+G171+G188+G204</f>
        <v>4219</v>
      </c>
      <c r="H219" s="13">
        <f>H12+H33+H50+H68+H85+H103+H120+H136+H154+H171+H188+H204</f>
        <v>3520</v>
      </c>
      <c r="I219" s="13">
        <f>I12+I33+I50+I68+I85+I103+I120+I136+I154+I171+I188+I204</f>
        <v>3551.4000000000005</v>
      </c>
      <c r="J219" s="13">
        <f>J12+J33+J50+J68+J85+J103+J120+J136+J154+J171+J188+J204</f>
        <v>10927.300000000001</v>
      </c>
      <c r="K219" s="13">
        <f>K12+K33+K50+K68+K85+K103+K120+K136+K154+K171+K188+K204</f>
        <v>9137.8</v>
      </c>
      <c r="L219" s="14">
        <f t="shared" si="96"/>
        <v>118.07468665202221</v>
      </c>
      <c r="M219" s="13">
        <f t="shared" si="97"/>
        <v>41.12846964357245</v>
      </c>
      <c r="N219" s="13">
        <f t="shared" si="98"/>
        <v>43.20942702988977</v>
      </c>
    </row>
    <row r="220" spans="1:14" ht="12.75">
      <c r="A220" s="35" t="s">
        <v>10</v>
      </c>
      <c r="B220" s="77" t="s">
        <v>49</v>
      </c>
      <c r="C220" s="38" t="s">
        <v>21</v>
      </c>
      <c r="D220" s="13">
        <f>D13+D34+D51+D69+D86+D104+D121+D137+D155+D172+D189+D205</f>
        <v>3579.3999999999996</v>
      </c>
      <c r="E220" s="51">
        <f t="shared" si="100"/>
        <v>3579.4</v>
      </c>
      <c r="F220" s="21">
        <f t="shared" si="99"/>
        <v>1971.5</v>
      </c>
      <c r="G220" s="13">
        <f>G13+G34+G69+G86+G104+G121+G137+G155+G172+G189+G205</f>
        <v>1053.9</v>
      </c>
      <c r="H220" s="13">
        <f>H13+H34+H69+H86+H104+H121+H137+H155+H172+H189+H205</f>
        <v>917.6</v>
      </c>
      <c r="I220" s="13">
        <f>I13+I34+I69+I86+I104+I121+I137+I155+I172+I189+I205</f>
        <v>748.4</v>
      </c>
      <c r="J220" s="13">
        <f>J13+J34+J69+J86+J104+J121+J137+J155+J172+J189+J205</f>
        <v>859.5</v>
      </c>
      <c r="K220" s="13">
        <f>K13+K34+K51+K69+K86+K104+K121+K137+K155+K172+K189+K205-0.1</f>
        <v>1695.3999999999999</v>
      </c>
      <c r="L220" s="14">
        <f t="shared" si="96"/>
        <v>85.99543494800913</v>
      </c>
      <c r="M220" s="13">
        <f t="shared" si="97"/>
        <v>47.36548024808627</v>
      </c>
      <c r="N220" s="13">
        <f t="shared" si="98"/>
        <v>47.36548024808628</v>
      </c>
    </row>
    <row r="221" spans="1:14" ht="22.5" hidden="1">
      <c r="A221" s="35" t="s">
        <v>37</v>
      </c>
      <c r="B221" s="77" t="s">
        <v>57</v>
      </c>
      <c r="C221" s="38" t="s">
        <v>38</v>
      </c>
      <c r="D221" s="18">
        <f>D14</f>
        <v>0</v>
      </c>
      <c r="E221" s="51">
        <f t="shared" si="100"/>
        <v>0</v>
      </c>
      <c r="F221" s="21">
        <f t="shared" si="99"/>
        <v>0</v>
      </c>
      <c r="G221" s="18">
        <f>G14</f>
        <v>0</v>
      </c>
      <c r="H221" s="18">
        <f>H14</f>
        <v>0</v>
      </c>
      <c r="I221" s="18">
        <f>I14</f>
        <v>0</v>
      </c>
      <c r="J221" s="18">
        <f>J14</f>
        <v>0</v>
      </c>
      <c r="K221" s="18">
        <f>K14</f>
        <v>0</v>
      </c>
      <c r="L221" s="14"/>
      <c r="M221" s="13"/>
      <c r="N221" s="13" t="e">
        <f t="shared" si="98"/>
        <v>#DIV/0!</v>
      </c>
    </row>
    <row r="222" spans="1:14" ht="22.5">
      <c r="A222" s="40" t="s">
        <v>11</v>
      </c>
      <c r="B222" s="80" t="s">
        <v>48</v>
      </c>
      <c r="C222" s="38" t="s">
        <v>17</v>
      </c>
      <c r="D222" s="13">
        <f>D15+D35+D52+D70+D87+D105+D122+D138+D156+D173+D190+D206</f>
        <v>116967.7</v>
      </c>
      <c r="E222" s="51">
        <f t="shared" si="100"/>
        <v>122739.4</v>
      </c>
      <c r="F222" s="21">
        <f t="shared" si="99"/>
        <v>63904.59999999999</v>
      </c>
      <c r="G222" s="13">
        <f>G15+G35+G52+G70+G87+G105+G122+G138+G156+G173+G190+G206</f>
        <v>29962.599999999995</v>
      </c>
      <c r="H222" s="13">
        <f>H15+H35+H52+H70+H87+H105+H122+H138+H156+H173+H190+H206</f>
        <v>33942</v>
      </c>
      <c r="I222" s="13">
        <f>I15+I35+I52+I70+I87+I105+I122+I138+I156+I173+I190+I206</f>
        <v>28379.499999999996</v>
      </c>
      <c r="J222" s="13">
        <f>J15+J35+J52+J70+J87+J105+J122+J138+J156+J173+J190+J206</f>
        <v>30455.3</v>
      </c>
      <c r="K222" s="13">
        <f>K15+K35+K52+K70+K87+K105+K122+K138+K156+K173+K190+K206+0.1</f>
        <v>48125.7</v>
      </c>
      <c r="L222" s="14">
        <f aca="true" t="shared" si="101" ref="L222:L227">K222*100/F222</f>
        <v>75.30866322612145</v>
      </c>
      <c r="M222" s="13">
        <f aca="true" t="shared" si="102" ref="M222:M227">K222*100/E222</f>
        <v>39.209658838156294</v>
      </c>
      <c r="N222" s="13">
        <f t="shared" si="98"/>
        <v>41.14443560059743</v>
      </c>
    </row>
    <row r="223" spans="1:14" ht="12.75">
      <c r="A223" s="41" t="s">
        <v>14</v>
      </c>
      <c r="B223" s="81" t="s">
        <v>47</v>
      </c>
      <c r="C223" s="38" t="s">
        <v>13</v>
      </c>
      <c r="D223" s="13">
        <f>D16</f>
        <v>4251.8</v>
      </c>
      <c r="E223" s="51">
        <f t="shared" si="100"/>
        <v>5276.2</v>
      </c>
      <c r="F223" s="21">
        <f t="shared" si="99"/>
        <v>2986.3</v>
      </c>
      <c r="G223" s="13">
        <f>G16</f>
        <v>1766.5</v>
      </c>
      <c r="H223" s="13">
        <f>H16</f>
        <v>1219.8</v>
      </c>
      <c r="I223" s="13">
        <f>I16</f>
        <v>1141.2</v>
      </c>
      <c r="J223" s="13">
        <f>J16</f>
        <v>1148.7</v>
      </c>
      <c r="K223" s="13">
        <f>K16</f>
        <v>2525.6</v>
      </c>
      <c r="L223" s="14">
        <f t="shared" si="101"/>
        <v>84.57288283159762</v>
      </c>
      <c r="M223" s="13">
        <f t="shared" si="102"/>
        <v>47.86778363215951</v>
      </c>
      <c r="N223" s="13">
        <f t="shared" si="98"/>
        <v>59.40072439907804</v>
      </c>
    </row>
    <row r="224" spans="1:14" ht="22.5">
      <c r="A224" s="42" t="s">
        <v>42</v>
      </c>
      <c r="B224" s="82" t="s">
        <v>58</v>
      </c>
      <c r="C224" s="38" t="s">
        <v>43</v>
      </c>
      <c r="D224" s="19">
        <f>D17+D88+D53+D106+D139+D157+D174+D191+D123+D71+D36</f>
        <v>15872.999999999998</v>
      </c>
      <c r="E224" s="51">
        <f t="shared" si="100"/>
        <v>16983.300000000003</v>
      </c>
      <c r="F224" s="21">
        <f t="shared" si="99"/>
        <v>7930.200000000001</v>
      </c>
      <c r="G224" s="19">
        <f>G17+G88+G53+G106+G139+G157+G174+G191+G123+G71+G36</f>
        <v>4199.900000000001</v>
      </c>
      <c r="H224" s="19">
        <f>H17+H88+H53+H106+H139+H157+H174+H191+H123+H71+H36</f>
        <v>3730.2999999999997</v>
      </c>
      <c r="I224" s="19">
        <f>I17+I88+I53+I106+I139+I157+I174+I191+I123+I71+I36</f>
        <v>3843.1</v>
      </c>
      <c r="J224" s="19">
        <f>J17+J88+J53+J106+J139+J157+J174+J191+J123+J71+J36</f>
        <v>5210</v>
      </c>
      <c r="K224" s="19">
        <f>K17+K88+K53+K106+K139+K157+K174+K191+K123+K71+K36-0.1</f>
        <v>6647.5999999999985</v>
      </c>
      <c r="L224" s="14">
        <f t="shared" si="101"/>
        <v>83.82638521096565</v>
      </c>
      <c r="M224" s="13">
        <f t="shared" si="102"/>
        <v>39.14198065158124</v>
      </c>
      <c r="N224" s="13">
        <f t="shared" si="98"/>
        <v>41.87992187992188</v>
      </c>
    </row>
    <row r="225" spans="1:14" ht="22.5">
      <c r="A225" s="42" t="s">
        <v>18</v>
      </c>
      <c r="B225" s="82" t="s">
        <v>53</v>
      </c>
      <c r="C225" s="38" t="s">
        <v>15</v>
      </c>
      <c r="D225" s="13">
        <f>D18+D37+D54+D72+D89+D124+D158+D175+D192+D207+D140</f>
        <v>17538</v>
      </c>
      <c r="E225" s="51">
        <f>G225+H225+I225+J225</f>
        <v>23592.6</v>
      </c>
      <c r="F225" s="21">
        <f t="shared" si="99"/>
        <v>13389</v>
      </c>
      <c r="G225" s="13">
        <f>G18+G37+G54+G72+G89+G107+G124+G158+G175+G192+G207+G140</f>
        <v>6480.6</v>
      </c>
      <c r="H225" s="13">
        <f>H18+H37+H54+H72+H89+H107+H124+H158+H175+H192+H207+H140</f>
        <v>6908.400000000001</v>
      </c>
      <c r="I225" s="13">
        <f>I18+I37+I54+I72+I89+I107+I124+I158+I175+I192+I207+I140</f>
        <v>3586.7999999999997</v>
      </c>
      <c r="J225" s="13">
        <f>J18+J37+J54+J72+J89+J107+J124+J158+J175+J192+J207+J140</f>
        <v>6616.8</v>
      </c>
      <c r="K225" s="13">
        <f>K18+K37+K54+K72+K89+K124+K158+K175+K192+K207+K140+0.1</f>
        <v>11276.800000000001</v>
      </c>
      <c r="L225" s="14">
        <f t="shared" si="101"/>
        <v>84.22436328329225</v>
      </c>
      <c r="M225" s="13">
        <f t="shared" si="102"/>
        <v>47.79803836796284</v>
      </c>
      <c r="N225" s="13">
        <f t="shared" si="98"/>
        <v>64.29923594480556</v>
      </c>
    </row>
    <row r="226" spans="1:14" ht="12.75">
      <c r="A226" s="42" t="s">
        <v>60</v>
      </c>
      <c r="B226" s="42"/>
      <c r="C226" s="38" t="s">
        <v>61</v>
      </c>
      <c r="D226" s="13">
        <f>D19</f>
        <v>6</v>
      </c>
      <c r="E226" s="51">
        <f t="shared" si="100"/>
        <v>8</v>
      </c>
      <c r="F226" s="21">
        <f t="shared" si="99"/>
        <v>8</v>
      </c>
      <c r="G226" s="13">
        <f>G19</f>
        <v>5</v>
      </c>
      <c r="H226" s="13">
        <f>H19</f>
        <v>3</v>
      </c>
      <c r="I226" s="13">
        <f>I19</f>
        <v>0</v>
      </c>
      <c r="J226" s="13">
        <f>J19</f>
        <v>0</v>
      </c>
      <c r="K226" s="13">
        <f>K19</f>
        <v>8</v>
      </c>
      <c r="L226" s="14">
        <f t="shared" si="101"/>
        <v>100</v>
      </c>
      <c r="M226" s="13">
        <f t="shared" si="102"/>
        <v>100</v>
      </c>
      <c r="N226" s="13">
        <f t="shared" si="98"/>
        <v>133.33333333333334</v>
      </c>
    </row>
    <row r="227" spans="1:14" ht="12.75">
      <c r="A227" s="43" t="s">
        <v>12</v>
      </c>
      <c r="B227" s="79" t="s">
        <v>50</v>
      </c>
      <c r="C227" s="38" t="s">
        <v>7</v>
      </c>
      <c r="D227" s="13">
        <f>D20+D193+D208+D73+D141+D55+D159+D90+D176+D107</f>
        <v>230.29999999999998</v>
      </c>
      <c r="E227" s="51">
        <f t="shared" si="100"/>
        <v>11237.800000000001</v>
      </c>
      <c r="F227" s="21">
        <f t="shared" si="99"/>
        <v>9191.2</v>
      </c>
      <c r="G227" s="13">
        <f>G20+G193+G208+G73+G141+G55+G159+G90+G176+G107+G38+G125</f>
        <v>4117.7</v>
      </c>
      <c r="H227" s="13">
        <f>H20+H193+H208+H73+H141+H55+H159+H90+H176+H107+H38+H125</f>
        <v>5073.5</v>
      </c>
      <c r="I227" s="13">
        <f>I20+I193+I208+I73+I141+I55+I159+I90+I176+I107+I38+I125</f>
        <v>1195</v>
      </c>
      <c r="J227" s="13">
        <f>J20+J193+J208+J73+J141+J55+J159+J90+J176+J107+J38+J125</f>
        <v>851.6</v>
      </c>
      <c r="K227" s="13">
        <f>K20+K193+K208+K73+K141+K55+K159+K90+K176+K107+K38+K125+0.1</f>
        <v>9280.7</v>
      </c>
      <c r="L227" s="14">
        <f t="shared" si="101"/>
        <v>100.97375750718079</v>
      </c>
      <c r="M227" s="13">
        <f t="shared" si="102"/>
        <v>82.58466959725213</v>
      </c>
      <c r="N227" s="13">
        <f t="shared" si="98"/>
        <v>4029.830655666523</v>
      </c>
    </row>
    <row r="228" spans="1:14" ht="12.75">
      <c r="A228" s="44" t="s">
        <v>39</v>
      </c>
      <c r="B228" s="83" t="s">
        <v>57</v>
      </c>
      <c r="C228" s="46" t="s">
        <v>40</v>
      </c>
      <c r="D228" s="13">
        <f>D21+D39+D56+D74+D91+D108+D126+D142+D160+D177+D194+D209</f>
        <v>0</v>
      </c>
      <c r="E228" s="51">
        <f t="shared" si="100"/>
        <v>12.8</v>
      </c>
      <c r="F228" s="21">
        <f t="shared" si="99"/>
        <v>12.8</v>
      </c>
      <c r="G228" s="13">
        <f>G21+G39+G56+G74+G91+G108+G126+G142+G160+G177+G194+G209</f>
        <v>12.8</v>
      </c>
      <c r="H228" s="13">
        <f>H21+H39+H56+H74+H91+H108+H126+H142+H160+H177+H194+H209</f>
        <v>0</v>
      </c>
      <c r="I228" s="13">
        <f>I21+I39+I56+I74+I91+I108+I126+I142+I160+I177+I194+I209</f>
        <v>0</v>
      </c>
      <c r="J228" s="13">
        <f>J21+J39+J56+J74+J91+J108+J126+J142+J160+J177+J194+J209</f>
        <v>0</v>
      </c>
      <c r="K228" s="13">
        <f>K21+K39+K56+K74+K91+K108+K126+K142+K160+K177+K194+K209</f>
        <v>122.49999999999999</v>
      </c>
      <c r="L228" s="14"/>
      <c r="M228" s="13"/>
      <c r="N228" s="13"/>
    </row>
    <row r="229" spans="1:14" ht="12.75">
      <c r="A229" s="47" t="s">
        <v>1</v>
      </c>
      <c r="B229" s="78"/>
      <c r="C229" s="48" t="s">
        <v>0</v>
      </c>
      <c r="D229" s="17">
        <f aca="true" t="shared" si="103" ref="D229:J229">D230+D231+D232</f>
        <v>2676706.5</v>
      </c>
      <c r="E229" s="17">
        <f t="shared" si="103"/>
        <v>2898592.1000000006</v>
      </c>
      <c r="F229" s="17">
        <f t="shared" si="103"/>
        <v>1527153.5</v>
      </c>
      <c r="G229" s="17">
        <f t="shared" si="103"/>
        <v>846005</v>
      </c>
      <c r="H229" s="17">
        <f t="shared" si="103"/>
        <v>681148.5000000001</v>
      </c>
      <c r="I229" s="17">
        <f t="shared" si="103"/>
        <v>674942.4</v>
      </c>
      <c r="J229" s="17">
        <f t="shared" si="103"/>
        <v>696496.2000000001</v>
      </c>
      <c r="K229" s="17">
        <f>K230+K231+K232</f>
        <v>1063202.5999999999</v>
      </c>
      <c r="L229" s="16">
        <f>K229*100/F229</f>
        <v>69.61989086231344</v>
      </c>
      <c r="M229" s="15">
        <f>K229*100/E229</f>
        <v>36.679966111823724</v>
      </c>
      <c r="N229" s="15">
        <f>K229*100/D229</f>
        <v>39.720552103863454</v>
      </c>
    </row>
    <row r="230" spans="1:14" ht="22.5">
      <c r="A230" s="49" t="s">
        <v>67</v>
      </c>
      <c r="B230" s="77" t="s">
        <v>51</v>
      </c>
      <c r="C230" s="50" t="s">
        <v>20</v>
      </c>
      <c r="D230" s="12">
        <f>D23-16095.4</f>
        <v>2676706.5</v>
      </c>
      <c r="E230" s="51">
        <f t="shared" si="100"/>
        <v>2875245.6000000006</v>
      </c>
      <c r="F230" s="21">
        <f t="shared" si="99"/>
        <v>1516184.1</v>
      </c>
      <c r="G230" s="12">
        <f>G23-1609.6</f>
        <v>843048.4</v>
      </c>
      <c r="H230" s="12">
        <f>H23-4828.6</f>
        <v>673135.7000000001</v>
      </c>
      <c r="I230" s="12">
        <f>I23-4828.6-86</f>
        <v>667565.3</v>
      </c>
      <c r="J230" s="12">
        <f>J23-4828.6+480-128.2</f>
        <v>691496.2000000001</v>
      </c>
      <c r="K230" s="12">
        <f>K23-3136.6</f>
        <v>1057146.5999999999</v>
      </c>
      <c r="L230" s="14">
        <f>K230*100/F230</f>
        <v>69.72415816786364</v>
      </c>
      <c r="M230" s="13">
        <f>K230*100/E230</f>
        <v>36.767175645795255</v>
      </c>
      <c r="N230" s="13">
        <f>K230*100/D230</f>
        <v>39.494303914157186</v>
      </c>
    </row>
    <row r="231" spans="1:14" ht="12.75">
      <c r="A231" s="49" t="s">
        <v>2</v>
      </c>
      <c r="B231" s="49" t="s">
        <v>52</v>
      </c>
      <c r="C231" s="52" t="s">
        <v>19</v>
      </c>
      <c r="D231" s="13">
        <f>D24+D95+D180+D77</f>
        <v>0</v>
      </c>
      <c r="E231" s="13">
        <f>E24+E95+E180+E77+E145</f>
        <v>25065</v>
      </c>
      <c r="F231" s="21">
        <f t="shared" si="99"/>
        <v>12687.900000000001</v>
      </c>
      <c r="G231" s="13">
        <f>G24+G95+G180+G77</f>
        <v>4675.1</v>
      </c>
      <c r="H231" s="13">
        <f>H24+H95+H180+H77</f>
        <v>8012.8</v>
      </c>
      <c r="I231" s="13">
        <f>I24+I95+I180+I77</f>
        <v>7377.1</v>
      </c>
      <c r="J231" s="13">
        <f>J24+J95+J180+J77</f>
        <v>5000</v>
      </c>
      <c r="K231" s="13">
        <f>K24+K95+K180+K77+K145</f>
        <v>7774.5</v>
      </c>
      <c r="L231" s="14">
        <f>K231*100/F231</f>
        <v>61.274915470645254</v>
      </c>
      <c r="M231" s="13">
        <f>K231*100/E231</f>
        <v>31.017354877318972</v>
      </c>
      <c r="N231" s="13"/>
    </row>
    <row r="232" spans="1:14" ht="33.75">
      <c r="A232" s="49" t="s">
        <v>66</v>
      </c>
      <c r="B232" s="54"/>
      <c r="C232" s="56" t="s">
        <v>63</v>
      </c>
      <c r="D232" s="13">
        <f>D26</f>
        <v>0</v>
      </c>
      <c r="E232" s="51">
        <f t="shared" si="100"/>
        <v>-1718.5</v>
      </c>
      <c r="F232" s="21">
        <f t="shared" si="99"/>
        <v>-1718.5</v>
      </c>
      <c r="G232" s="13">
        <f>G26</f>
        <v>-1718.5</v>
      </c>
      <c r="H232" s="13">
        <f>H26</f>
        <v>0</v>
      </c>
      <c r="I232" s="13">
        <f>I26</f>
        <v>0</v>
      </c>
      <c r="J232" s="13">
        <f>J26</f>
        <v>0</v>
      </c>
      <c r="K232" s="13">
        <f>K26</f>
        <v>-1718.5</v>
      </c>
      <c r="L232" s="14">
        <f>K232*100/F232</f>
        <v>100</v>
      </c>
      <c r="M232" s="13">
        <f>K232*100/E232</f>
        <v>100</v>
      </c>
      <c r="N232" s="13"/>
    </row>
    <row r="233" spans="1:14" ht="12.75">
      <c r="A233" s="43"/>
      <c r="B233" s="58"/>
      <c r="C233" s="59" t="s">
        <v>4</v>
      </c>
      <c r="D233" s="15">
        <f aca="true" t="shared" si="104" ref="D233:K233">D229+D215</f>
        <v>3655276.6</v>
      </c>
      <c r="E233" s="15">
        <f t="shared" si="104"/>
        <v>3910792.1000000006</v>
      </c>
      <c r="F233" s="15">
        <f t="shared" si="104"/>
        <v>2060765.9</v>
      </c>
      <c r="G233" s="15">
        <f t="shared" si="104"/>
        <v>1105000.7</v>
      </c>
      <c r="H233" s="15">
        <f t="shared" si="104"/>
        <v>955765.2000000002</v>
      </c>
      <c r="I233" s="15">
        <f t="shared" si="104"/>
        <v>900404.4</v>
      </c>
      <c r="J233" s="15">
        <f t="shared" si="104"/>
        <v>949621.8</v>
      </c>
      <c r="K233" s="15">
        <f t="shared" si="104"/>
        <v>1514069.2999999998</v>
      </c>
      <c r="L233" s="16">
        <f>K233*100/F233</f>
        <v>73.47119340435513</v>
      </c>
      <c r="M233" s="15">
        <f>K233*100/E233</f>
        <v>38.71515696270327</v>
      </c>
      <c r="N233" s="15">
        <f>K233*100/D233</f>
        <v>41.42146999217514</v>
      </c>
    </row>
    <row r="234" spans="3:9" ht="12.75">
      <c r="C234" s="8"/>
      <c r="D234" s="8"/>
      <c r="E234" s="8"/>
      <c r="F234" s="8"/>
      <c r="G234" s="8"/>
      <c r="H234" s="8"/>
      <c r="I234" s="2"/>
    </row>
    <row r="235" spans="3:11" ht="12.75">
      <c r="C235" s="9" t="s">
        <v>59</v>
      </c>
      <c r="D235" s="9"/>
      <c r="E235" s="9"/>
      <c r="F235" s="9"/>
      <c r="G235" s="9"/>
      <c r="H235" s="9"/>
      <c r="I235" s="3"/>
      <c r="J235" s="3"/>
      <c r="K235" s="5"/>
    </row>
    <row r="236" spans="3:11" ht="12.75" hidden="1">
      <c r="C236" s="9"/>
      <c r="D236" s="9"/>
      <c r="E236" s="9"/>
      <c r="F236" s="9"/>
      <c r="G236" s="9"/>
      <c r="H236" s="9"/>
      <c r="I236" s="3" t="s">
        <v>62</v>
      </c>
      <c r="J236" s="3">
        <f>J235-J215</f>
        <v>-253125.59999999998</v>
      </c>
      <c r="K236" s="4"/>
    </row>
    <row r="237" spans="1:11" ht="12.75" hidden="1">
      <c r="A237" s="2"/>
      <c r="C237" s="9"/>
      <c r="D237" s="9"/>
      <c r="E237" s="9"/>
      <c r="F237" s="9"/>
      <c r="G237" s="9"/>
      <c r="H237" s="9"/>
      <c r="I237" s="6"/>
      <c r="J237" s="3"/>
      <c r="K237" s="5"/>
    </row>
    <row r="238" spans="3:11" ht="12.75" hidden="1">
      <c r="C238" s="10"/>
      <c r="D238" s="10"/>
      <c r="E238" s="10"/>
      <c r="F238" s="10"/>
      <c r="G238" s="10"/>
      <c r="H238" s="10"/>
      <c r="I238" s="3"/>
      <c r="J238" s="3">
        <f>J237-J229</f>
        <v>-696496.2000000001</v>
      </c>
      <c r="K238" s="5"/>
    </row>
    <row r="239" spans="3:11" ht="12.75" hidden="1">
      <c r="C239" s="10"/>
      <c r="D239" s="10"/>
      <c r="E239" s="10"/>
      <c r="F239" s="10"/>
      <c r="G239" s="10"/>
      <c r="H239" s="10"/>
      <c r="I239" s="6"/>
      <c r="J239" s="3" t="e">
        <f>#REF!+#REF!+#REF!+#REF!+#REF!+#REF!+#REF!+#REF!+#REF!+#REF!</f>
        <v>#REF!</v>
      </c>
      <c r="K239" s="5"/>
    </row>
    <row r="240" spans="1:11" ht="12.75" hidden="1">
      <c r="A240" s="2">
        <f>J215+J229</f>
        <v>949621.8</v>
      </c>
      <c r="C240" s="11"/>
      <c r="D240" s="11"/>
      <c r="E240" s="11"/>
      <c r="F240" s="11"/>
      <c r="G240" s="11"/>
      <c r="H240" s="11"/>
      <c r="I240" s="6"/>
      <c r="J240" s="3" t="e">
        <f>J239-#REF!</f>
        <v>#REF!</v>
      </c>
      <c r="K240" s="5"/>
    </row>
    <row r="241" spans="1:11" ht="12.75" hidden="1">
      <c r="A241" s="2" t="e">
        <f>#REF!+#REF!</f>
        <v>#REF!</v>
      </c>
      <c r="C241" s="10"/>
      <c r="D241" s="10"/>
      <c r="E241" s="10"/>
      <c r="F241" s="10"/>
      <c r="G241" s="10"/>
      <c r="H241" s="10"/>
      <c r="I241" s="6"/>
      <c r="J241" s="3" t="e">
        <f>J235+J237+J239</f>
        <v>#REF!</v>
      </c>
      <c r="K241" s="5"/>
    </row>
    <row r="242" spans="1:11" ht="12.75" hidden="1">
      <c r="A242" s="2" t="e">
        <f>J215+#REF!</f>
        <v>#REF!</v>
      </c>
      <c r="C242" s="9"/>
      <c r="D242" s="9"/>
      <c r="E242" s="9"/>
      <c r="F242" s="9"/>
      <c r="G242" s="9"/>
      <c r="H242" s="9"/>
      <c r="I242" s="6"/>
      <c r="J242" s="3">
        <f>J27+J43+J61+J78+J96+J112+J129+J147+J164+J181+J197+J212-J210-J195-J178-J161-J143-J127-J109-J93-J75-J40-J57</f>
        <v>954098.5999999999</v>
      </c>
      <c r="K242" s="5"/>
    </row>
    <row r="243" spans="1:11" ht="12.75" hidden="1">
      <c r="A243" s="2" t="e">
        <f>J229+#REF!</f>
        <v>#REF!</v>
      </c>
      <c r="C243" s="9"/>
      <c r="D243" s="9"/>
      <c r="E243" s="9"/>
      <c r="F243" s="9"/>
      <c r="G243" s="9"/>
      <c r="H243" s="9"/>
      <c r="I243" s="6"/>
      <c r="J243" s="3">
        <f>J242-J233</f>
        <v>4476.799999999814</v>
      </c>
      <c r="K243" s="5"/>
    </row>
    <row r="244" spans="3:11" ht="12.75" hidden="1">
      <c r="C244" s="9"/>
      <c r="D244" s="9"/>
      <c r="E244" s="9"/>
      <c r="F244" s="9"/>
      <c r="G244" s="9"/>
      <c r="H244" s="9"/>
      <c r="I244" s="6"/>
      <c r="J244" s="3"/>
      <c r="K244" s="5"/>
    </row>
    <row r="245" spans="3:11" ht="12.75" hidden="1">
      <c r="C245" s="8"/>
      <c r="D245" s="8"/>
      <c r="E245" s="8"/>
      <c r="F245" s="8"/>
      <c r="G245" s="8"/>
      <c r="H245" s="8"/>
      <c r="I245" s="5"/>
      <c r="J245" s="4"/>
      <c r="K245" s="5"/>
    </row>
    <row r="246" spans="3:11" ht="12.75">
      <c r="C246" s="8"/>
      <c r="D246" s="8"/>
      <c r="E246" s="8"/>
      <c r="F246" s="20"/>
      <c r="G246" s="20"/>
      <c r="H246" s="20"/>
      <c r="I246" s="20"/>
      <c r="J246" s="20"/>
      <c r="K246" s="20"/>
    </row>
    <row r="247" spans="3:11" ht="12.75">
      <c r="C247" s="8"/>
      <c r="D247" s="8"/>
      <c r="E247" s="8"/>
      <c r="F247" s="8"/>
      <c r="G247" s="8"/>
      <c r="H247" s="8"/>
      <c r="I247" s="5"/>
      <c r="J247" s="4"/>
      <c r="K247" s="5"/>
    </row>
    <row r="248" spans="3:11" ht="12.75">
      <c r="C248" s="8"/>
      <c r="D248" s="20"/>
      <c r="E248" s="20"/>
      <c r="F248" s="8"/>
      <c r="G248" s="20"/>
      <c r="H248" s="20"/>
      <c r="I248" s="20"/>
      <c r="J248" s="20"/>
      <c r="K248" s="20"/>
    </row>
    <row r="249" spans="4:11" ht="12.75">
      <c r="D249" s="2"/>
      <c r="E249" s="2"/>
      <c r="F249" s="2"/>
      <c r="G249" s="2"/>
      <c r="H249" s="2"/>
      <c r="I249" s="2"/>
      <c r="J249" s="2"/>
      <c r="K249" s="2"/>
    </row>
    <row r="250" spans="9:11" ht="12.75">
      <c r="I250" s="5"/>
      <c r="J250" s="4"/>
      <c r="K250" s="5"/>
    </row>
    <row r="251" spans="9:11" ht="12.75">
      <c r="I251" s="5"/>
      <c r="J251" s="4"/>
      <c r="K251" s="5"/>
    </row>
    <row r="252" spans="3:11" ht="12.75">
      <c r="C252" s="8"/>
      <c r="D252" s="8"/>
      <c r="E252" s="8"/>
      <c r="F252" s="8"/>
      <c r="G252" s="8"/>
      <c r="H252" s="8"/>
      <c r="I252" s="5"/>
      <c r="J252" s="4"/>
      <c r="K252" s="5"/>
    </row>
    <row r="253" spans="3:11" ht="12.75">
      <c r="C253" s="8"/>
      <c r="D253" s="8"/>
      <c r="E253" s="8"/>
      <c r="F253" s="8"/>
      <c r="G253" s="8"/>
      <c r="H253" s="8"/>
      <c r="I253" s="5"/>
      <c r="J253" s="4"/>
      <c r="K253" s="5"/>
    </row>
    <row r="254" spans="3:11" ht="12.75">
      <c r="C254" s="8"/>
      <c r="D254" s="8"/>
      <c r="E254" s="8"/>
      <c r="F254" s="8"/>
      <c r="G254" s="8"/>
      <c r="H254" s="8"/>
      <c r="I254" s="5"/>
      <c r="J254" s="4"/>
      <c r="K254" s="5"/>
    </row>
    <row r="255" spans="3:11" ht="12.75">
      <c r="C255" s="8"/>
      <c r="D255" s="8"/>
      <c r="E255" s="8"/>
      <c r="F255" s="8"/>
      <c r="G255" s="8"/>
      <c r="H255" s="8"/>
      <c r="I255" s="5"/>
      <c r="J255" s="4"/>
      <c r="K255" s="5"/>
    </row>
    <row r="256" spans="3:11" ht="12.75">
      <c r="C256" s="8"/>
      <c r="D256" s="8"/>
      <c r="E256" s="8"/>
      <c r="F256" s="8"/>
      <c r="G256" s="8"/>
      <c r="H256" s="8"/>
      <c r="I256" s="4"/>
      <c r="J256" s="4"/>
      <c r="K256" s="4"/>
    </row>
    <row r="257" spans="3:11" ht="12.75">
      <c r="C257" s="8"/>
      <c r="D257" s="8"/>
      <c r="E257" s="8"/>
      <c r="F257" s="8"/>
      <c r="G257" s="8"/>
      <c r="H257" s="8"/>
      <c r="I257" s="5"/>
      <c r="J257" s="5"/>
      <c r="K257" s="5"/>
    </row>
    <row r="258" spans="3:11" ht="12.75">
      <c r="C258" s="8"/>
      <c r="D258" s="8"/>
      <c r="E258" s="8"/>
      <c r="F258" s="8"/>
      <c r="G258" s="8"/>
      <c r="H258" s="8"/>
      <c r="I258" s="7"/>
      <c r="J258" s="4"/>
      <c r="K258" s="5"/>
    </row>
  </sheetData>
  <sheetProtection password="CF7A" sheet="1"/>
  <mergeCells count="38">
    <mergeCell ref="A182:K182"/>
    <mergeCell ref="A148:K148"/>
    <mergeCell ref="A63:N63"/>
    <mergeCell ref="A114:N114"/>
    <mergeCell ref="A79:K79"/>
    <mergeCell ref="G4:G6"/>
    <mergeCell ref="N4:N6"/>
    <mergeCell ref="F4:F6"/>
    <mergeCell ref="A213:K213"/>
    <mergeCell ref="A198:K198"/>
    <mergeCell ref="A165:K165"/>
    <mergeCell ref="L4:L6"/>
    <mergeCell ref="A130:K130"/>
    <mergeCell ref="A98:N98"/>
    <mergeCell ref="A80:N80"/>
    <mergeCell ref="E4:E6"/>
    <mergeCell ref="M4:M6"/>
    <mergeCell ref="H4:H6"/>
    <mergeCell ref="A1:N1"/>
    <mergeCell ref="A214:N214"/>
    <mergeCell ref="A199:N199"/>
    <mergeCell ref="A183:N183"/>
    <mergeCell ref="A166:N166"/>
    <mergeCell ref="A149:N149"/>
    <mergeCell ref="A131:N131"/>
    <mergeCell ref="I4:I6"/>
    <mergeCell ref="J4:J6"/>
    <mergeCell ref="D4:D6"/>
    <mergeCell ref="A2:K2"/>
    <mergeCell ref="A97:K97"/>
    <mergeCell ref="A113:K113"/>
    <mergeCell ref="C44:K44"/>
    <mergeCell ref="A28:K28"/>
    <mergeCell ref="A7:N7"/>
    <mergeCell ref="A62:K62"/>
    <mergeCell ref="A45:N45"/>
    <mergeCell ref="A29:N29"/>
    <mergeCell ref="K4:K6"/>
  </mergeCells>
  <printOptions/>
  <pageMargins left="0" right="0" top="0.15748031496062992" bottom="0.15748031496062992" header="0.15748031496062992" footer="0.1968503937007874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tabSelected="1" zoomScalePageLayoutView="0" workbookViewId="0" topLeftCell="A1">
      <selection activeCell="B22" sqref="B22"/>
    </sheetView>
  </sheetViews>
  <sheetFormatPr defaultColWidth="9.00390625" defaultRowHeight="12.75"/>
  <cols>
    <col min="2" max="2" width="34.625" style="0" customWidth="1"/>
    <col min="3" max="4" width="14.375" style="0" customWidth="1"/>
    <col min="6" max="6" width="13.75390625" style="0" customWidth="1"/>
    <col min="7" max="7" width="14.50390625" style="0" customWidth="1"/>
    <col min="9" max="9" width="13.875" style="0" customWidth="1"/>
    <col min="10" max="10" width="13.50390625" style="0" customWidth="1"/>
  </cols>
  <sheetData>
    <row r="1" spans="1:11" ht="15">
      <c r="A1" s="100" t="s">
        <v>84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</row>
    <row r="2" spans="1:11" ht="13.5" thickBot="1">
      <c r="A2" s="101"/>
      <c r="B2" s="102"/>
      <c r="C2" s="103"/>
      <c r="D2" s="104"/>
      <c r="E2" s="105"/>
      <c r="F2" s="106"/>
      <c r="G2" s="107"/>
      <c r="H2" s="108"/>
      <c r="I2" s="109"/>
      <c r="J2" s="110"/>
      <c r="K2" s="111"/>
    </row>
    <row r="3" spans="1:11" ht="13.5">
      <c r="A3" s="112" t="s">
        <v>85</v>
      </c>
      <c r="B3" s="113" t="s">
        <v>86</v>
      </c>
      <c r="C3" s="114" t="s">
        <v>87</v>
      </c>
      <c r="D3" s="114"/>
      <c r="E3" s="114"/>
      <c r="F3" s="115" t="s">
        <v>88</v>
      </c>
      <c r="G3" s="115"/>
      <c r="H3" s="115"/>
      <c r="I3" s="116" t="s">
        <v>89</v>
      </c>
      <c r="J3" s="116"/>
      <c r="K3" s="117"/>
    </row>
    <row r="4" spans="1:11" ht="12.75">
      <c r="A4" s="118"/>
      <c r="B4" s="119"/>
      <c r="C4" s="120" t="s">
        <v>90</v>
      </c>
      <c r="D4" s="121" t="s">
        <v>91</v>
      </c>
      <c r="E4" s="120" t="s">
        <v>92</v>
      </c>
      <c r="F4" s="120" t="s">
        <v>90</v>
      </c>
      <c r="G4" s="121" t="s">
        <v>91</v>
      </c>
      <c r="H4" s="122" t="s">
        <v>92</v>
      </c>
      <c r="I4" s="123" t="s">
        <v>90</v>
      </c>
      <c r="J4" s="124" t="s">
        <v>93</v>
      </c>
      <c r="K4" s="125" t="s">
        <v>92</v>
      </c>
    </row>
    <row r="5" spans="1:11" ht="12.75">
      <c r="A5" s="118"/>
      <c r="B5" s="119"/>
      <c r="C5" s="126"/>
      <c r="D5" s="121"/>
      <c r="E5" s="127"/>
      <c r="F5" s="126"/>
      <c r="G5" s="121"/>
      <c r="H5" s="126"/>
      <c r="I5" s="128"/>
      <c r="J5" s="124"/>
      <c r="K5" s="129"/>
    </row>
    <row r="6" spans="1:11" ht="12.75">
      <c r="A6" s="118"/>
      <c r="B6" s="130" t="s">
        <v>94</v>
      </c>
      <c r="C6" s="130"/>
      <c r="D6" s="130"/>
      <c r="E6" s="130"/>
      <c r="F6" s="130"/>
      <c r="G6" s="130"/>
      <c r="H6" s="130"/>
      <c r="I6" s="130"/>
      <c r="J6" s="130"/>
      <c r="K6" s="131"/>
    </row>
    <row r="7" spans="1:11" ht="12.75">
      <c r="A7" s="118"/>
      <c r="B7" s="130"/>
      <c r="C7" s="130"/>
      <c r="D7" s="130"/>
      <c r="E7" s="130"/>
      <c r="F7" s="130"/>
      <c r="G7" s="130"/>
      <c r="H7" s="130"/>
      <c r="I7" s="130"/>
      <c r="J7" s="130"/>
      <c r="K7" s="131"/>
    </row>
    <row r="8" spans="1:11" ht="12.75">
      <c r="A8" s="118"/>
      <c r="B8" s="130"/>
      <c r="C8" s="130"/>
      <c r="D8" s="130"/>
      <c r="E8" s="130"/>
      <c r="F8" s="130"/>
      <c r="G8" s="130"/>
      <c r="H8" s="130"/>
      <c r="I8" s="130"/>
      <c r="J8" s="130"/>
      <c r="K8" s="131"/>
    </row>
    <row r="9" spans="1:11" ht="13.5">
      <c r="A9" s="132" t="s">
        <v>95</v>
      </c>
      <c r="B9" s="133" t="s">
        <v>96</v>
      </c>
      <c r="C9" s="134">
        <f>SUM(C10:C17)</f>
        <v>411841.30000000005</v>
      </c>
      <c r="D9" s="135">
        <f>SUM(D10:D17)</f>
        <v>139588</v>
      </c>
      <c r="E9" s="135">
        <f>D9/C9*100</f>
        <v>33.89363815625096</v>
      </c>
      <c r="F9" s="135">
        <f>F10+F11+F12+F13+F14+F16+F17+F15</f>
        <v>196333.9</v>
      </c>
      <c r="G9" s="135">
        <f>SUM(G10:G17)</f>
        <v>89649.1</v>
      </c>
      <c r="H9" s="136">
        <f>G9/F9*100</f>
        <v>45.66154902439161</v>
      </c>
      <c r="I9" s="135">
        <f>SUM(I10:I17)</f>
        <v>606778.3999999999</v>
      </c>
      <c r="J9" s="135">
        <f>SUM(J10:J17)</f>
        <v>229191.09999999998</v>
      </c>
      <c r="K9" s="137">
        <f>J9/I9*100</f>
        <v>37.77179609557624</v>
      </c>
    </row>
    <row r="10" spans="1:11" ht="27">
      <c r="A10" s="138" t="s">
        <v>97</v>
      </c>
      <c r="B10" s="139" t="s">
        <v>98</v>
      </c>
      <c r="C10" s="140">
        <v>4507.4</v>
      </c>
      <c r="D10" s="141">
        <v>2226.6</v>
      </c>
      <c r="E10" s="140">
        <f>D10/C10*100</f>
        <v>49.39876647291121</v>
      </c>
      <c r="F10" s="142">
        <v>44142.5</v>
      </c>
      <c r="G10" s="143">
        <v>20827.7</v>
      </c>
      <c r="H10" s="142">
        <f>G10/F10*100</f>
        <v>47.18287364784505</v>
      </c>
      <c r="I10" s="144">
        <f aca="true" t="shared" si="0" ref="I10:J81">C10+F10</f>
        <v>48649.9</v>
      </c>
      <c r="J10" s="145">
        <f t="shared" si="0"/>
        <v>23054.3</v>
      </c>
      <c r="K10" s="146">
        <f aca="true" t="shared" si="1" ref="K10:K83">J10/I10*100</f>
        <v>47.38817551526313</v>
      </c>
    </row>
    <row r="11" spans="1:11" ht="27">
      <c r="A11" s="138" t="s">
        <v>99</v>
      </c>
      <c r="B11" s="139" t="s">
        <v>100</v>
      </c>
      <c r="C11" s="140">
        <v>7224.7</v>
      </c>
      <c r="D11" s="141">
        <v>3814</v>
      </c>
      <c r="E11" s="140">
        <f aca="true" t="shared" si="2" ref="E11:E19">D11/C11*100</f>
        <v>52.791119354436866</v>
      </c>
      <c r="F11" s="142">
        <v>0</v>
      </c>
      <c r="G11" s="143"/>
      <c r="H11" s="142">
        <v>0</v>
      </c>
      <c r="I11" s="144">
        <f t="shared" si="0"/>
        <v>7224.7</v>
      </c>
      <c r="J11" s="145">
        <f t="shared" si="0"/>
        <v>3814</v>
      </c>
      <c r="K11" s="146">
        <f t="shared" si="1"/>
        <v>52.791119354436866</v>
      </c>
    </row>
    <row r="12" spans="1:11" ht="27">
      <c r="A12" s="138" t="s">
        <v>101</v>
      </c>
      <c r="B12" s="139" t="s">
        <v>102</v>
      </c>
      <c r="C12" s="140">
        <v>160301.2</v>
      </c>
      <c r="D12" s="141">
        <v>68032.9</v>
      </c>
      <c r="E12" s="140">
        <f t="shared" si="2"/>
        <v>42.440667942598054</v>
      </c>
      <c r="F12" s="142">
        <v>120297.9</v>
      </c>
      <c r="G12" s="143">
        <v>55040.1</v>
      </c>
      <c r="H12" s="142">
        <f>G12/F12*100</f>
        <v>45.75316776103324</v>
      </c>
      <c r="I12" s="144">
        <f t="shared" si="0"/>
        <v>280599.1</v>
      </c>
      <c r="J12" s="145">
        <f t="shared" si="0"/>
        <v>123073</v>
      </c>
      <c r="K12" s="146">
        <f t="shared" si="1"/>
        <v>43.86079641737982</v>
      </c>
    </row>
    <row r="13" spans="1:11" ht="13.5">
      <c r="A13" s="138" t="s">
        <v>103</v>
      </c>
      <c r="B13" s="139" t="s">
        <v>104</v>
      </c>
      <c r="C13" s="140">
        <v>11.3</v>
      </c>
      <c r="D13" s="141"/>
      <c r="E13" s="140">
        <f t="shared" si="2"/>
        <v>0</v>
      </c>
      <c r="F13" s="142">
        <v>0</v>
      </c>
      <c r="G13" s="143"/>
      <c r="H13" s="142">
        <v>0</v>
      </c>
      <c r="I13" s="144">
        <f t="shared" si="0"/>
        <v>11.3</v>
      </c>
      <c r="J13" s="145">
        <f t="shared" si="0"/>
        <v>0</v>
      </c>
      <c r="K13" s="146">
        <f t="shared" si="1"/>
        <v>0</v>
      </c>
    </row>
    <row r="14" spans="1:11" ht="27">
      <c r="A14" s="138" t="s">
        <v>105</v>
      </c>
      <c r="B14" s="139" t="s">
        <v>106</v>
      </c>
      <c r="C14" s="140">
        <v>29602</v>
      </c>
      <c r="D14" s="141">
        <v>14780.9</v>
      </c>
      <c r="E14" s="140">
        <f t="shared" si="2"/>
        <v>49.93209918248767</v>
      </c>
      <c r="F14" s="142">
        <v>0</v>
      </c>
      <c r="G14" s="143"/>
      <c r="H14" s="142">
        <v>0</v>
      </c>
      <c r="I14" s="144">
        <f>C14+F14</f>
        <v>29602</v>
      </c>
      <c r="J14" s="147">
        <f>D14+G14</f>
        <v>14780.9</v>
      </c>
      <c r="K14" s="146">
        <f t="shared" si="1"/>
        <v>49.93209918248767</v>
      </c>
    </row>
    <row r="15" spans="1:11" ht="27">
      <c r="A15" s="138" t="s">
        <v>107</v>
      </c>
      <c r="B15" s="139" t="s">
        <v>108</v>
      </c>
      <c r="C15" s="140"/>
      <c r="D15" s="141"/>
      <c r="E15" s="140"/>
      <c r="F15" s="142">
        <v>232</v>
      </c>
      <c r="G15" s="143"/>
      <c r="H15" s="142">
        <f>G15/F15*100</f>
        <v>0</v>
      </c>
      <c r="I15" s="144">
        <f>C15+F15</f>
        <v>232</v>
      </c>
      <c r="J15" s="145">
        <f>D15+G15</f>
        <v>0</v>
      </c>
      <c r="K15" s="146">
        <f t="shared" si="1"/>
        <v>0</v>
      </c>
    </row>
    <row r="16" spans="1:11" ht="13.5">
      <c r="A16" s="148" t="s">
        <v>109</v>
      </c>
      <c r="B16" s="139" t="s">
        <v>110</v>
      </c>
      <c r="C16" s="140">
        <v>15000</v>
      </c>
      <c r="D16" s="141"/>
      <c r="E16" s="140">
        <f t="shared" si="2"/>
        <v>0</v>
      </c>
      <c r="F16" s="142">
        <v>1048.7</v>
      </c>
      <c r="G16" s="143"/>
      <c r="H16" s="142">
        <f>G16/F16*100</f>
        <v>0</v>
      </c>
      <c r="I16" s="144">
        <f t="shared" si="0"/>
        <v>16048.7</v>
      </c>
      <c r="J16" s="145">
        <f t="shared" si="0"/>
        <v>0</v>
      </c>
      <c r="K16" s="146">
        <f t="shared" si="1"/>
        <v>0</v>
      </c>
    </row>
    <row r="17" spans="1:11" ht="27">
      <c r="A17" s="138" t="s">
        <v>111</v>
      </c>
      <c r="B17" s="139" t="s">
        <v>112</v>
      </c>
      <c r="C17" s="140">
        <v>195194.7</v>
      </c>
      <c r="D17" s="141">
        <v>50733.6</v>
      </c>
      <c r="E17" s="140">
        <f t="shared" si="2"/>
        <v>25.991279476338235</v>
      </c>
      <c r="F17" s="142">
        <v>30612.8</v>
      </c>
      <c r="G17" s="143">
        <v>13781.3</v>
      </c>
      <c r="H17" s="142">
        <f>G17/F17*100</f>
        <v>45.018097005174305</v>
      </c>
      <c r="I17" s="144">
        <f>C17+F17-376.8-1020</f>
        <v>224410.7</v>
      </c>
      <c r="J17" s="145">
        <f>D17+G17-46</f>
        <v>64468.899999999994</v>
      </c>
      <c r="K17" s="146">
        <f t="shared" si="1"/>
        <v>28.728086494984417</v>
      </c>
    </row>
    <row r="18" spans="1:11" ht="13.5">
      <c r="A18" s="132" t="s">
        <v>113</v>
      </c>
      <c r="B18" s="133" t="s">
        <v>114</v>
      </c>
      <c r="C18" s="134">
        <f aca="true" t="shared" si="3" ref="C18:J18">C19</f>
        <v>3702</v>
      </c>
      <c r="D18" s="135">
        <f t="shared" si="3"/>
        <v>1212.7</v>
      </c>
      <c r="E18" s="135">
        <f t="shared" si="3"/>
        <v>32.757968665586176</v>
      </c>
      <c r="F18" s="135">
        <f t="shared" si="3"/>
        <v>3702</v>
      </c>
      <c r="G18" s="135">
        <f t="shared" si="3"/>
        <v>1209.2</v>
      </c>
      <c r="H18" s="149">
        <f t="shared" si="3"/>
        <v>32.66342517558077</v>
      </c>
      <c r="I18" s="135">
        <f t="shared" si="3"/>
        <v>3702</v>
      </c>
      <c r="J18" s="135">
        <f t="shared" si="3"/>
        <v>1209.2</v>
      </c>
      <c r="K18" s="150">
        <f t="shared" si="1"/>
        <v>32.66342517558077</v>
      </c>
    </row>
    <row r="19" spans="1:11" ht="13.5">
      <c r="A19" s="138" t="s">
        <v>115</v>
      </c>
      <c r="B19" s="139" t="s">
        <v>116</v>
      </c>
      <c r="C19" s="140">
        <v>3702</v>
      </c>
      <c r="D19" s="141">
        <v>1212.7</v>
      </c>
      <c r="E19" s="140">
        <f t="shared" si="2"/>
        <v>32.757968665586176</v>
      </c>
      <c r="F19" s="142">
        <v>3702</v>
      </c>
      <c r="G19" s="143">
        <v>1209.2</v>
      </c>
      <c r="H19" s="142">
        <f>G19/F19*100</f>
        <v>32.66342517558077</v>
      </c>
      <c r="I19" s="144">
        <f>C19+F19-3702</f>
        <v>3702</v>
      </c>
      <c r="J19" s="145">
        <f>D19+G19-1212.7</f>
        <v>1209.2</v>
      </c>
      <c r="K19" s="146">
        <f t="shared" si="1"/>
        <v>32.66342517558077</v>
      </c>
    </row>
    <row r="20" spans="1:11" ht="12.75">
      <c r="A20" s="151" t="s">
        <v>117</v>
      </c>
      <c r="B20" s="152" t="s">
        <v>118</v>
      </c>
      <c r="C20" s="153">
        <f>C23+C24+C22</f>
        <v>17914.2</v>
      </c>
      <c r="D20" s="153">
        <f>D23+D24+D22</f>
        <v>2715.3</v>
      </c>
      <c r="E20" s="153">
        <f>D20/C20*100</f>
        <v>15.157249556217971</v>
      </c>
      <c r="F20" s="153">
        <f>F23+F24+F22</f>
        <v>4799.9</v>
      </c>
      <c r="G20" s="153">
        <f>G23+G24+G22</f>
        <v>1440.7</v>
      </c>
      <c r="H20" s="153">
        <f>G20/F20*100</f>
        <v>30.015208650180213</v>
      </c>
      <c r="I20" s="153">
        <f>I23+I24+I22</f>
        <v>21045.5</v>
      </c>
      <c r="J20" s="153">
        <f>SUM(J22:J24)</f>
        <v>3807.8999999999996</v>
      </c>
      <c r="K20" s="153">
        <f>J20/I20*100</f>
        <v>18.09365422536884</v>
      </c>
    </row>
    <row r="21" spans="1:11" ht="12.75">
      <c r="A21" s="151"/>
      <c r="B21" s="152"/>
      <c r="C21" s="153"/>
      <c r="D21" s="153"/>
      <c r="E21" s="153"/>
      <c r="F21" s="153"/>
      <c r="G21" s="153"/>
      <c r="H21" s="153"/>
      <c r="I21" s="153"/>
      <c r="J21" s="153"/>
      <c r="K21" s="153"/>
    </row>
    <row r="22" spans="1:11" ht="13.5">
      <c r="A22" s="148" t="s">
        <v>119</v>
      </c>
      <c r="B22" s="139" t="s">
        <v>120</v>
      </c>
      <c r="C22" s="140">
        <v>6524.6</v>
      </c>
      <c r="D22" s="141">
        <v>2201.4</v>
      </c>
      <c r="E22" s="140">
        <f aca="true" t="shared" si="4" ref="E22:E94">D22/C22*100</f>
        <v>33.7399993869356</v>
      </c>
      <c r="F22" s="142">
        <v>874</v>
      </c>
      <c r="G22" s="143">
        <v>230.3</v>
      </c>
      <c r="H22" s="142">
        <f>G22/F22*100</f>
        <v>26.35011441647597</v>
      </c>
      <c r="I22" s="144">
        <f>C22+F22-874</f>
        <v>6524.6</v>
      </c>
      <c r="J22" s="145">
        <f>D22+G22-238.9</f>
        <v>2192.8</v>
      </c>
      <c r="K22" s="146">
        <f>J22/I22*100</f>
        <v>33.608190540416274</v>
      </c>
    </row>
    <row r="23" spans="1:11" ht="27">
      <c r="A23" s="138" t="s">
        <v>121</v>
      </c>
      <c r="B23" s="139" t="s">
        <v>122</v>
      </c>
      <c r="C23" s="140">
        <v>10925.7</v>
      </c>
      <c r="D23" s="141">
        <v>513.9</v>
      </c>
      <c r="E23" s="140">
        <f t="shared" si="4"/>
        <v>4.703588786073203</v>
      </c>
      <c r="F23" s="142">
        <v>3563.4</v>
      </c>
      <c r="G23" s="143">
        <v>1192.7</v>
      </c>
      <c r="H23" s="142">
        <f>G23/F23*100</f>
        <v>33.47084245383623</v>
      </c>
      <c r="I23" s="144">
        <f>C23+F23-545.7</f>
        <v>13943.4</v>
      </c>
      <c r="J23" s="145">
        <f>D23+G23-109.2</f>
        <v>1597.3999999999999</v>
      </c>
      <c r="K23" s="146">
        <f>J23/I23*100</f>
        <v>11.45631624998207</v>
      </c>
    </row>
    <row r="24" spans="1:11" ht="41.25">
      <c r="A24" s="148" t="s">
        <v>123</v>
      </c>
      <c r="B24" s="139" t="s">
        <v>124</v>
      </c>
      <c r="C24" s="140">
        <v>463.9</v>
      </c>
      <c r="D24" s="141"/>
      <c r="E24" s="140">
        <f t="shared" si="4"/>
        <v>0</v>
      </c>
      <c r="F24" s="142">
        <v>362.5</v>
      </c>
      <c r="G24" s="143">
        <v>17.7</v>
      </c>
      <c r="H24" s="142">
        <f>G24/F24*100</f>
        <v>4.882758620689655</v>
      </c>
      <c r="I24" s="144">
        <f>C24+F24-248.9</f>
        <v>577.5</v>
      </c>
      <c r="J24" s="145">
        <f>D24+G24</f>
        <v>17.7</v>
      </c>
      <c r="K24" s="146">
        <f>J24/I24*100</f>
        <v>3.0649350649350646</v>
      </c>
    </row>
    <row r="25" spans="1:11" ht="13.5">
      <c r="A25" s="132" t="s">
        <v>125</v>
      </c>
      <c r="B25" s="133" t="s">
        <v>126</v>
      </c>
      <c r="C25" s="134">
        <f>SUM(C26:C45)</f>
        <v>151028.7</v>
      </c>
      <c r="D25" s="135">
        <f>SUM(D26:D44)</f>
        <v>45385.19999999999</v>
      </c>
      <c r="E25" s="135">
        <f>D25/C25*100</f>
        <v>30.050712215625232</v>
      </c>
      <c r="F25" s="135">
        <f>SUM(F26:F45)</f>
        <v>99185.4</v>
      </c>
      <c r="G25" s="135">
        <f>SUM(G26:G45)</f>
        <v>23882</v>
      </c>
      <c r="H25" s="136">
        <f>G25/F25*100</f>
        <v>24.078140532780026</v>
      </c>
      <c r="I25" s="135">
        <f>SUM(I26:I45)</f>
        <v>223769.30000000005</v>
      </c>
      <c r="J25" s="135">
        <f>SUM(J26:J45)</f>
        <v>66569.90000000001</v>
      </c>
      <c r="K25" s="154">
        <f t="shared" si="1"/>
        <v>29.749344525812965</v>
      </c>
    </row>
    <row r="26" spans="1:11" ht="54.75">
      <c r="A26" s="148" t="s">
        <v>127</v>
      </c>
      <c r="B26" s="155" t="s">
        <v>128</v>
      </c>
      <c r="C26" s="140">
        <v>15012.2</v>
      </c>
      <c r="D26" s="141">
        <v>3391.3</v>
      </c>
      <c r="E26" s="140">
        <f t="shared" si="4"/>
        <v>22.590293228174417</v>
      </c>
      <c r="F26" s="140">
        <v>7495.9</v>
      </c>
      <c r="G26" s="143">
        <v>3348.3</v>
      </c>
      <c r="H26" s="142">
        <f>G26/F26*100</f>
        <v>44.66841873557546</v>
      </c>
      <c r="I26" s="144">
        <f>C26+F26-6748.5</f>
        <v>15759.599999999999</v>
      </c>
      <c r="J26" s="145">
        <f>D26+G26-2275.9</f>
        <v>4463.700000000001</v>
      </c>
      <c r="K26" s="146">
        <f t="shared" si="1"/>
        <v>28.323688418487787</v>
      </c>
    </row>
    <row r="27" spans="1:11" ht="13.5">
      <c r="A27" s="138" t="s">
        <v>129</v>
      </c>
      <c r="B27" s="139" t="s">
        <v>130</v>
      </c>
      <c r="C27" s="140">
        <v>39957.6</v>
      </c>
      <c r="D27" s="141">
        <v>23321.6</v>
      </c>
      <c r="E27" s="140">
        <f t="shared" si="4"/>
        <v>58.36586781988908</v>
      </c>
      <c r="F27" s="142">
        <v>0</v>
      </c>
      <c r="G27" s="143"/>
      <c r="H27" s="142">
        <v>0</v>
      </c>
      <c r="I27" s="145">
        <f>C27+F27</f>
        <v>39957.6</v>
      </c>
      <c r="J27" s="145">
        <f t="shared" si="0"/>
        <v>23321.6</v>
      </c>
      <c r="K27" s="146">
        <f t="shared" si="1"/>
        <v>58.36586781988908</v>
      </c>
    </row>
    <row r="28" spans="1:11" ht="13.5">
      <c r="A28" s="138" t="s">
        <v>131</v>
      </c>
      <c r="B28" s="139" t="s">
        <v>132</v>
      </c>
      <c r="C28" s="140">
        <v>7000</v>
      </c>
      <c r="D28" s="141">
        <v>846.6</v>
      </c>
      <c r="E28" s="140">
        <f t="shared" si="4"/>
        <v>12.094285714285714</v>
      </c>
      <c r="F28" s="142">
        <v>0</v>
      </c>
      <c r="G28" s="143"/>
      <c r="H28" s="142">
        <v>0</v>
      </c>
      <c r="I28" s="144">
        <f>C28+F28</f>
        <v>7000</v>
      </c>
      <c r="J28" s="145">
        <f t="shared" si="0"/>
        <v>846.6</v>
      </c>
      <c r="K28" s="146">
        <f t="shared" si="1"/>
        <v>12.094285714285714</v>
      </c>
    </row>
    <row r="29" spans="1:11" ht="41.25">
      <c r="A29" s="138" t="s">
        <v>131</v>
      </c>
      <c r="B29" s="139" t="s">
        <v>133</v>
      </c>
      <c r="C29" s="140">
        <v>18607</v>
      </c>
      <c r="D29" s="141">
        <v>10124.6</v>
      </c>
      <c r="E29" s="140">
        <f t="shared" si="4"/>
        <v>54.412855377008654</v>
      </c>
      <c r="F29" s="142">
        <v>16898.1</v>
      </c>
      <c r="G29" s="143">
        <v>3789.2</v>
      </c>
      <c r="H29" s="142">
        <f>G29/F29*100</f>
        <v>22.42382279664578</v>
      </c>
      <c r="I29" s="144">
        <f>C29+F29-2107</f>
        <v>33398.1</v>
      </c>
      <c r="J29" s="145">
        <f>D29+G29-421.4</f>
        <v>13492.4</v>
      </c>
      <c r="K29" s="146">
        <f t="shared" si="1"/>
        <v>40.398705315571846</v>
      </c>
    </row>
    <row r="30" spans="1:11" ht="13.5">
      <c r="A30" s="138" t="s">
        <v>131</v>
      </c>
      <c r="B30" s="139" t="s">
        <v>134</v>
      </c>
      <c r="C30" s="140">
        <v>16500</v>
      </c>
      <c r="D30" s="141"/>
      <c r="E30" s="140">
        <f t="shared" si="4"/>
        <v>0</v>
      </c>
      <c r="F30" s="142">
        <v>0</v>
      </c>
      <c r="G30" s="143"/>
      <c r="H30" s="142">
        <v>0</v>
      </c>
      <c r="I30" s="144">
        <f t="shared" si="0"/>
        <v>16500</v>
      </c>
      <c r="J30" s="145">
        <f t="shared" si="0"/>
        <v>0</v>
      </c>
      <c r="K30" s="146">
        <f t="shared" si="1"/>
        <v>0</v>
      </c>
    </row>
    <row r="31" spans="1:11" ht="54.75">
      <c r="A31" s="138" t="s">
        <v>135</v>
      </c>
      <c r="B31" s="156" t="s">
        <v>136</v>
      </c>
      <c r="C31" s="141">
        <v>2543.8</v>
      </c>
      <c r="D31" s="141">
        <v>2541.7</v>
      </c>
      <c r="E31" s="140">
        <f t="shared" si="4"/>
        <v>99.91744634012106</v>
      </c>
      <c r="F31" s="142">
        <v>578.6</v>
      </c>
      <c r="G31" s="143">
        <v>0</v>
      </c>
      <c r="H31" s="142">
        <f aca="true" t="shared" si="5" ref="H31:H39">G31/F31*100</f>
        <v>0</v>
      </c>
      <c r="I31" s="144">
        <f t="shared" si="0"/>
        <v>3122.4</v>
      </c>
      <c r="J31" s="145">
        <f t="shared" si="0"/>
        <v>2541.7</v>
      </c>
      <c r="K31" s="146">
        <f t="shared" si="1"/>
        <v>81.40212656930565</v>
      </c>
    </row>
    <row r="32" spans="1:11" ht="69">
      <c r="A32" s="148" t="s">
        <v>135</v>
      </c>
      <c r="B32" s="156" t="s">
        <v>137</v>
      </c>
      <c r="C32" s="140">
        <v>12815.3</v>
      </c>
      <c r="D32" s="141"/>
      <c r="E32" s="140">
        <f t="shared" si="4"/>
        <v>0</v>
      </c>
      <c r="F32" s="142">
        <v>10608.3</v>
      </c>
      <c r="G32" s="143"/>
      <c r="H32" s="142">
        <f t="shared" si="5"/>
        <v>0</v>
      </c>
      <c r="I32" s="144">
        <f>C32+F32-10608.3</f>
        <v>12815.3</v>
      </c>
      <c r="J32" s="145">
        <f>D32+G32</f>
        <v>0</v>
      </c>
      <c r="K32" s="146">
        <f>J32/I32*100</f>
        <v>0</v>
      </c>
    </row>
    <row r="33" spans="1:11" ht="54.75">
      <c r="A33" s="148" t="s">
        <v>135</v>
      </c>
      <c r="B33" s="139" t="s">
        <v>138</v>
      </c>
      <c r="C33" s="140">
        <f>5444.5+133+99</f>
        <v>5676.5</v>
      </c>
      <c r="D33" s="141">
        <v>3144.5</v>
      </c>
      <c r="E33" s="140">
        <f t="shared" si="4"/>
        <v>55.395049766581515</v>
      </c>
      <c r="F33" s="142">
        <v>2300</v>
      </c>
      <c r="G33" s="143">
        <v>627</v>
      </c>
      <c r="H33" s="142">
        <f t="shared" si="5"/>
        <v>27.260869565217394</v>
      </c>
      <c r="I33" s="144">
        <f>C33+F33-2300</f>
        <v>5676.5</v>
      </c>
      <c r="J33" s="145">
        <f>D33+G33</f>
        <v>3771.5</v>
      </c>
      <c r="K33" s="146">
        <f>J33/I33*100</f>
        <v>66.44058839073372</v>
      </c>
    </row>
    <row r="34" spans="1:11" ht="96">
      <c r="A34" s="148" t="s">
        <v>135</v>
      </c>
      <c r="B34" s="139" t="s">
        <v>139</v>
      </c>
      <c r="C34" s="140">
        <v>3500</v>
      </c>
      <c r="D34" s="141"/>
      <c r="E34" s="140">
        <f t="shared" si="4"/>
        <v>0</v>
      </c>
      <c r="F34" s="142">
        <v>3500</v>
      </c>
      <c r="G34" s="143"/>
      <c r="H34" s="142">
        <f t="shared" si="5"/>
        <v>0</v>
      </c>
      <c r="I34" s="144">
        <f>C34+F34-3500</f>
        <v>3500</v>
      </c>
      <c r="J34" s="145">
        <f t="shared" si="0"/>
        <v>0</v>
      </c>
      <c r="K34" s="146">
        <f>J34/I34*100</f>
        <v>0</v>
      </c>
    </row>
    <row r="35" spans="1:11" ht="41.25">
      <c r="A35" s="148" t="s">
        <v>135</v>
      </c>
      <c r="B35" s="139" t="s">
        <v>140</v>
      </c>
      <c r="C35" s="140">
        <v>0</v>
      </c>
      <c r="D35" s="141"/>
      <c r="E35" s="140" t="e">
        <f t="shared" si="4"/>
        <v>#DIV/0!</v>
      </c>
      <c r="F35" s="142">
        <v>4135.1</v>
      </c>
      <c r="G35" s="143">
        <v>671.4</v>
      </c>
      <c r="H35" s="142">
        <f t="shared" si="5"/>
        <v>16.236608546347124</v>
      </c>
      <c r="I35" s="144">
        <f>C35+F35</f>
        <v>4135.1</v>
      </c>
      <c r="J35" s="145">
        <f t="shared" si="0"/>
        <v>671.4</v>
      </c>
      <c r="K35" s="146">
        <f>J35/I35*100</f>
        <v>16.236608546347124</v>
      </c>
    </row>
    <row r="36" spans="1:11" ht="27">
      <c r="A36" s="148" t="s">
        <v>135</v>
      </c>
      <c r="B36" s="139" t="s">
        <v>141</v>
      </c>
      <c r="C36" s="140"/>
      <c r="D36" s="141"/>
      <c r="E36" s="141" t="e">
        <f t="shared" si="4"/>
        <v>#DIV/0!</v>
      </c>
      <c r="F36" s="142">
        <f>1731.7+4500</f>
        <v>6231.7</v>
      </c>
      <c r="G36" s="143">
        <v>1500</v>
      </c>
      <c r="H36" s="142">
        <f t="shared" si="5"/>
        <v>24.070478360639953</v>
      </c>
      <c r="I36" s="144">
        <f>C36+F36</f>
        <v>6231.7</v>
      </c>
      <c r="J36" s="145">
        <f t="shared" si="0"/>
        <v>1500</v>
      </c>
      <c r="K36" s="146">
        <f>J36/I36*100</f>
        <v>24.070478360639953</v>
      </c>
    </row>
    <row r="37" spans="1:11" ht="54.75">
      <c r="A37" s="148" t="s">
        <v>135</v>
      </c>
      <c r="B37" s="139" t="s">
        <v>142</v>
      </c>
      <c r="C37" s="140"/>
      <c r="D37" s="141"/>
      <c r="E37" s="140"/>
      <c r="F37" s="142">
        <v>41150.3</v>
      </c>
      <c r="G37" s="143">
        <v>11474.7</v>
      </c>
      <c r="H37" s="142">
        <f t="shared" si="5"/>
        <v>27.88485138625964</v>
      </c>
      <c r="I37" s="144">
        <f>C37+F37</f>
        <v>41150.3</v>
      </c>
      <c r="J37" s="145">
        <f t="shared" si="0"/>
        <v>11474.7</v>
      </c>
      <c r="K37" s="146">
        <f t="shared" si="1"/>
        <v>27.88485138625964</v>
      </c>
    </row>
    <row r="38" spans="1:11" ht="13.5">
      <c r="A38" s="138" t="s">
        <v>143</v>
      </c>
      <c r="B38" s="139" t="s">
        <v>144</v>
      </c>
      <c r="C38" s="140">
        <v>4355.8</v>
      </c>
      <c r="D38" s="141">
        <v>903.7</v>
      </c>
      <c r="E38" s="140">
        <f t="shared" si="4"/>
        <v>20.747049910464206</v>
      </c>
      <c r="F38" s="142">
        <v>5010.4</v>
      </c>
      <c r="G38" s="143">
        <v>2408.2</v>
      </c>
      <c r="H38" s="143">
        <f t="shared" si="5"/>
        <v>48.064026824205655</v>
      </c>
      <c r="I38" s="144">
        <f t="shared" si="0"/>
        <v>9366.2</v>
      </c>
      <c r="J38" s="145">
        <f t="shared" si="0"/>
        <v>3311.8999999999996</v>
      </c>
      <c r="K38" s="146">
        <f t="shared" si="1"/>
        <v>35.36012470372189</v>
      </c>
    </row>
    <row r="39" spans="1:11" ht="69">
      <c r="A39" s="138" t="s">
        <v>145</v>
      </c>
      <c r="B39" s="156" t="s">
        <v>146</v>
      </c>
      <c r="C39" s="140">
        <v>2983.8</v>
      </c>
      <c r="D39" s="141">
        <v>347</v>
      </c>
      <c r="E39" s="141">
        <f t="shared" si="4"/>
        <v>11.629465781888866</v>
      </c>
      <c r="F39" s="142">
        <v>1181</v>
      </c>
      <c r="G39" s="143">
        <v>63.2</v>
      </c>
      <c r="H39" s="143">
        <f t="shared" si="5"/>
        <v>5.351397121083828</v>
      </c>
      <c r="I39" s="144">
        <f>C39+F39-1181</f>
        <v>2983.8</v>
      </c>
      <c r="J39" s="145">
        <f>D39+G39</f>
        <v>410.2</v>
      </c>
      <c r="K39" s="146">
        <f t="shared" si="1"/>
        <v>13.747570212480728</v>
      </c>
    </row>
    <row r="40" spans="1:11" ht="41.25">
      <c r="A40" s="138" t="s">
        <v>145</v>
      </c>
      <c r="B40" s="156" t="s">
        <v>147</v>
      </c>
      <c r="C40" s="140">
        <f>10687.6+562.5</f>
        <v>11250.1</v>
      </c>
      <c r="D40" s="141"/>
      <c r="E40" s="141">
        <f t="shared" si="4"/>
        <v>0</v>
      </c>
      <c r="F40" s="142"/>
      <c r="G40" s="143"/>
      <c r="H40" s="143"/>
      <c r="I40" s="144">
        <f t="shared" si="0"/>
        <v>11250.1</v>
      </c>
      <c r="J40" s="145">
        <f t="shared" si="0"/>
        <v>0</v>
      </c>
      <c r="K40" s="146">
        <f t="shared" si="1"/>
        <v>0</v>
      </c>
    </row>
    <row r="41" spans="1:11" ht="82.5">
      <c r="A41" s="138" t="s">
        <v>145</v>
      </c>
      <c r="B41" s="156" t="s">
        <v>148</v>
      </c>
      <c r="C41" s="140">
        <f>1117+2392.8+490.2</f>
        <v>4000</v>
      </c>
      <c r="D41" s="143">
        <v>164.6</v>
      </c>
      <c r="E41" s="140">
        <f t="shared" si="4"/>
        <v>4.115</v>
      </c>
      <c r="F41" s="142">
        <v>0</v>
      </c>
      <c r="G41" s="143"/>
      <c r="H41" s="143">
        <v>0</v>
      </c>
      <c r="I41" s="144">
        <f t="shared" si="0"/>
        <v>4000</v>
      </c>
      <c r="J41" s="145">
        <f t="shared" si="0"/>
        <v>164.6</v>
      </c>
      <c r="K41" s="146">
        <f t="shared" si="1"/>
        <v>4.115</v>
      </c>
    </row>
    <row r="42" spans="1:11" ht="96">
      <c r="A42" s="148" t="s">
        <v>145</v>
      </c>
      <c r="B42" s="156" t="s">
        <v>149</v>
      </c>
      <c r="C42" s="140">
        <f>4319.9+637</f>
        <v>4956.9</v>
      </c>
      <c r="D42" s="143">
        <v>70</v>
      </c>
      <c r="E42" s="141">
        <f t="shared" si="4"/>
        <v>1.4121729306623092</v>
      </c>
      <c r="F42" s="142"/>
      <c r="G42" s="143"/>
      <c r="H42" s="143"/>
      <c r="I42" s="144">
        <f t="shared" si="0"/>
        <v>4956.9</v>
      </c>
      <c r="J42" s="145">
        <f t="shared" si="0"/>
        <v>70</v>
      </c>
      <c r="K42" s="146">
        <f t="shared" si="1"/>
        <v>1.4121729306623092</v>
      </c>
    </row>
    <row r="43" spans="1:11" ht="54.75">
      <c r="A43" s="148" t="s">
        <v>145</v>
      </c>
      <c r="B43" s="156" t="s">
        <v>150</v>
      </c>
      <c r="C43" s="140">
        <v>1651.2</v>
      </c>
      <c r="D43" s="143">
        <v>529.6</v>
      </c>
      <c r="E43" s="141">
        <f t="shared" si="4"/>
        <v>32.07364341085272</v>
      </c>
      <c r="F43" s="142">
        <v>0</v>
      </c>
      <c r="G43" s="143"/>
      <c r="H43" s="143">
        <v>0</v>
      </c>
      <c r="I43" s="144">
        <f t="shared" si="0"/>
        <v>1651.2</v>
      </c>
      <c r="J43" s="145">
        <f t="shared" si="0"/>
        <v>529.6</v>
      </c>
      <c r="K43" s="146">
        <f t="shared" si="1"/>
        <v>32.07364341085272</v>
      </c>
    </row>
    <row r="44" spans="1:11" ht="54.75">
      <c r="A44" s="148" t="s">
        <v>145</v>
      </c>
      <c r="B44" s="156" t="s">
        <v>151</v>
      </c>
      <c r="C44" s="140">
        <v>218.5</v>
      </c>
      <c r="D44" s="143"/>
      <c r="E44" s="141">
        <f>D44/C44*100</f>
        <v>0</v>
      </c>
      <c r="F44" s="142"/>
      <c r="G44" s="143"/>
      <c r="H44" s="143">
        <v>0</v>
      </c>
      <c r="I44" s="144">
        <f t="shared" si="0"/>
        <v>218.5</v>
      </c>
      <c r="J44" s="145">
        <f t="shared" si="0"/>
        <v>0</v>
      </c>
      <c r="K44" s="146">
        <f t="shared" si="1"/>
        <v>0</v>
      </c>
    </row>
    <row r="45" spans="1:11" ht="41.25">
      <c r="A45" s="148" t="s">
        <v>145</v>
      </c>
      <c r="B45" s="156" t="s">
        <v>152</v>
      </c>
      <c r="C45" s="140"/>
      <c r="D45" s="143"/>
      <c r="E45" s="141" t="e">
        <f t="shared" si="4"/>
        <v>#DIV/0!</v>
      </c>
      <c r="F45" s="142">
        <v>96</v>
      </c>
      <c r="G45" s="143"/>
      <c r="H45" s="143"/>
      <c r="I45" s="144">
        <f>C45+F45</f>
        <v>96</v>
      </c>
      <c r="J45" s="145">
        <f>D45+G45</f>
        <v>0</v>
      </c>
      <c r="K45" s="146"/>
    </row>
    <row r="46" spans="1:11" ht="13.5">
      <c r="A46" s="132" t="s">
        <v>153</v>
      </c>
      <c r="B46" s="133" t="s">
        <v>154</v>
      </c>
      <c r="C46" s="135">
        <f>SUM(C47:C70)</f>
        <v>383881.7999999999</v>
      </c>
      <c r="D46" s="135">
        <f>SUM(D47:D70)</f>
        <v>75567.8</v>
      </c>
      <c r="E46" s="135">
        <f t="shared" si="4"/>
        <v>19.685173925932418</v>
      </c>
      <c r="F46" s="157">
        <f>SUM(F47:F70)</f>
        <v>140656.7</v>
      </c>
      <c r="G46" s="157">
        <f>SUM(G47:G70)</f>
        <v>33022.3</v>
      </c>
      <c r="H46" s="157">
        <f>G46/F46*100</f>
        <v>23.47723215460053</v>
      </c>
      <c r="I46" s="135">
        <f>SUM(I47:I70)</f>
        <v>474394.69999999995</v>
      </c>
      <c r="J46" s="135">
        <f>SUM(J47:J70)</f>
        <v>106121.70000000001</v>
      </c>
      <c r="K46" s="137">
        <f t="shared" si="1"/>
        <v>22.369916864585548</v>
      </c>
    </row>
    <row r="47" spans="1:11" ht="69">
      <c r="A47" s="138" t="s">
        <v>155</v>
      </c>
      <c r="B47" s="139" t="s">
        <v>156</v>
      </c>
      <c r="C47" s="140">
        <f>43547+163523.1+8698</f>
        <v>215768.1</v>
      </c>
      <c r="D47" s="141">
        <v>36107.5</v>
      </c>
      <c r="E47" s="140">
        <f t="shared" si="4"/>
        <v>16.73440142449231</v>
      </c>
      <c r="F47" s="142">
        <v>0</v>
      </c>
      <c r="G47" s="143">
        <v>0</v>
      </c>
      <c r="H47" s="142">
        <v>0</v>
      </c>
      <c r="I47" s="144">
        <f t="shared" si="0"/>
        <v>215768.1</v>
      </c>
      <c r="J47" s="145">
        <f t="shared" si="0"/>
        <v>36107.5</v>
      </c>
      <c r="K47" s="146">
        <f t="shared" si="1"/>
        <v>16.73440142449231</v>
      </c>
    </row>
    <row r="48" spans="1:11" ht="54.75">
      <c r="A48" s="138" t="s">
        <v>155</v>
      </c>
      <c r="B48" s="139" t="s">
        <v>157</v>
      </c>
      <c r="C48" s="140">
        <v>1740</v>
      </c>
      <c r="D48" s="141">
        <v>705</v>
      </c>
      <c r="E48" s="140">
        <f t="shared" si="4"/>
        <v>40.51724137931034</v>
      </c>
      <c r="F48" s="142"/>
      <c r="G48" s="143"/>
      <c r="H48" s="142"/>
      <c r="I48" s="144">
        <f t="shared" si="0"/>
        <v>1740</v>
      </c>
      <c r="J48" s="145">
        <f t="shared" si="0"/>
        <v>705</v>
      </c>
      <c r="K48" s="146">
        <f t="shared" si="1"/>
        <v>40.51724137931034</v>
      </c>
    </row>
    <row r="49" spans="1:11" ht="54.75">
      <c r="A49" s="138" t="s">
        <v>155</v>
      </c>
      <c r="B49" s="139" t="s">
        <v>158</v>
      </c>
      <c r="C49" s="140">
        <v>0</v>
      </c>
      <c r="D49" s="141">
        <v>0</v>
      </c>
      <c r="E49" s="140" t="e">
        <f t="shared" si="4"/>
        <v>#DIV/0!</v>
      </c>
      <c r="F49" s="142"/>
      <c r="G49" s="143"/>
      <c r="H49" s="142"/>
      <c r="I49" s="144">
        <f t="shared" si="0"/>
        <v>0</v>
      </c>
      <c r="J49" s="145">
        <f t="shared" si="0"/>
        <v>0</v>
      </c>
      <c r="K49" s="146" t="e">
        <f t="shared" si="1"/>
        <v>#DIV/0!</v>
      </c>
    </row>
    <row r="50" spans="1:11" ht="41.25">
      <c r="A50" s="138" t="s">
        <v>155</v>
      </c>
      <c r="B50" s="139" t="s">
        <v>159</v>
      </c>
      <c r="C50" s="140">
        <v>410</v>
      </c>
      <c r="D50" s="141"/>
      <c r="E50" s="140">
        <f t="shared" si="4"/>
        <v>0</v>
      </c>
      <c r="F50" s="142"/>
      <c r="G50" s="143"/>
      <c r="H50" s="142"/>
      <c r="I50" s="144">
        <f t="shared" si="0"/>
        <v>410</v>
      </c>
      <c r="J50" s="145">
        <f t="shared" si="0"/>
        <v>0</v>
      </c>
      <c r="K50" s="146">
        <f t="shared" si="1"/>
        <v>0</v>
      </c>
    </row>
    <row r="51" spans="1:11" ht="54.75">
      <c r="A51" s="148" t="s">
        <v>155</v>
      </c>
      <c r="B51" s="139" t="s">
        <v>160</v>
      </c>
      <c r="C51" s="140">
        <v>599.9</v>
      </c>
      <c r="D51" s="141">
        <v>599.5</v>
      </c>
      <c r="E51" s="140">
        <f t="shared" si="4"/>
        <v>99.93332222037007</v>
      </c>
      <c r="F51" s="142">
        <v>25752.8</v>
      </c>
      <c r="G51" s="143">
        <v>1188.3</v>
      </c>
      <c r="H51" s="142">
        <f>G51/F51*100</f>
        <v>4.614255537261967</v>
      </c>
      <c r="I51" s="144">
        <f>C51+F51</f>
        <v>26352.7</v>
      </c>
      <c r="J51" s="145">
        <f t="shared" si="0"/>
        <v>1787.8</v>
      </c>
      <c r="K51" s="146">
        <f t="shared" si="1"/>
        <v>6.784124586854477</v>
      </c>
    </row>
    <row r="52" spans="1:11" ht="192.75">
      <c r="A52" s="138" t="s">
        <v>161</v>
      </c>
      <c r="B52" s="139" t="s">
        <v>162</v>
      </c>
      <c r="C52" s="140">
        <v>16335.4</v>
      </c>
      <c r="D52" s="141">
        <v>3716.1</v>
      </c>
      <c r="E52" s="140">
        <f t="shared" si="4"/>
        <v>22.748754239259522</v>
      </c>
      <c r="F52" s="142"/>
      <c r="G52" s="143"/>
      <c r="H52" s="142"/>
      <c r="I52" s="144">
        <f t="shared" si="0"/>
        <v>16335.4</v>
      </c>
      <c r="J52" s="145">
        <f t="shared" si="0"/>
        <v>3716.1</v>
      </c>
      <c r="K52" s="146">
        <f t="shared" si="1"/>
        <v>22.748754239259522</v>
      </c>
    </row>
    <row r="53" spans="1:11" ht="179.25">
      <c r="A53" s="138" t="s">
        <v>161</v>
      </c>
      <c r="B53" s="139" t="s">
        <v>163</v>
      </c>
      <c r="C53" s="140">
        <v>13792.8</v>
      </c>
      <c r="D53" s="141">
        <v>11613.4</v>
      </c>
      <c r="E53" s="140">
        <f t="shared" si="4"/>
        <v>84.19900237805233</v>
      </c>
      <c r="F53" s="142"/>
      <c r="G53" s="143"/>
      <c r="H53" s="142"/>
      <c r="I53" s="144">
        <f t="shared" si="0"/>
        <v>13792.8</v>
      </c>
      <c r="J53" s="145">
        <f t="shared" si="0"/>
        <v>11613.4</v>
      </c>
      <c r="K53" s="146">
        <f t="shared" si="1"/>
        <v>84.19900237805233</v>
      </c>
    </row>
    <row r="54" spans="1:11" ht="151.5">
      <c r="A54" s="148" t="s">
        <v>161</v>
      </c>
      <c r="B54" s="139" t="s">
        <v>164</v>
      </c>
      <c r="C54" s="140">
        <v>5190.3</v>
      </c>
      <c r="D54" s="141">
        <v>2693.2</v>
      </c>
      <c r="E54" s="140">
        <f t="shared" si="4"/>
        <v>51.88910082268847</v>
      </c>
      <c r="F54" s="142"/>
      <c r="G54" s="143"/>
      <c r="H54" s="142"/>
      <c r="I54" s="144">
        <f t="shared" si="0"/>
        <v>5190.3</v>
      </c>
      <c r="J54" s="145">
        <f t="shared" si="0"/>
        <v>2693.2</v>
      </c>
      <c r="K54" s="146">
        <f t="shared" si="1"/>
        <v>51.88910082268847</v>
      </c>
    </row>
    <row r="55" spans="1:11" ht="151.5">
      <c r="A55" s="148" t="s">
        <v>161</v>
      </c>
      <c r="B55" s="139" t="s">
        <v>165</v>
      </c>
      <c r="C55" s="140">
        <v>7785.4</v>
      </c>
      <c r="D55" s="141">
        <v>4039.8</v>
      </c>
      <c r="E55" s="140">
        <f t="shared" si="4"/>
        <v>51.8894340688982</v>
      </c>
      <c r="F55" s="142"/>
      <c r="G55" s="143"/>
      <c r="H55" s="142"/>
      <c r="I55" s="144">
        <f t="shared" si="0"/>
        <v>7785.4</v>
      </c>
      <c r="J55" s="145">
        <f t="shared" si="0"/>
        <v>4039.8</v>
      </c>
      <c r="K55" s="146">
        <f t="shared" si="1"/>
        <v>51.8894340688982</v>
      </c>
    </row>
    <row r="56" spans="1:11" ht="237">
      <c r="A56" s="138" t="s">
        <v>161</v>
      </c>
      <c r="B56" s="158" t="s">
        <v>166</v>
      </c>
      <c r="C56" s="140">
        <v>39708.3</v>
      </c>
      <c r="D56" s="141">
        <v>16068.3</v>
      </c>
      <c r="E56" s="140">
        <f>D56/C56*100</f>
        <v>40.465847190637724</v>
      </c>
      <c r="F56" s="142"/>
      <c r="G56" s="143"/>
      <c r="H56" s="142"/>
      <c r="I56" s="144">
        <f>C56+F56</f>
        <v>39708.3</v>
      </c>
      <c r="J56" s="145">
        <f>D56+G56</f>
        <v>16068.3</v>
      </c>
      <c r="K56" s="146">
        <f>J56/I56*100</f>
        <v>40.465847190637724</v>
      </c>
    </row>
    <row r="57" spans="1:11" ht="192.75">
      <c r="A57" s="148" t="s">
        <v>161</v>
      </c>
      <c r="B57" s="156" t="s">
        <v>167</v>
      </c>
      <c r="C57" s="140">
        <f>38363.5+3917.9+16908.2</f>
        <v>59189.600000000006</v>
      </c>
      <c r="D57" s="141"/>
      <c r="E57" s="140">
        <f t="shared" si="4"/>
        <v>0</v>
      </c>
      <c r="F57" s="142">
        <f>19527.2+852.1</f>
        <v>20379.3</v>
      </c>
      <c r="G57" s="143">
        <v>0</v>
      </c>
      <c r="H57" s="142">
        <f>G57/F57*100</f>
        <v>0</v>
      </c>
      <c r="I57" s="144">
        <f>C57+F57-19527.2</f>
        <v>60041.70000000001</v>
      </c>
      <c r="J57" s="145">
        <f>D57+G57</f>
        <v>0</v>
      </c>
      <c r="K57" s="146">
        <f t="shared" si="1"/>
        <v>0</v>
      </c>
    </row>
    <row r="58" spans="1:11" ht="41.25">
      <c r="A58" s="148" t="s">
        <v>161</v>
      </c>
      <c r="B58" s="156" t="s">
        <v>168</v>
      </c>
      <c r="C58" s="140">
        <v>200</v>
      </c>
      <c r="D58" s="141"/>
      <c r="E58" s="140">
        <f t="shared" si="4"/>
        <v>0</v>
      </c>
      <c r="F58" s="142"/>
      <c r="G58" s="143"/>
      <c r="H58" s="142" t="e">
        <f>G58/F58*100</f>
        <v>#DIV/0!</v>
      </c>
      <c r="I58" s="144">
        <f>C58+F58</f>
        <v>200</v>
      </c>
      <c r="J58" s="145">
        <f>D58+G58</f>
        <v>0</v>
      </c>
      <c r="K58" s="146">
        <f>J58/I58*100</f>
        <v>0</v>
      </c>
    </row>
    <row r="59" spans="1:11" ht="82.5">
      <c r="A59" s="148" t="s">
        <v>161</v>
      </c>
      <c r="B59" s="156" t="s">
        <v>169</v>
      </c>
      <c r="C59" s="140"/>
      <c r="D59" s="141"/>
      <c r="E59" s="140"/>
      <c r="F59" s="142">
        <v>6770</v>
      </c>
      <c r="G59" s="143">
        <v>6405.6</v>
      </c>
      <c r="H59" s="142">
        <f aca="true" t="shared" si="6" ref="H59:H69">G59/F59*100</f>
        <v>94.61742983751847</v>
      </c>
      <c r="I59" s="144">
        <f t="shared" si="0"/>
        <v>6770</v>
      </c>
      <c r="J59" s="145">
        <f t="shared" si="0"/>
        <v>6405.6</v>
      </c>
      <c r="K59" s="159">
        <f t="shared" si="1"/>
        <v>94.61742983751847</v>
      </c>
    </row>
    <row r="60" spans="1:11" ht="13.5">
      <c r="A60" s="148" t="s">
        <v>161</v>
      </c>
      <c r="B60" s="156" t="s">
        <v>170</v>
      </c>
      <c r="C60" s="140"/>
      <c r="D60" s="141"/>
      <c r="E60" s="140"/>
      <c r="F60" s="142">
        <v>4724.3</v>
      </c>
      <c r="G60" s="143">
        <v>2318.4</v>
      </c>
      <c r="H60" s="142">
        <f t="shared" si="6"/>
        <v>49.07393687953771</v>
      </c>
      <c r="I60" s="144">
        <f>C60+F60</f>
        <v>4724.3</v>
      </c>
      <c r="J60" s="145">
        <f t="shared" si="0"/>
        <v>2318.4</v>
      </c>
      <c r="K60" s="146">
        <f t="shared" si="1"/>
        <v>49.07393687953771</v>
      </c>
    </row>
    <row r="61" spans="1:11" ht="110.25">
      <c r="A61" s="148" t="s">
        <v>161</v>
      </c>
      <c r="B61" s="156" t="s">
        <v>171</v>
      </c>
      <c r="C61" s="140"/>
      <c r="D61" s="141"/>
      <c r="E61" s="140"/>
      <c r="F61" s="142">
        <v>12217</v>
      </c>
      <c r="G61" s="143">
        <v>2443.4</v>
      </c>
      <c r="H61" s="142">
        <f t="shared" si="6"/>
        <v>20</v>
      </c>
      <c r="I61" s="144">
        <f>C61+F61-12217</f>
        <v>0</v>
      </c>
      <c r="J61" s="145">
        <f>D61+G61-2443.4</f>
        <v>0</v>
      </c>
      <c r="K61" s="146" t="e">
        <f t="shared" si="1"/>
        <v>#DIV/0!</v>
      </c>
    </row>
    <row r="62" spans="1:11" ht="96">
      <c r="A62" s="148" t="s">
        <v>172</v>
      </c>
      <c r="B62" s="139" t="s">
        <v>173</v>
      </c>
      <c r="C62" s="141">
        <v>500</v>
      </c>
      <c r="D62" s="141">
        <v>25</v>
      </c>
      <c r="E62" s="140">
        <f t="shared" si="4"/>
        <v>5</v>
      </c>
      <c r="F62" s="140">
        <v>500</v>
      </c>
      <c r="G62" s="143">
        <v>25</v>
      </c>
      <c r="H62" s="142">
        <f t="shared" si="6"/>
        <v>5</v>
      </c>
      <c r="I62" s="144">
        <f>C62+F62-500</f>
        <v>500</v>
      </c>
      <c r="J62" s="145">
        <f>D62+G62-25</f>
        <v>25</v>
      </c>
      <c r="K62" s="146">
        <f t="shared" si="1"/>
        <v>5</v>
      </c>
    </row>
    <row r="63" spans="1:11" ht="54.75">
      <c r="A63" s="148" t="s">
        <v>172</v>
      </c>
      <c r="B63" s="139" t="s">
        <v>174</v>
      </c>
      <c r="C63" s="140">
        <v>100</v>
      </c>
      <c r="D63" s="141"/>
      <c r="E63" s="140">
        <f t="shared" si="4"/>
        <v>0</v>
      </c>
      <c r="F63" s="140">
        <v>100</v>
      </c>
      <c r="G63" s="143"/>
      <c r="H63" s="142">
        <f t="shared" si="6"/>
        <v>0</v>
      </c>
      <c r="I63" s="144">
        <f>C63+F63-100</f>
        <v>100</v>
      </c>
      <c r="J63" s="145">
        <f t="shared" si="0"/>
        <v>0</v>
      </c>
      <c r="K63" s="146">
        <f t="shared" si="1"/>
        <v>0</v>
      </c>
    </row>
    <row r="64" spans="1:11" ht="69">
      <c r="A64" s="148" t="s">
        <v>172</v>
      </c>
      <c r="B64" s="139" t="s">
        <v>175</v>
      </c>
      <c r="C64" s="140">
        <v>3157</v>
      </c>
      <c r="D64" s="141"/>
      <c r="E64" s="140">
        <f t="shared" si="4"/>
        <v>0</v>
      </c>
      <c r="F64" s="140"/>
      <c r="G64" s="143"/>
      <c r="H64" s="142"/>
      <c r="I64" s="144">
        <f>C64+F64</f>
        <v>3157</v>
      </c>
      <c r="J64" s="145">
        <f t="shared" si="0"/>
        <v>0</v>
      </c>
      <c r="K64" s="146">
        <f t="shared" si="1"/>
        <v>0</v>
      </c>
    </row>
    <row r="65" spans="1:11" ht="96">
      <c r="A65" s="148" t="s">
        <v>172</v>
      </c>
      <c r="B65" s="139" t="s">
        <v>176</v>
      </c>
      <c r="C65" s="140"/>
      <c r="D65" s="141"/>
      <c r="E65" s="140"/>
      <c r="F65" s="140">
        <f>300+3.1</f>
        <v>303.1</v>
      </c>
      <c r="G65" s="143"/>
      <c r="H65" s="142"/>
      <c r="I65" s="144">
        <f>C65+F65</f>
        <v>303.1</v>
      </c>
      <c r="J65" s="145">
        <f t="shared" si="0"/>
        <v>0</v>
      </c>
      <c r="K65" s="146">
        <f t="shared" si="1"/>
        <v>0</v>
      </c>
    </row>
    <row r="66" spans="1:11" ht="41.25">
      <c r="A66" s="148" t="s">
        <v>172</v>
      </c>
      <c r="B66" s="139" t="s">
        <v>177</v>
      </c>
      <c r="C66" s="140">
        <v>14636.6</v>
      </c>
      <c r="D66" s="141"/>
      <c r="E66" s="140">
        <f t="shared" si="4"/>
        <v>0</v>
      </c>
      <c r="F66" s="140">
        <v>14814.2</v>
      </c>
      <c r="G66" s="143"/>
      <c r="H66" s="142">
        <f t="shared" si="6"/>
        <v>0</v>
      </c>
      <c r="I66" s="144">
        <f>C66+F66-14636.7</f>
        <v>14814.100000000002</v>
      </c>
      <c r="J66" s="145">
        <f t="shared" si="0"/>
        <v>0</v>
      </c>
      <c r="K66" s="146">
        <f t="shared" si="1"/>
        <v>0</v>
      </c>
    </row>
    <row r="67" spans="1:11" ht="41.25">
      <c r="A67" s="148" t="s">
        <v>172</v>
      </c>
      <c r="B67" s="139" t="s">
        <v>178</v>
      </c>
      <c r="C67" s="140">
        <f>310.9+2798.4</f>
        <v>3109.3</v>
      </c>
      <c r="D67" s="141"/>
      <c r="E67" s="140">
        <f t="shared" si="4"/>
        <v>0</v>
      </c>
      <c r="F67" s="140">
        <f>2798.5+310.9</f>
        <v>3109.4</v>
      </c>
      <c r="G67" s="143"/>
      <c r="H67" s="142">
        <f t="shared" si="6"/>
        <v>0</v>
      </c>
      <c r="I67" s="144">
        <f>C67+F67-3109.3</f>
        <v>3109.4000000000005</v>
      </c>
      <c r="J67" s="145">
        <f t="shared" si="0"/>
        <v>0</v>
      </c>
      <c r="K67" s="146">
        <f t="shared" si="1"/>
        <v>0</v>
      </c>
    </row>
    <row r="68" spans="1:11" ht="54.75">
      <c r="A68" s="148" t="s">
        <v>172</v>
      </c>
      <c r="B68" s="160" t="s">
        <v>179</v>
      </c>
      <c r="C68" s="140">
        <v>1612.5</v>
      </c>
      <c r="D68" s="141"/>
      <c r="E68" s="140">
        <f t="shared" si="4"/>
        <v>0</v>
      </c>
      <c r="F68" s="140">
        <v>53.6</v>
      </c>
      <c r="G68" s="143">
        <v>8.8</v>
      </c>
      <c r="H68" s="142">
        <f t="shared" si="6"/>
        <v>16.417910447761194</v>
      </c>
      <c r="I68" s="144">
        <f>C68+F68-53.6</f>
        <v>1612.5</v>
      </c>
      <c r="J68" s="145">
        <f t="shared" si="0"/>
        <v>8.8</v>
      </c>
      <c r="K68" s="146">
        <f t="shared" si="1"/>
        <v>0.5457364341085272</v>
      </c>
    </row>
    <row r="69" spans="1:11" ht="27">
      <c r="A69" s="138" t="s">
        <v>172</v>
      </c>
      <c r="B69" s="139" t="s">
        <v>180</v>
      </c>
      <c r="C69" s="140"/>
      <c r="D69" s="141"/>
      <c r="E69" s="140"/>
      <c r="F69" s="140">
        <v>51933</v>
      </c>
      <c r="G69" s="143">
        <v>20632.8</v>
      </c>
      <c r="H69" s="142">
        <f t="shared" si="6"/>
        <v>39.72965166657039</v>
      </c>
      <c r="I69" s="144">
        <f>C69+F69</f>
        <v>51933</v>
      </c>
      <c r="J69" s="145">
        <f t="shared" si="0"/>
        <v>20632.8</v>
      </c>
      <c r="K69" s="146">
        <f t="shared" si="1"/>
        <v>39.72965166657039</v>
      </c>
    </row>
    <row r="70" spans="1:11" ht="27">
      <c r="A70" s="148" t="s">
        <v>181</v>
      </c>
      <c r="B70" s="139" t="s">
        <v>182</v>
      </c>
      <c r="C70" s="140">
        <v>46.6</v>
      </c>
      <c r="D70" s="141"/>
      <c r="E70" s="140">
        <f>D70/C70*100</f>
        <v>0</v>
      </c>
      <c r="F70" s="140">
        <v>0</v>
      </c>
      <c r="G70" s="143"/>
      <c r="H70" s="142">
        <v>0</v>
      </c>
      <c r="I70" s="144">
        <f>C70+F70</f>
        <v>46.6</v>
      </c>
      <c r="J70" s="145">
        <f t="shared" si="0"/>
        <v>0</v>
      </c>
      <c r="K70" s="161">
        <f t="shared" si="1"/>
        <v>0</v>
      </c>
    </row>
    <row r="71" spans="1:11" ht="13.5">
      <c r="A71" s="162" t="s">
        <v>183</v>
      </c>
      <c r="B71" s="163" t="s">
        <v>184</v>
      </c>
      <c r="C71" s="164">
        <f aca="true" t="shared" si="7" ref="C71:H71">C72</f>
        <v>116.4</v>
      </c>
      <c r="D71" s="157">
        <f t="shared" si="7"/>
        <v>0</v>
      </c>
      <c r="E71" s="149">
        <f t="shared" si="4"/>
        <v>0</v>
      </c>
      <c r="F71" s="157">
        <f t="shared" si="7"/>
        <v>1171.4</v>
      </c>
      <c r="G71" s="157">
        <f t="shared" si="7"/>
        <v>399.8</v>
      </c>
      <c r="H71" s="136">
        <f t="shared" si="7"/>
        <v>34.130100734164245</v>
      </c>
      <c r="I71" s="157">
        <f>I72</f>
        <v>1266.2000000000003</v>
      </c>
      <c r="J71" s="157">
        <f>J72</f>
        <v>399.8</v>
      </c>
      <c r="K71" s="165">
        <f t="shared" si="1"/>
        <v>31.574790712367708</v>
      </c>
    </row>
    <row r="72" spans="1:11" ht="27">
      <c r="A72" s="148" t="s">
        <v>185</v>
      </c>
      <c r="B72" s="166" t="s">
        <v>186</v>
      </c>
      <c r="C72" s="142">
        <v>116.4</v>
      </c>
      <c r="D72" s="143"/>
      <c r="E72" s="140">
        <f t="shared" si="4"/>
        <v>0</v>
      </c>
      <c r="F72" s="142">
        <v>1171.4</v>
      </c>
      <c r="G72" s="143">
        <v>399.8</v>
      </c>
      <c r="H72" s="142">
        <f>G72/F72*100</f>
        <v>34.130100734164245</v>
      </c>
      <c r="I72" s="144">
        <f>C72+F72-21.6</f>
        <v>1266.2000000000003</v>
      </c>
      <c r="J72" s="145">
        <f>D72+G72</f>
        <v>399.8</v>
      </c>
      <c r="K72" s="146">
        <f t="shared" si="1"/>
        <v>31.574790712367708</v>
      </c>
    </row>
    <row r="73" spans="1:11" ht="13.5">
      <c r="A73" s="132" t="s">
        <v>187</v>
      </c>
      <c r="B73" s="133" t="s">
        <v>188</v>
      </c>
      <c r="C73" s="134">
        <f>SUM(C74:C81)</f>
        <v>2201615.4</v>
      </c>
      <c r="D73" s="135">
        <f>SUM(D74:D81)</f>
        <v>809410.4999999999</v>
      </c>
      <c r="E73" s="135">
        <f>D73/C73*100</f>
        <v>36.76439127378923</v>
      </c>
      <c r="F73" s="157">
        <f>F74+F76+F77+F80+F81</f>
        <v>0</v>
      </c>
      <c r="G73" s="157">
        <f>SUM(G74:G81)</f>
        <v>0</v>
      </c>
      <c r="H73" s="136">
        <v>0</v>
      </c>
      <c r="I73" s="135">
        <f>SUM(I74:I81)</f>
        <v>2201615.4</v>
      </c>
      <c r="J73" s="135">
        <f>SUM(J74:J81)</f>
        <v>809410.4999999999</v>
      </c>
      <c r="K73" s="137">
        <f t="shared" si="1"/>
        <v>36.76439127378923</v>
      </c>
    </row>
    <row r="74" spans="1:11" ht="13.5">
      <c r="A74" s="138" t="s">
        <v>189</v>
      </c>
      <c r="B74" s="139" t="s">
        <v>190</v>
      </c>
      <c r="C74" s="140">
        <f>577720-C75</f>
        <v>509979.1</v>
      </c>
      <c r="D74" s="141">
        <v>220360.6</v>
      </c>
      <c r="E74" s="140">
        <f t="shared" si="4"/>
        <v>43.20973153605706</v>
      </c>
      <c r="F74" s="142">
        <v>0</v>
      </c>
      <c r="G74" s="143">
        <v>0</v>
      </c>
      <c r="H74" s="142">
        <v>0</v>
      </c>
      <c r="I74" s="144">
        <f t="shared" si="0"/>
        <v>509979.1</v>
      </c>
      <c r="J74" s="145">
        <f t="shared" si="0"/>
        <v>220360.6</v>
      </c>
      <c r="K74" s="146">
        <f t="shared" si="1"/>
        <v>43.20973153605706</v>
      </c>
    </row>
    <row r="75" spans="1:11" ht="138">
      <c r="A75" s="138" t="s">
        <v>189</v>
      </c>
      <c r="B75" s="139" t="s">
        <v>191</v>
      </c>
      <c r="C75" s="140">
        <f>66740.9+1000</f>
        <v>67740.9</v>
      </c>
      <c r="D75" s="141">
        <v>0</v>
      </c>
      <c r="E75" s="140">
        <f t="shared" si="4"/>
        <v>0</v>
      </c>
      <c r="F75" s="142"/>
      <c r="G75" s="143"/>
      <c r="H75" s="142"/>
      <c r="I75" s="144">
        <f t="shared" si="0"/>
        <v>67740.9</v>
      </c>
      <c r="J75" s="145">
        <f t="shared" si="0"/>
        <v>0</v>
      </c>
      <c r="K75" s="146">
        <f t="shared" si="1"/>
        <v>0</v>
      </c>
    </row>
    <row r="76" spans="1:11" ht="13.5">
      <c r="A76" s="138" t="s">
        <v>192</v>
      </c>
      <c r="B76" s="139" t="s">
        <v>193</v>
      </c>
      <c r="C76" s="140">
        <f>1379457.8-C77-C78</f>
        <v>1329370.5</v>
      </c>
      <c r="D76" s="141">
        <f>477420.9-D77-D78</f>
        <v>455054.80000000005</v>
      </c>
      <c r="E76" s="140">
        <f t="shared" si="4"/>
        <v>34.230848360182506</v>
      </c>
      <c r="F76" s="142">
        <v>0</v>
      </c>
      <c r="G76" s="143">
        <v>0</v>
      </c>
      <c r="H76" s="142">
        <v>0</v>
      </c>
      <c r="I76" s="144">
        <f t="shared" si="0"/>
        <v>1329370.5</v>
      </c>
      <c r="J76" s="145">
        <f t="shared" si="0"/>
        <v>455054.80000000005</v>
      </c>
      <c r="K76" s="146">
        <f t="shared" si="1"/>
        <v>34.230848360182506</v>
      </c>
    </row>
    <row r="77" spans="1:11" ht="13.5">
      <c r="A77" s="138" t="s">
        <v>192</v>
      </c>
      <c r="B77" s="139" t="s">
        <v>194</v>
      </c>
      <c r="C77" s="140">
        <v>36889.6</v>
      </c>
      <c r="D77" s="141">
        <v>9598.6</v>
      </c>
      <c r="E77" s="140">
        <f t="shared" si="4"/>
        <v>26.01979961832061</v>
      </c>
      <c r="F77" s="142">
        <v>0</v>
      </c>
      <c r="G77" s="143">
        <v>0</v>
      </c>
      <c r="H77" s="142">
        <v>0</v>
      </c>
      <c r="I77" s="144">
        <f t="shared" si="0"/>
        <v>36889.6</v>
      </c>
      <c r="J77" s="145">
        <f t="shared" si="0"/>
        <v>9598.6</v>
      </c>
      <c r="K77" s="146">
        <f t="shared" si="1"/>
        <v>26.01979961832061</v>
      </c>
    </row>
    <row r="78" spans="1:11" ht="138">
      <c r="A78" s="138" t="s">
        <v>192</v>
      </c>
      <c r="B78" s="139" t="s">
        <v>195</v>
      </c>
      <c r="C78" s="140">
        <f>5139.6+8058.1</f>
        <v>13197.7</v>
      </c>
      <c r="D78" s="141">
        <v>12767.5</v>
      </c>
      <c r="E78" s="140">
        <f t="shared" si="4"/>
        <v>96.74034112004364</v>
      </c>
      <c r="F78" s="142">
        <v>0</v>
      </c>
      <c r="G78" s="143">
        <v>0</v>
      </c>
      <c r="H78" s="142">
        <v>0</v>
      </c>
      <c r="I78" s="144">
        <f t="shared" si="0"/>
        <v>13197.7</v>
      </c>
      <c r="J78" s="145">
        <f t="shared" si="0"/>
        <v>12767.5</v>
      </c>
      <c r="K78" s="146">
        <f t="shared" si="1"/>
        <v>96.74034112004364</v>
      </c>
    </row>
    <row r="79" spans="1:11" ht="13.5">
      <c r="A79" s="138" t="s">
        <v>196</v>
      </c>
      <c r="B79" s="139" t="s">
        <v>197</v>
      </c>
      <c r="C79" s="140">
        <v>160439.1</v>
      </c>
      <c r="D79" s="141">
        <v>83564.7</v>
      </c>
      <c r="E79" s="140">
        <f t="shared" si="4"/>
        <v>52.08499673707967</v>
      </c>
      <c r="F79" s="142"/>
      <c r="G79" s="143"/>
      <c r="H79" s="142"/>
      <c r="I79" s="144">
        <f t="shared" si="0"/>
        <v>160439.1</v>
      </c>
      <c r="J79" s="145">
        <f t="shared" si="0"/>
        <v>83564.7</v>
      </c>
      <c r="K79" s="146">
        <f t="shared" si="1"/>
        <v>52.08499673707967</v>
      </c>
    </row>
    <row r="80" spans="1:11" ht="27">
      <c r="A80" s="138" t="s">
        <v>198</v>
      </c>
      <c r="B80" s="139" t="s">
        <v>199</v>
      </c>
      <c r="C80" s="140">
        <v>33498</v>
      </c>
      <c r="D80" s="141">
        <v>6564.6</v>
      </c>
      <c r="E80" s="140">
        <f t="shared" si="4"/>
        <v>19.596990865126276</v>
      </c>
      <c r="F80" s="142"/>
      <c r="G80" s="143"/>
      <c r="H80" s="142"/>
      <c r="I80" s="144">
        <f>C80+F80</f>
        <v>33498</v>
      </c>
      <c r="J80" s="145">
        <f>D80+G80</f>
        <v>6564.6</v>
      </c>
      <c r="K80" s="146">
        <f t="shared" si="1"/>
        <v>19.596990865126276</v>
      </c>
    </row>
    <row r="81" spans="1:11" ht="27">
      <c r="A81" s="138" t="s">
        <v>200</v>
      </c>
      <c r="B81" s="139" t="s">
        <v>201</v>
      </c>
      <c r="C81" s="140">
        <v>50500.5</v>
      </c>
      <c r="D81" s="141">
        <v>21499.7</v>
      </c>
      <c r="E81" s="140">
        <f t="shared" si="4"/>
        <v>42.57324184909061</v>
      </c>
      <c r="F81" s="142">
        <v>0</v>
      </c>
      <c r="G81" s="143"/>
      <c r="H81" s="142">
        <v>0</v>
      </c>
      <c r="I81" s="144">
        <f t="shared" si="0"/>
        <v>50500.5</v>
      </c>
      <c r="J81" s="145">
        <f>D81+G81</f>
        <v>21499.7</v>
      </c>
      <c r="K81" s="146">
        <f t="shared" si="1"/>
        <v>42.57324184909061</v>
      </c>
    </row>
    <row r="82" spans="1:11" ht="13.5">
      <c r="A82" s="132" t="s">
        <v>202</v>
      </c>
      <c r="B82" s="133" t="s">
        <v>203</v>
      </c>
      <c r="C82" s="134">
        <f>SUM(C83:C86)</f>
        <v>70991.9</v>
      </c>
      <c r="D82" s="135">
        <f>SUM(D83:D86)</f>
        <v>28556.5</v>
      </c>
      <c r="E82" s="135">
        <f>D82/C82*100</f>
        <v>40.22501158582881</v>
      </c>
      <c r="F82" s="157">
        <f>SUM(F83:F86)</f>
        <v>114063.3</v>
      </c>
      <c r="G82" s="157">
        <f>SUM(G83:G86)</f>
        <v>43232.700000000004</v>
      </c>
      <c r="H82" s="136">
        <f>G82/F82*100</f>
        <v>37.90237526005297</v>
      </c>
      <c r="I82" s="157">
        <f>SUM(I83:I86)</f>
        <v>182567.30000000002</v>
      </c>
      <c r="J82" s="157">
        <f>SUM(J83:J86)</f>
        <v>70701.40000000001</v>
      </c>
      <c r="K82" s="154">
        <f t="shared" si="1"/>
        <v>38.726212196817286</v>
      </c>
    </row>
    <row r="83" spans="1:11" ht="13.5">
      <c r="A83" s="138" t="s">
        <v>204</v>
      </c>
      <c r="B83" s="139" t="s">
        <v>205</v>
      </c>
      <c r="C83" s="140">
        <f>67493.5-C84</f>
        <v>66387.6</v>
      </c>
      <c r="D83" s="141">
        <f>27063.9-D84</f>
        <v>27063.9</v>
      </c>
      <c r="E83" s="140">
        <f t="shared" si="4"/>
        <v>40.76649856298465</v>
      </c>
      <c r="F83" s="142">
        <f>113703.3-F84</f>
        <v>113517</v>
      </c>
      <c r="G83" s="143">
        <f>43208.9-G84</f>
        <v>43208.9</v>
      </c>
      <c r="H83" s="142">
        <f>G83/F83*100</f>
        <v>38.063814230467685</v>
      </c>
      <c r="I83" s="144">
        <f>C83+F83-1783.8-520.1</f>
        <v>177600.7</v>
      </c>
      <c r="J83" s="145">
        <f>D83+G83-1087.8</f>
        <v>69185</v>
      </c>
      <c r="K83" s="146">
        <f t="shared" si="1"/>
        <v>38.9553644777301</v>
      </c>
    </row>
    <row r="84" spans="1:11" ht="27">
      <c r="A84" s="167" t="s">
        <v>204</v>
      </c>
      <c r="B84" s="168" t="s">
        <v>206</v>
      </c>
      <c r="C84" s="140">
        <f>940+165.9</f>
        <v>1105.9</v>
      </c>
      <c r="D84" s="141">
        <v>0</v>
      </c>
      <c r="E84" s="140">
        <f t="shared" si="4"/>
        <v>0</v>
      </c>
      <c r="F84" s="142">
        <f>184+2.3</f>
        <v>186.3</v>
      </c>
      <c r="G84" s="143">
        <v>0</v>
      </c>
      <c r="H84" s="142">
        <f>G84/F84*100</f>
        <v>0</v>
      </c>
      <c r="I84" s="144">
        <f>C84+F84-184</f>
        <v>1108.2</v>
      </c>
      <c r="J84" s="145">
        <f>D84+G84</f>
        <v>0</v>
      </c>
      <c r="K84" s="146">
        <f>J84/I84*100</f>
        <v>0</v>
      </c>
    </row>
    <row r="85" spans="1:11" ht="13.5">
      <c r="A85" s="138" t="s">
        <v>207</v>
      </c>
      <c r="B85" s="139" t="s">
        <v>208</v>
      </c>
      <c r="C85" s="140">
        <v>150</v>
      </c>
      <c r="D85" s="141"/>
      <c r="E85" s="140">
        <f t="shared" si="4"/>
        <v>0</v>
      </c>
      <c r="F85" s="142">
        <v>360</v>
      </c>
      <c r="G85" s="143">
        <v>23.8</v>
      </c>
      <c r="H85" s="142">
        <f>G85/F85*100</f>
        <v>6.611111111111111</v>
      </c>
      <c r="I85" s="144">
        <f aca="true" t="shared" si="8" ref="I85:J98">C85+F85</f>
        <v>510</v>
      </c>
      <c r="J85" s="145">
        <f>D85+G85</f>
        <v>23.8</v>
      </c>
      <c r="K85" s="146">
        <f aca="true" t="shared" si="9" ref="K85:K110">J85/I85*100</f>
        <v>4.666666666666667</v>
      </c>
    </row>
    <row r="86" spans="1:11" ht="27">
      <c r="A86" s="138" t="s">
        <v>209</v>
      </c>
      <c r="B86" s="139" t="s">
        <v>210</v>
      </c>
      <c r="C86" s="140">
        <v>3348.4</v>
      </c>
      <c r="D86" s="141">
        <v>1492.6</v>
      </c>
      <c r="E86" s="140">
        <f t="shared" si="4"/>
        <v>44.57651415601481</v>
      </c>
      <c r="F86" s="142"/>
      <c r="G86" s="143"/>
      <c r="H86" s="142"/>
      <c r="I86" s="144">
        <f>C86+F86</f>
        <v>3348.4</v>
      </c>
      <c r="J86" s="145">
        <f>D86+G86</f>
        <v>1492.6</v>
      </c>
      <c r="K86" s="146">
        <f t="shared" si="9"/>
        <v>44.57651415601481</v>
      </c>
    </row>
    <row r="87" spans="1:11" ht="13.5">
      <c r="A87" s="132" t="s">
        <v>211</v>
      </c>
      <c r="B87" s="133" t="s">
        <v>212</v>
      </c>
      <c r="C87" s="134">
        <f>SUM(C88:C89)</f>
        <v>20986.3</v>
      </c>
      <c r="D87" s="135">
        <f>SUM(D88:D89)</f>
        <v>18678.6</v>
      </c>
      <c r="E87" s="135">
        <f>SUM(E89:E89)</f>
        <v>0</v>
      </c>
      <c r="F87" s="157">
        <v>0</v>
      </c>
      <c r="G87" s="157">
        <v>0</v>
      </c>
      <c r="H87" s="136"/>
      <c r="I87" s="157">
        <f>C87+F87</f>
        <v>20986.3</v>
      </c>
      <c r="J87" s="157">
        <f t="shared" si="8"/>
        <v>18678.6</v>
      </c>
      <c r="K87" s="137">
        <f t="shared" si="9"/>
        <v>89.00377865559913</v>
      </c>
    </row>
    <row r="88" spans="1:11" ht="54.75">
      <c r="A88" s="148" t="s">
        <v>213</v>
      </c>
      <c r="B88" s="168" t="s">
        <v>214</v>
      </c>
      <c r="C88" s="141">
        <v>18678.6</v>
      </c>
      <c r="D88" s="141">
        <v>18678.6</v>
      </c>
      <c r="E88" s="140">
        <f t="shared" si="4"/>
        <v>100</v>
      </c>
      <c r="F88" s="145"/>
      <c r="G88" s="145"/>
      <c r="H88" s="143"/>
      <c r="I88" s="144">
        <f t="shared" si="8"/>
        <v>18678.6</v>
      </c>
      <c r="J88" s="145">
        <f t="shared" si="8"/>
        <v>18678.6</v>
      </c>
      <c r="K88" s="146">
        <f t="shared" si="9"/>
        <v>100</v>
      </c>
    </row>
    <row r="89" spans="1:11" ht="54.75">
      <c r="A89" s="148" t="s">
        <v>213</v>
      </c>
      <c r="B89" s="168" t="s">
        <v>215</v>
      </c>
      <c r="C89" s="140">
        <v>2307.7</v>
      </c>
      <c r="D89" s="143"/>
      <c r="E89" s="140">
        <f t="shared" si="4"/>
        <v>0</v>
      </c>
      <c r="F89" s="142"/>
      <c r="G89" s="143"/>
      <c r="H89" s="142"/>
      <c r="I89" s="144">
        <f t="shared" si="8"/>
        <v>2307.7</v>
      </c>
      <c r="J89" s="145">
        <f t="shared" si="8"/>
        <v>0</v>
      </c>
      <c r="K89" s="146">
        <f t="shared" si="9"/>
        <v>0</v>
      </c>
    </row>
    <row r="90" spans="1:11" ht="13.5">
      <c r="A90" s="132">
        <v>10</v>
      </c>
      <c r="B90" s="133" t="s">
        <v>216</v>
      </c>
      <c r="C90" s="134">
        <f>SUM(C91:C98)</f>
        <v>134159.5</v>
      </c>
      <c r="D90" s="135">
        <f>SUM(D91:D98)</f>
        <v>37446.6</v>
      </c>
      <c r="E90" s="135">
        <f>D90/C90*100</f>
        <v>27.912000268337312</v>
      </c>
      <c r="F90" s="135">
        <f>SUM(F91:F98)</f>
        <v>970.2</v>
      </c>
      <c r="G90" s="135">
        <f>SUM(G91:G98)</f>
        <v>353.8</v>
      </c>
      <c r="H90" s="136">
        <f>G90/F90*100</f>
        <v>36.46670789527932</v>
      </c>
      <c r="I90" s="135">
        <f>SUM(I91:I98)</f>
        <v>135129.7</v>
      </c>
      <c r="J90" s="135">
        <f>SUM(J91:J98)</f>
        <v>37800.399999999994</v>
      </c>
      <c r="K90" s="137">
        <f t="shared" si="9"/>
        <v>27.973421090996275</v>
      </c>
    </row>
    <row r="91" spans="1:11" ht="13.5">
      <c r="A91" s="148">
        <v>1001</v>
      </c>
      <c r="B91" s="139" t="s">
        <v>217</v>
      </c>
      <c r="C91" s="140">
        <v>4604.1</v>
      </c>
      <c r="D91" s="141">
        <v>1954.2</v>
      </c>
      <c r="E91" s="140">
        <f t="shared" si="4"/>
        <v>42.4447774809409</v>
      </c>
      <c r="F91" s="142">
        <v>890.2</v>
      </c>
      <c r="G91" s="143">
        <v>273.8</v>
      </c>
      <c r="H91" s="142">
        <f>G91/F91*100</f>
        <v>30.75713322848798</v>
      </c>
      <c r="I91" s="144">
        <f t="shared" si="8"/>
        <v>5494.3</v>
      </c>
      <c r="J91" s="145">
        <f t="shared" si="8"/>
        <v>2228</v>
      </c>
      <c r="K91" s="146">
        <f t="shared" si="9"/>
        <v>40.55111661176128</v>
      </c>
    </row>
    <row r="92" spans="1:11" ht="82.5">
      <c r="A92" s="148">
        <v>1003</v>
      </c>
      <c r="B92" s="139" t="s">
        <v>218</v>
      </c>
      <c r="C92" s="140">
        <v>2664.5</v>
      </c>
      <c r="D92" s="141">
        <v>1776.3</v>
      </c>
      <c r="E92" s="140">
        <f t="shared" si="4"/>
        <v>66.66541565021579</v>
      </c>
      <c r="F92" s="142">
        <v>0</v>
      </c>
      <c r="G92" s="143">
        <v>0</v>
      </c>
      <c r="H92" s="142">
        <v>0</v>
      </c>
      <c r="I92" s="144">
        <f t="shared" si="8"/>
        <v>2664.5</v>
      </c>
      <c r="J92" s="145">
        <f t="shared" si="8"/>
        <v>1776.3</v>
      </c>
      <c r="K92" s="146">
        <f t="shared" si="9"/>
        <v>66.66541565021579</v>
      </c>
    </row>
    <row r="93" spans="1:11" ht="69">
      <c r="A93" s="148" t="s">
        <v>219</v>
      </c>
      <c r="B93" s="139" t="s">
        <v>220</v>
      </c>
      <c r="C93" s="140">
        <v>1776.3</v>
      </c>
      <c r="D93" s="141">
        <v>888.2</v>
      </c>
      <c r="E93" s="140">
        <f t="shared" si="4"/>
        <v>50.00281483983562</v>
      </c>
      <c r="F93" s="142"/>
      <c r="G93" s="143"/>
      <c r="H93" s="142"/>
      <c r="I93" s="144">
        <f t="shared" si="8"/>
        <v>1776.3</v>
      </c>
      <c r="J93" s="145">
        <f t="shared" si="8"/>
        <v>888.2</v>
      </c>
      <c r="K93" s="146">
        <f t="shared" si="9"/>
        <v>50.00281483983562</v>
      </c>
    </row>
    <row r="94" spans="1:11" ht="96">
      <c r="A94" s="148">
        <v>1004</v>
      </c>
      <c r="B94" s="139" t="s">
        <v>221</v>
      </c>
      <c r="C94" s="140">
        <v>15640</v>
      </c>
      <c r="D94" s="141">
        <v>6264.2</v>
      </c>
      <c r="E94" s="140">
        <f t="shared" si="4"/>
        <v>40.05242966751918</v>
      </c>
      <c r="F94" s="142">
        <v>0</v>
      </c>
      <c r="G94" s="143">
        <v>0</v>
      </c>
      <c r="H94" s="142">
        <v>0</v>
      </c>
      <c r="I94" s="144">
        <f t="shared" si="8"/>
        <v>15640</v>
      </c>
      <c r="J94" s="145">
        <f t="shared" si="8"/>
        <v>6264.2</v>
      </c>
      <c r="K94" s="146">
        <f t="shared" si="9"/>
        <v>40.05242966751918</v>
      </c>
    </row>
    <row r="95" spans="1:11" ht="207">
      <c r="A95" s="148">
        <v>1004</v>
      </c>
      <c r="B95" s="139" t="s">
        <v>222</v>
      </c>
      <c r="C95" s="140">
        <v>73281.3</v>
      </c>
      <c r="D95" s="141">
        <v>20353</v>
      </c>
      <c r="E95" s="140">
        <f aca="true" t="shared" si="10" ref="E95:E109">D95/C95*100</f>
        <v>27.77379768099092</v>
      </c>
      <c r="F95" s="142">
        <v>0</v>
      </c>
      <c r="G95" s="143">
        <v>0</v>
      </c>
      <c r="H95" s="142">
        <v>0</v>
      </c>
      <c r="I95" s="144">
        <f t="shared" si="8"/>
        <v>73281.3</v>
      </c>
      <c r="J95" s="145">
        <f t="shared" si="8"/>
        <v>20353</v>
      </c>
      <c r="K95" s="146">
        <f t="shared" si="9"/>
        <v>27.77379768099092</v>
      </c>
    </row>
    <row r="96" spans="1:11" ht="192.75">
      <c r="A96" s="148" t="s">
        <v>223</v>
      </c>
      <c r="B96" s="139" t="s">
        <v>224</v>
      </c>
      <c r="C96" s="140">
        <v>15152.3</v>
      </c>
      <c r="D96" s="141">
        <v>1894</v>
      </c>
      <c r="E96" s="140">
        <f>D96/C96*100</f>
        <v>12.499752512819837</v>
      </c>
      <c r="F96" s="142">
        <v>0</v>
      </c>
      <c r="G96" s="143">
        <v>0</v>
      </c>
      <c r="H96" s="142">
        <v>0</v>
      </c>
      <c r="I96" s="144">
        <f t="shared" si="8"/>
        <v>15152.3</v>
      </c>
      <c r="J96" s="145">
        <f t="shared" si="8"/>
        <v>1894</v>
      </c>
      <c r="K96" s="146">
        <f>J96/I96*100</f>
        <v>12.499752512819837</v>
      </c>
    </row>
    <row r="97" spans="1:11" ht="27">
      <c r="A97" s="148" t="s">
        <v>223</v>
      </c>
      <c r="B97" s="139" t="s">
        <v>225</v>
      </c>
      <c r="C97" s="140">
        <v>1578.5</v>
      </c>
      <c r="D97" s="141"/>
      <c r="E97" s="140"/>
      <c r="F97" s="142"/>
      <c r="G97" s="143"/>
      <c r="H97" s="142"/>
      <c r="I97" s="144">
        <f t="shared" si="8"/>
        <v>1578.5</v>
      </c>
      <c r="J97" s="145">
        <f t="shared" si="8"/>
        <v>0</v>
      </c>
      <c r="K97" s="146">
        <f>J97/I97*100</f>
        <v>0</v>
      </c>
    </row>
    <row r="98" spans="1:11" ht="27">
      <c r="A98" s="148">
        <v>1006</v>
      </c>
      <c r="B98" s="139" t="s">
        <v>226</v>
      </c>
      <c r="C98" s="140">
        <v>19462.5</v>
      </c>
      <c r="D98" s="141">
        <v>4316.7</v>
      </c>
      <c r="E98" s="140">
        <f t="shared" si="10"/>
        <v>22.179576107899805</v>
      </c>
      <c r="F98" s="142">
        <v>80</v>
      </c>
      <c r="G98" s="143">
        <v>80</v>
      </c>
      <c r="H98" s="142">
        <f>G98/F98*100</f>
        <v>100</v>
      </c>
      <c r="I98" s="144">
        <f t="shared" si="8"/>
        <v>19542.5</v>
      </c>
      <c r="J98" s="145">
        <f t="shared" si="8"/>
        <v>4396.7</v>
      </c>
      <c r="K98" s="146">
        <f t="shared" si="9"/>
        <v>22.49814506844058</v>
      </c>
    </row>
    <row r="99" spans="1:11" ht="13.5">
      <c r="A99" s="162">
        <v>1100</v>
      </c>
      <c r="B99" s="133" t="s">
        <v>227</v>
      </c>
      <c r="C99" s="134">
        <f>SUM(C100:C101)</f>
        <v>118963.9</v>
      </c>
      <c r="D99" s="135">
        <f>SUM(D100:D101)</f>
        <v>48109</v>
      </c>
      <c r="E99" s="135">
        <f>D99/C99*100</f>
        <v>40.43999902491428</v>
      </c>
      <c r="F99" s="157">
        <f>F100+F101</f>
        <v>42988.3</v>
      </c>
      <c r="G99" s="157">
        <f>G100+G101</f>
        <v>14775</v>
      </c>
      <c r="H99" s="136">
        <f>G99/F99*100</f>
        <v>34.36981690366914</v>
      </c>
      <c r="I99" s="157">
        <f>SUM(I100:I101)</f>
        <v>161889.2</v>
      </c>
      <c r="J99" s="157">
        <f>SUM(J100:J101)</f>
        <v>62871.4</v>
      </c>
      <c r="K99" s="137">
        <f t="shared" si="9"/>
        <v>38.83606812560689</v>
      </c>
    </row>
    <row r="100" spans="1:11" ht="13.5">
      <c r="A100" s="148">
        <v>1101</v>
      </c>
      <c r="B100" s="139" t="s">
        <v>228</v>
      </c>
      <c r="C100" s="140">
        <v>118808.9</v>
      </c>
      <c r="D100" s="141">
        <v>48109</v>
      </c>
      <c r="E100" s="140">
        <f t="shared" si="10"/>
        <v>40.49275769744523</v>
      </c>
      <c r="F100" s="142">
        <v>42988.3</v>
      </c>
      <c r="G100" s="143">
        <v>14775</v>
      </c>
      <c r="H100" s="142">
        <f>G100/F100*100</f>
        <v>34.36981690366914</v>
      </c>
      <c r="I100" s="144">
        <f>C100+F100-63</f>
        <v>161734.2</v>
      </c>
      <c r="J100" s="145">
        <f>D100+G100-12.6</f>
        <v>62871.4</v>
      </c>
      <c r="K100" s="146">
        <f t="shared" si="9"/>
        <v>38.87328715880747</v>
      </c>
    </row>
    <row r="101" spans="1:11" ht="13.5">
      <c r="A101" s="148">
        <v>1102</v>
      </c>
      <c r="B101" s="139" t="s">
        <v>229</v>
      </c>
      <c r="C101" s="140">
        <v>155</v>
      </c>
      <c r="D101" s="141">
        <v>0</v>
      </c>
      <c r="E101" s="140">
        <f t="shared" si="10"/>
        <v>0</v>
      </c>
      <c r="F101" s="142"/>
      <c r="G101" s="143">
        <v>0</v>
      </c>
      <c r="H101" s="142"/>
      <c r="I101" s="144">
        <f>C101+F101</f>
        <v>155</v>
      </c>
      <c r="J101" s="145">
        <f>D101+G101</f>
        <v>0</v>
      </c>
      <c r="K101" s="146">
        <f t="shared" si="9"/>
        <v>0</v>
      </c>
    </row>
    <row r="102" spans="1:11" ht="13.5">
      <c r="A102" s="162">
        <v>1200</v>
      </c>
      <c r="B102" s="133" t="s">
        <v>230</v>
      </c>
      <c r="C102" s="134">
        <f>SUM(C103:C103)</f>
        <v>6625</v>
      </c>
      <c r="D102" s="135">
        <f>SUM(D103:D103)</f>
        <v>2669.4</v>
      </c>
      <c r="E102" s="149">
        <f>D102/C102*100</f>
        <v>40.29283018867925</v>
      </c>
      <c r="F102" s="135"/>
      <c r="G102" s="135"/>
      <c r="H102" s="136"/>
      <c r="I102" s="135">
        <f aca="true" t="shared" si="11" ref="I102:J105">C102+F102</f>
        <v>6625</v>
      </c>
      <c r="J102" s="135">
        <f t="shared" si="11"/>
        <v>2669.4</v>
      </c>
      <c r="K102" s="169">
        <f t="shared" si="9"/>
        <v>40.29283018867925</v>
      </c>
    </row>
    <row r="103" spans="1:11" ht="13.5">
      <c r="A103" s="148" t="s">
        <v>231</v>
      </c>
      <c r="B103" s="139" t="s">
        <v>232</v>
      </c>
      <c r="C103" s="140">
        <v>6625</v>
      </c>
      <c r="D103" s="141">
        <v>2669.4</v>
      </c>
      <c r="E103" s="140">
        <f>D103/C103*100</f>
        <v>40.29283018867925</v>
      </c>
      <c r="F103" s="142"/>
      <c r="G103" s="143"/>
      <c r="H103" s="142"/>
      <c r="I103" s="144">
        <f t="shared" si="11"/>
        <v>6625</v>
      </c>
      <c r="J103" s="145">
        <f t="shared" si="11"/>
        <v>2669.4</v>
      </c>
      <c r="K103" s="146">
        <f>J103/I103*100</f>
        <v>40.29283018867925</v>
      </c>
    </row>
    <row r="104" spans="1:11" ht="27">
      <c r="A104" s="162">
        <v>1300</v>
      </c>
      <c r="B104" s="133" t="s">
        <v>233</v>
      </c>
      <c r="C104" s="134">
        <f aca="true" t="shared" si="12" ref="C104:H104">C105</f>
        <v>24</v>
      </c>
      <c r="D104" s="135">
        <f t="shared" si="12"/>
        <v>4.8</v>
      </c>
      <c r="E104" s="135">
        <f t="shared" si="12"/>
        <v>20</v>
      </c>
      <c r="F104" s="135">
        <f t="shared" si="12"/>
        <v>0</v>
      </c>
      <c r="G104" s="135">
        <f t="shared" si="12"/>
        <v>0</v>
      </c>
      <c r="H104" s="149">
        <f t="shared" si="12"/>
        <v>0</v>
      </c>
      <c r="I104" s="135">
        <f t="shared" si="11"/>
        <v>24</v>
      </c>
      <c r="J104" s="135">
        <f t="shared" si="11"/>
        <v>4.8</v>
      </c>
      <c r="K104" s="169">
        <f t="shared" si="9"/>
        <v>20</v>
      </c>
    </row>
    <row r="105" spans="1:11" ht="41.25">
      <c r="A105" s="148">
        <v>1301</v>
      </c>
      <c r="B105" s="139" t="s">
        <v>234</v>
      </c>
      <c r="C105" s="140">
        <v>24</v>
      </c>
      <c r="D105" s="141">
        <v>4.8</v>
      </c>
      <c r="E105" s="140">
        <f t="shared" si="10"/>
        <v>20</v>
      </c>
      <c r="F105" s="142"/>
      <c r="G105" s="143">
        <v>0</v>
      </c>
      <c r="H105" s="142">
        <v>0</v>
      </c>
      <c r="I105" s="144">
        <f t="shared" si="11"/>
        <v>24</v>
      </c>
      <c r="J105" s="145">
        <f t="shared" si="11"/>
        <v>4.8</v>
      </c>
      <c r="K105" s="146">
        <f t="shared" si="9"/>
        <v>20</v>
      </c>
    </row>
    <row r="106" spans="1:11" ht="13.5">
      <c r="A106" s="162">
        <v>1400</v>
      </c>
      <c r="B106" s="133" t="s">
        <v>235</v>
      </c>
      <c r="C106" s="134">
        <f>SUM(C107:C109)</f>
        <v>296052.8</v>
      </c>
      <c r="D106" s="135">
        <f>SUM(D107:D109)</f>
        <v>117306</v>
      </c>
      <c r="E106" s="135">
        <f>D106/C106*100</f>
        <v>39.623337458723576</v>
      </c>
      <c r="F106" s="157">
        <f>F107+F108+F109</f>
        <v>0</v>
      </c>
      <c r="G106" s="157">
        <f>SUM(G107:G109)</f>
        <v>0</v>
      </c>
      <c r="H106" s="157"/>
      <c r="I106" s="157">
        <v>0</v>
      </c>
      <c r="J106" s="157">
        <v>0</v>
      </c>
      <c r="K106" s="137">
        <v>0</v>
      </c>
    </row>
    <row r="107" spans="1:11" ht="54.75">
      <c r="A107" s="148">
        <v>1401</v>
      </c>
      <c r="B107" s="139" t="s">
        <v>236</v>
      </c>
      <c r="C107" s="140">
        <v>128204.8</v>
      </c>
      <c r="D107" s="141">
        <v>51281.8</v>
      </c>
      <c r="E107" s="140">
        <f t="shared" si="10"/>
        <v>39.999906399760384</v>
      </c>
      <c r="F107" s="142">
        <v>0</v>
      </c>
      <c r="G107" s="143">
        <v>0</v>
      </c>
      <c r="H107" s="142">
        <v>0</v>
      </c>
      <c r="I107" s="144">
        <f>C107+F107-128204.8</f>
        <v>0</v>
      </c>
      <c r="J107" s="145">
        <v>0</v>
      </c>
      <c r="K107" s="146">
        <v>0</v>
      </c>
    </row>
    <row r="108" spans="1:11" ht="13.5">
      <c r="A108" s="148">
        <v>1402</v>
      </c>
      <c r="B108" s="139" t="s">
        <v>237</v>
      </c>
      <c r="C108" s="140">
        <v>161048</v>
      </c>
      <c r="D108" s="141">
        <v>66024.2</v>
      </c>
      <c r="E108" s="140">
        <f t="shared" si="10"/>
        <v>40.996597287765134</v>
      </c>
      <c r="F108" s="142">
        <v>0</v>
      </c>
      <c r="G108" s="143">
        <v>0</v>
      </c>
      <c r="H108" s="142">
        <v>0</v>
      </c>
      <c r="I108" s="144">
        <f>C108+F108-161048</f>
        <v>0</v>
      </c>
      <c r="J108" s="145">
        <v>0</v>
      </c>
      <c r="K108" s="146">
        <v>0</v>
      </c>
    </row>
    <row r="109" spans="1:11" ht="13.5">
      <c r="A109" s="148">
        <v>1403</v>
      </c>
      <c r="B109" s="139" t="s">
        <v>238</v>
      </c>
      <c r="C109" s="140">
        <v>6800</v>
      </c>
      <c r="D109" s="141">
        <v>0</v>
      </c>
      <c r="E109" s="140">
        <f t="shared" si="10"/>
        <v>0</v>
      </c>
      <c r="F109" s="142">
        <v>0</v>
      </c>
      <c r="G109" s="143">
        <v>0</v>
      </c>
      <c r="H109" s="142">
        <v>0</v>
      </c>
      <c r="I109" s="144">
        <f>C109+F109-6800</f>
        <v>0</v>
      </c>
      <c r="J109" s="145">
        <v>0</v>
      </c>
      <c r="K109" s="146">
        <v>0</v>
      </c>
    </row>
    <row r="110" spans="1:11" ht="14.25" thickBot="1">
      <c r="A110" s="170" t="s">
        <v>239</v>
      </c>
      <c r="B110" s="171"/>
      <c r="C110" s="172">
        <f>C9+C18+C20+C25+C46+C71+C73+C82+C87+C90+C99+C102+C104+C106</f>
        <v>3817903.1999999993</v>
      </c>
      <c r="D110" s="172">
        <f>D106+D104+D102+D99+D90+D87+D82+D73+D71+D46+D25+D20+D18+D9</f>
        <v>1326650.4</v>
      </c>
      <c r="E110" s="172">
        <f>D110/C110*100</f>
        <v>34.74814133579919</v>
      </c>
      <c r="F110" s="172">
        <f>F9+F18+F20+F25+F46+F71+F73+F82+F87+F90+F99+F102+F104+F106</f>
        <v>603871.1</v>
      </c>
      <c r="G110" s="172">
        <f>G106+G104+G102+G90+G87+G82+G73+G46+G25+G21+G18+G9+G20+G99+G71</f>
        <v>207964.60000000003</v>
      </c>
      <c r="H110" s="173">
        <f>G110/F110*100</f>
        <v>34.438574722320716</v>
      </c>
      <c r="I110" s="172">
        <f>I106+I104+I102+I99+I90+I87+I82+I73+I71+I46+I25+I20+I18+I9</f>
        <v>4039792.9999999995</v>
      </c>
      <c r="J110" s="172">
        <f>J106+J104+J102+J99+J90+J87+J82+J73+J71+J46+J25+J20+J18+J9</f>
        <v>1409436.0999999996</v>
      </c>
      <c r="K110" s="174">
        <f t="shared" si="9"/>
        <v>34.88881979844016</v>
      </c>
    </row>
    <row r="111" spans="1:11" ht="12.75">
      <c r="A111" s="175"/>
      <c r="B111" s="176"/>
      <c r="C111" s="177"/>
      <c r="D111" s="104"/>
      <c r="E111" s="178"/>
      <c r="F111" s="106"/>
      <c r="G111" s="107"/>
      <c r="H111" s="108"/>
      <c r="I111" s="110"/>
      <c r="J111" s="110"/>
      <c r="K111" s="111"/>
    </row>
    <row r="112" spans="1:11" ht="12.75">
      <c r="A112" s="179"/>
      <c r="B112" s="180"/>
      <c r="C112" s="181"/>
      <c r="D112" s="182"/>
      <c r="E112" s="181"/>
      <c r="F112" s="181"/>
      <c r="G112" s="182"/>
      <c r="H112" s="181"/>
      <c r="I112" s="181"/>
      <c r="J112" s="182"/>
      <c r="K112" s="181"/>
    </row>
    <row r="113" spans="1:11" ht="12.75">
      <c r="A113" s="179"/>
      <c r="B113" s="180"/>
      <c r="C113" s="181"/>
      <c r="D113" s="183"/>
      <c r="E113" s="178"/>
      <c r="F113" s="106"/>
      <c r="G113" s="107"/>
      <c r="H113" s="108"/>
      <c r="I113" s="109"/>
      <c r="J113" s="110"/>
      <c r="K113" s="111"/>
    </row>
    <row r="114" spans="1:11" ht="12.75">
      <c r="A114" s="184" t="s">
        <v>240</v>
      </c>
      <c r="B114" s="184"/>
      <c r="C114" s="184"/>
      <c r="D114" s="185"/>
      <c r="E114" s="186"/>
      <c r="F114" s="186"/>
      <c r="G114" s="107"/>
      <c r="H114" s="108"/>
      <c r="I114" s="111"/>
      <c r="J114" s="110"/>
      <c r="K114" s="111"/>
    </row>
    <row r="115" spans="1:11" ht="12.75">
      <c r="A115" s="184" t="s">
        <v>241</v>
      </c>
      <c r="B115" s="184"/>
      <c r="C115" s="184"/>
      <c r="D115" s="187"/>
      <c r="E115" s="188" t="s">
        <v>242</v>
      </c>
      <c r="F115" s="188"/>
      <c r="G115" s="107"/>
      <c r="H115" s="108"/>
      <c r="I115" s="109"/>
      <c r="J115" s="110"/>
      <c r="K115" s="111"/>
    </row>
    <row r="116" spans="1:11" ht="12.75">
      <c r="A116" s="189"/>
      <c r="B116" s="190"/>
      <c r="C116" s="191"/>
      <c r="D116" s="192"/>
      <c r="E116" s="193"/>
      <c r="F116" s="194"/>
      <c r="G116" s="107"/>
      <c r="H116" s="108"/>
      <c r="I116" s="109"/>
      <c r="J116" s="110"/>
      <c r="K116" s="111"/>
    </row>
    <row r="117" spans="1:11" ht="12.75">
      <c r="A117" s="184" t="s">
        <v>243</v>
      </c>
      <c r="B117" s="184"/>
      <c r="C117" s="184"/>
      <c r="D117" s="195"/>
      <c r="E117" s="188" t="s">
        <v>244</v>
      </c>
      <c r="F117" s="188"/>
      <c r="G117" s="107"/>
      <c r="H117" s="108"/>
      <c r="I117" s="109"/>
      <c r="J117" s="110"/>
      <c r="K117" s="111"/>
    </row>
    <row r="118" spans="1:11" ht="12.75">
      <c r="A118" s="189"/>
      <c r="B118" s="196"/>
      <c r="C118" s="197"/>
      <c r="D118" s="198"/>
      <c r="E118" s="193"/>
      <c r="F118" s="194"/>
      <c r="G118" s="107"/>
      <c r="H118" s="108"/>
      <c r="I118" s="109"/>
      <c r="J118" s="110"/>
      <c r="K118" s="111"/>
    </row>
    <row r="119" spans="1:11" ht="12.75">
      <c r="A119" s="184" t="s">
        <v>245</v>
      </c>
      <c r="B119" s="184"/>
      <c r="C119" s="184"/>
      <c r="D119" s="195"/>
      <c r="E119" s="199" t="s">
        <v>246</v>
      </c>
      <c r="F119" s="199"/>
      <c r="G119" s="107"/>
      <c r="H119" s="108"/>
      <c r="I119" s="109"/>
      <c r="J119" s="110"/>
      <c r="K119" s="111"/>
    </row>
    <row r="120" spans="1:11" ht="12.75">
      <c r="A120" s="200"/>
      <c r="B120" s="201"/>
      <c r="C120" s="202"/>
      <c r="D120" s="185"/>
      <c r="E120" s="203"/>
      <c r="F120" s="186"/>
      <c r="G120" s="107"/>
      <c r="H120" s="108"/>
      <c r="I120" s="111"/>
      <c r="J120" s="110"/>
      <c r="K120" s="111"/>
    </row>
    <row r="121" spans="1:10" ht="12.75">
      <c r="A121" s="204"/>
      <c r="B121" s="204"/>
      <c r="C121" s="205" t="s">
        <v>247</v>
      </c>
      <c r="D121" s="206"/>
      <c r="E121" s="207" t="s">
        <v>248</v>
      </c>
      <c r="F121" s="204"/>
      <c r="G121" s="208"/>
      <c r="J121" s="208"/>
    </row>
  </sheetData>
  <sheetProtection/>
  <mergeCells count="35">
    <mergeCell ref="A114:C114"/>
    <mergeCell ref="A115:C115"/>
    <mergeCell ref="E115:F115"/>
    <mergeCell ref="A117:C117"/>
    <mergeCell ref="E117:F117"/>
    <mergeCell ref="A119:C119"/>
    <mergeCell ref="E119:F119"/>
    <mergeCell ref="G20:G21"/>
    <mergeCell ref="H20:H21"/>
    <mergeCell ref="I20:I21"/>
    <mergeCell ref="J20:J21"/>
    <mergeCell ref="K20:K21"/>
    <mergeCell ref="A110:B110"/>
    <mergeCell ref="A20:A21"/>
    <mergeCell ref="B20:B21"/>
    <mergeCell ref="C20:C21"/>
    <mergeCell ref="D20:D21"/>
    <mergeCell ref="E20:E21"/>
    <mergeCell ref="F20:F21"/>
    <mergeCell ref="G4:G5"/>
    <mergeCell ref="H4:H5"/>
    <mergeCell ref="I4:I5"/>
    <mergeCell ref="J4:J5"/>
    <mergeCell ref="K4:K5"/>
    <mergeCell ref="B6:K8"/>
    <mergeCell ref="A1:K1"/>
    <mergeCell ref="A3:A8"/>
    <mergeCell ref="B3:B5"/>
    <mergeCell ref="C3:E3"/>
    <mergeCell ref="F3:H3"/>
    <mergeCell ref="I3:K3"/>
    <mergeCell ref="C4:C5"/>
    <mergeCell ref="D4:D5"/>
    <mergeCell ref="E4:E5"/>
    <mergeCell ref="F4:F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finkom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</dc:creator>
  <cp:keywords/>
  <dc:description/>
  <cp:lastModifiedBy>Заворотынская</cp:lastModifiedBy>
  <cp:lastPrinted>2019-06-05T11:13:28Z</cp:lastPrinted>
  <dcterms:created xsi:type="dcterms:W3CDTF">2006-05-12T06:58:42Z</dcterms:created>
  <dcterms:modified xsi:type="dcterms:W3CDTF">2019-06-26T07:45:48Z</dcterms:modified>
  <cp:category/>
  <cp:version/>
  <cp:contentType/>
  <cp:contentStatus/>
</cp:coreProperties>
</file>