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<sst xmlns="http://schemas.openxmlformats.org/spreadsheetml/2006/main" count="625" uniqueCount="243">
  <si>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</si>
  <si>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</si>
  <si>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</si>
  <si>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</si>
  <si>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</si>
  <si>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</si>
  <si>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</si>
  <si>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</si>
  <si>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</si>
  <si>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</si>
  <si>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</si>
  <si>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</si>
  <si>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</si>
  <si>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</si>
  <si>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</si>
  <si>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</si>
  <si>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</si>
  <si>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</si>
  <si>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</si>
  <si>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</si>
  <si>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</si>
  <si>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</si>
  <si>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</si>
  <si>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</si>
  <si>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</si>
  <si>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</si>
  <si>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</si>
  <si>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</si>
  <si>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</si>
  <si>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</si>
  <si>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</si>
  <si>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</si>
  <si>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</si>
  <si>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</si>
  <si>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</si>
  <si>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</si>
  <si>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</si>
  <si>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</si>
  <si>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</si>
  <si>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</si>
  <si>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</si>
  <si>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</si>
  <si>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</si>
  <si>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</si>
  <si>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</si>
  <si>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</si>
  <si>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</si>
  <si>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</si>
  <si>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</si>
  <si>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</si>
  <si>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</si>
  <si>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</si>
  <si>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</si>
  <si>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</si>
  <si>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</si>
  <si>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</si>
  <si>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</si>
  <si>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</si>
  <si>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</si>
  <si>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</si>
  <si>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</si>
  <si>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</si>
  <si>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</si>
  <si>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</si>
  <si>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</si>
  <si>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</si>
  <si>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</si>
  <si>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</si>
  <si>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</si>
  <si>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</si>
  <si>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</si>
  <si>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</si>
  <si>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</si>
  <si>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</si>
  <si>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</si>
  <si>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</si>
  <si>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</si>
  <si>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</si>
  <si>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</si>
  <si>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</si>
  <si>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</si>
  <si>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>План                 на 1 квартал 2018 года</t>
  </si>
  <si>
    <t xml:space="preserve">% исп-ия к плану на 1 квартал 2018 года </t>
  </si>
  <si>
    <t xml:space="preserve">% исп-ия к плану на 2018 год </t>
  </si>
  <si>
    <t>План на 2018 год</t>
  </si>
  <si>
    <t>Исполнение на 01.04.2018</t>
  </si>
  <si>
    <t>Отчет об исполнении консолидированного бюджета Октябрьского района по состоянию на 01.04.2018</t>
  </si>
  <si>
    <t>Отчет  об  исполнении  консолидированного  бюджета  района  по  расходам на 1 апреля 2018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</si>
  <si>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</si>
  <si>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</si>
  <si>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</si>
  <si>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</si>
  <si>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</si>
  <si>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</si>
  <si>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01.04.2018</t>
  </si>
  <si>
    <t>% исполнения</t>
  </si>
  <si>
    <t>исполнения на 01.04.2018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</si>
  <si>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</si>
  <si>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</si>
  <si>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</si>
  <si>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</si>
  <si>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</si>
  <si>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</si>
  <si>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</si>
  <si>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</si>
  <si>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</si>
  <si>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</si>
  <si>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</si>
  <si>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</si>
  <si>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</si>
  <si>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</si>
  <si>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</si>
  <si>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</si>
  <si>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</si>
  <si>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</si>
  <si>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</si>
  <si>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</si>
  <si>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</si>
  <si>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</si>
  <si>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</si>
  <si>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</si>
  <si>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</si>
  <si>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</si>
  <si>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</si>
  <si>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</si>
  <si>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</si>
  <si>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</si>
  <si>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</si>
  <si>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</si>
  <si>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</si>
  <si>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</si>
  <si>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</si>
  <si>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</si>
  <si>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</si>
  <si>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</si>
  <si>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</si>
  <si>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</si>
  <si>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</si>
  <si>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</si>
  <si>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 на 2014-2016  годы" (11101S2390)</t>
  </si>
  <si>
    <t>Муниципальная  программа" Развитие транспортной  системы муниципального  образования Октябрьский  район на 2014-2016  годы"  (1110182390) окружные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</si>
  <si>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(1500299990)</t>
  </si>
  <si>
    <t>Содержание автомобильных дорог общего пользования (1110199990) т.с.01.03.01 (дорожный фонд)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</si>
  <si>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</si>
  <si>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</si>
  <si>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</si>
  <si>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</si>
  <si>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 на 2014 – 2020 годы" земля (1800299990)</t>
  </si>
  <si>
    <t>Градостроительная деятельность (0910299990)</t>
  </si>
  <si>
    <t>Реализация мероприятий муниципальной программы "Поддержка малого и среднего предпринимательства в Октябрьском районе на 2014-2020 годы" (0800299990, 0800199990) местный бюджет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</si>
  <si>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(1700182370, 17001S2370)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</si>
  <si>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(0800282380, 0800182380) окружной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</si>
  <si>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</si>
  <si>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</si>
  <si>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</si>
  <si>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</si>
  <si>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</si>
  <si>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</si>
  <si>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(0910182172, 09101S2172) 01.40.36 и 01.02.00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</si>
  <si>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</si>
  <si>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Капитальный ремонт жилого фонда (40600S2420,  40600S2430, 4060099990) средства поселений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</si>
  <si>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</si>
  <si>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водоотведение, услуги бани)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</si>
  <si>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</si>
  <si>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</si>
  <si>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</si>
  <si>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</si>
  <si>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(1010182590) ОЗП доля поселения 10101S2590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</si>
  <si>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</si>
  <si>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</si>
  <si>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</si>
  <si>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(150019990)</t>
  </si>
  <si>
    <t>Иные межбюджетные трансферты на финансирование наказов избирателей депутатам Думы ХМАО-Югры  (4120085160)</t>
  </si>
  <si>
    <t xml:space="preserve">"Улучшение экологической ситуации на территории Октябрьского района" 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</si>
  <si>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</si>
  <si>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(10601R555F)</t>
  </si>
  <si>
    <t>Внешнее благоустройство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</si>
  <si>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</si>
  <si>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</si>
  <si>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</si>
  <si>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</si>
  <si>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</si>
  <si>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</si>
  <si>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</si>
  <si>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</si>
  <si>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</si>
  <si>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</si>
  <si>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(0140482030, 01404S2030) 01.40.18 и местн.</t>
  </si>
  <si>
    <t>0702</t>
  </si>
  <si>
    <t>Общее образование</t>
  </si>
  <si>
    <t>Бесплатное питание (0140284030, 0140282460)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</si>
  <si>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(0140482030) 01.40.18 и местн.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</si>
  <si>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</si>
  <si>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</si>
  <si>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</si>
  <si>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</si>
  <si>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</si>
  <si>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</si>
  <si>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</si>
  <si>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</si>
  <si>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</si>
  <si>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</si>
  <si>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</si>
  <si>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</si>
  <si>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</si>
  <si>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</si>
  <si>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</si>
  <si>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</si>
  <si>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</si>
  <si>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</si>
  <si>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(1800582010)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</si>
  <si>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</si>
  <si>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</si>
  <si>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</si>
  <si>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</si>
  <si>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(09201R4970 о/б, 0920154970 ф/б, 09201S4970 доля)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</si>
  <si>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</si>
  <si>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</si>
  <si>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</si>
  <si>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(13101R0820)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</si>
  <si>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</si>
  <si>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</si>
  <si>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</si>
  <si>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</si>
  <si>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</si>
  <si>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</si>
  <si>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</si>
  <si>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</si>
  <si>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</si>
  <si>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</si>
  <si>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</si>
  <si>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</si>
  <si>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</si>
  <si>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</si>
  <si>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</si>
  <si>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</si>
  <si>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</si>
  <si>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</si>
  <si>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Заворотынская Н.А.</t>
  </si>
  <si>
    <t>И.о. заведующего бюджетным отделом</t>
  </si>
  <si>
    <t>Колыгина Я.М.</t>
  </si>
  <si>
    <t>Заведующий отделом  доходов</t>
  </si>
  <si>
    <t>Мартюшова О.Г.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</si>
</sst>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_-* #,##0.0_р_._-;\-* #,##0.0_р_._-;_-* &quot;-&quot;?_р_._-;_-@_-"/>
  </numFmts>
  <fonts count="59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76" fontId="7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76" fontId="5" fillId="0" borderId="16" xfId="0" applyNumberFormat="1" applyFont="1" applyFill="1" applyBorder="1" applyAlignment="1">
      <alignment horizontal="right" vertical="top"/>
    </xf>
    <xf numFmtId="176" fontId="5" fillId="0" borderId="16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vertical="top" wrapText="1" shrinkToFit="1"/>
    </xf>
    <xf numFmtId="176" fontId="5" fillId="0" borderId="14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76" fontId="4" fillId="0" borderId="16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/>
    </xf>
    <xf numFmtId="176" fontId="4" fillId="0" borderId="14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/>
    </xf>
    <xf numFmtId="176" fontId="1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vertical="top"/>
    </xf>
    <xf numFmtId="176" fontId="4" fillId="0" borderId="16" xfId="0" applyNumberFormat="1" applyFont="1" applyFill="1" applyBorder="1" applyAlignment="1">
      <alignment horizontal="right" vertical="top"/>
    </xf>
    <xf numFmtId="176" fontId="2" fillId="0" borderId="16" xfId="0" applyNumberFormat="1" applyFont="1" applyFill="1" applyBorder="1" applyAlignment="1">
      <alignment horizontal="right" vertical="top" wrapText="1"/>
    </xf>
    <xf numFmtId="176" fontId="4" fillId="0" borderId="12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49" fontId="2" fillId="0" borderId="14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177" fontId="5" fillId="0" borderId="16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76" fontId="2" fillId="0" borderId="16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176" fontId="5" fillId="0" borderId="11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176" fontId="5" fillId="0" borderId="0" xfId="0" applyNumberFormat="1" applyFont="1" applyFill="1" applyAlignment="1">
      <alignment vertical="top"/>
    </xf>
    <xf numFmtId="0" fontId="0" fillId="33" borderId="0" xfId="0" applyFill="1" applyAlignment="1">
      <alignment horizontal="right"/>
    </xf>
    <xf numFmtId="176" fontId="2" fillId="0" borderId="16" xfId="0" applyNumberFormat="1" applyFont="1" applyFill="1" applyBorder="1" applyAlignment="1">
      <alignment vertical="top" wrapText="1"/>
    </xf>
    <xf numFmtId="176" fontId="0" fillId="0" borderId="0" xfId="0" applyNumberFormat="1" applyFill="1" applyAlignment="1">
      <alignment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76" fontId="2" fillId="0" borderId="14" xfId="0" applyNumberFormat="1" applyFont="1" applyFill="1" applyBorder="1" applyAlignment="1">
      <alignment vertical="top" wrapText="1"/>
    </xf>
    <xf numFmtId="176" fontId="5" fillId="0" borderId="14" xfId="0" applyNumberFormat="1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horizontal="center" vertical="top" wrapText="1"/>
    </xf>
    <xf numFmtId="176" fontId="2" fillId="0" borderId="16" xfId="0" applyNumberFormat="1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vertical="top" wrapText="1" shrinkToFit="1"/>
    </xf>
    <xf numFmtId="49" fontId="2" fillId="0" borderId="16" xfId="0" applyNumberFormat="1" applyFont="1" applyFill="1" applyBorder="1" applyAlignment="1">
      <alignment horizontal="center" vertical="top" wrapText="1"/>
    </xf>
    <xf numFmtId="176" fontId="2" fillId="0" borderId="16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vertical="top"/>
    </xf>
    <xf numFmtId="176" fontId="2" fillId="0" borderId="14" xfId="0" applyNumberFormat="1" applyFont="1" applyFill="1" applyBorder="1" applyAlignment="1">
      <alignment horizontal="right" vertical="top" wrapText="1"/>
    </xf>
    <xf numFmtId="176" fontId="1" fillId="0" borderId="17" xfId="0" applyNumberFormat="1" applyFont="1" applyFill="1" applyBorder="1" applyAlignment="1">
      <alignment horizontal="right" vertical="top" wrapText="1"/>
    </xf>
    <xf numFmtId="176" fontId="2" fillId="0" borderId="16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6" fontId="1" fillId="0" borderId="16" xfId="0" applyNumberFormat="1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top"/>
    </xf>
    <xf numFmtId="176" fontId="2" fillId="0" borderId="15" xfId="0" applyNumberFormat="1" applyFont="1" applyFill="1" applyBorder="1" applyAlignment="1">
      <alignment horizontal="right" vertical="top" wrapText="1"/>
    </xf>
    <xf numFmtId="49" fontId="2" fillId="0" borderId="16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176" fontId="4" fillId="0" borderId="20" xfId="0" applyNumberFormat="1" applyFont="1" applyFill="1" applyBorder="1" applyAlignment="1">
      <alignment horizontal="center" vertical="top"/>
    </xf>
    <xf numFmtId="176" fontId="4" fillId="0" borderId="21" xfId="0" applyNumberFormat="1" applyFont="1" applyFill="1" applyBorder="1" applyAlignment="1">
      <alignment horizontal="center" vertical="top"/>
    </xf>
    <xf numFmtId="170" fontId="2" fillId="0" borderId="10" xfId="42" applyFont="1" applyFill="1" applyBorder="1" applyAlignment="1">
      <alignment horizontal="center" vertical="top" wrapText="1"/>
    </xf>
    <xf numFmtId="170" fontId="2" fillId="0" borderId="20" xfId="42" applyFont="1" applyFill="1" applyBorder="1" applyAlignment="1">
      <alignment horizontal="center" vertical="top" wrapText="1"/>
    </xf>
    <xf numFmtId="170" fontId="2" fillId="0" borderId="21" xfId="42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25" fillId="0" borderId="0" xfId="53" applyNumberFormat="1" applyFont="1" applyAlignment="1">
      <alignment horizontal="center" vertical="center" wrapText="1"/>
      <protection/>
    </xf>
    <xf numFmtId="49" fontId="26" fillId="0" borderId="0" xfId="53" applyNumberFormat="1" applyFont="1" applyAlignment="1">
      <alignment horizontal="center" vertical="center" wrapText="1"/>
      <protection/>
    </xf>
    <xf numFmtId="0" fontId="26" fillId="0" borderId="0" xfId="53" applyNumberFormat="1" applyFont="1" applyAlignment="1">
      <alignment horizontal="left" vertical="center" wrapText="1"/>
      <protection/>
    </xf>
    <xf numFmtId="179" fontId="57" fillId="0" borderId="0" xfId="53" applyNumberFormat="1" applyFont="1" applyFill="1" applyAlignment="1">
      <alignment horizontal="center" vertical="center" wrapText="1"/>
      <protection/>
    </xf>
    <xf numFmtId="179" fontId="28" fillId="0" borderId="0" xfId="53" applyNumberFormat="1" applyFont="1" applyFill="1" applyBorder="1" applyAlignment="1">
      <alignment horizontal="center" vertical="center" wrapText="1"/>
      <protection/>
    </xf>
    <xf numFmtId="179" fontId="28" fillId="0" borderId="0" xfId="53" applyNumberFormat="1" applyFont="1" applyFill="1" applyAlignment="1">
      <alignment horizontal="center" vertical="center" wrapText="1"/>
      <protection/>
    </xf>
    <xf numFmtId="179" fontId="28" fillId="0" borderId="0" xfId="0" applyNumberFormat="1" applyFont="1" applyFill="1" applyAlignment="1">
      <alignment horizontal="center" vertical="center" wrapText="1"/>
    </xf>
    <xf numFmtId="179" fontId="28" fillId="0" borderId="0" xfId="0" applyNumberFormat="1" applyFont="1" applyAlignment="1">
      <alignment horizontal="center" vertical="center" wrapText="1"/>
    </xf>
    <xf numFmtId="179" fontId="29" fillId="0" borderId="0" xfId="0" applyNumberFormat="1" applyFont="1" applyFill="1" applyAlignment="1">
      <alignment horizontal="center" vertical="center" wrapText="1"/>
    </xf>
    <xf numFmtId="179" fontId="29" fillId="0" borderId="0" xfId="0" applyNumberFormat="1" applyFont="1" applyAlignment="1">
      <alignment horizontal="center" vertical="center" wrapText="1"/>
    </xf>
    <xf numFmtId="49" fontId="30" fillId="0" borderId="22" xfId="53" applyNumberFormat="1" applyFont="1" applyBorder="1" applyAlignment="1">
      <alignment horizontal="center" vertical="center" wrapText="1"/>
      <protection/>
    </xf>
    <xf numFmtId="0" fontId="30" fillId="0" borderId="23" xfId="53" applyNumberFormat="1" applyFont="1" applyBorder="1" applyAlignment="1">
      <alignment horizontal="center" vertical="center" wrapText="1"/>
      <protection/>
    </xf>
    <xf numFmtId="179" fontId="31" fillId="0" borderId="23" xfId="53" applyNumberFormat="1" applyFont="1" applyFill="1" applyBorder="1" applyAlignment="1">
      <alignment horizontal="center" vertical="center" wrapText="1"/>
      <protection/>
    </xf>
    <xf numFmtId="179" fontId="31" fillId="0" borderId="23" xfId="0" applyNumberFormat="1" applyFont="1" applyBorder="1" applyAlignment="1">
      <alignment horizontal="center" vertical="center" wrapText="1"/>
    </xf>
    <xf numFmtId="179" fontId="32" fillId="0" borderId="23" xfId="0" applyNumberFormat="1" applyFont="1" applyFill="1" applyBorder="1" applyAlignment="1">
      <alignment horizontal="center" vertical="center" wrapText="1"/>
    </xf>
    <xf numFmtId="179" fontId="32" fillId="0" borderId="24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Border="1" applyAlignment="1">
      <alignment horizontal="center" vertical="center" wrapText="1"/>
      <protection/>
    </xf>
    <xf numFmtId="0" fontId="30" fillId="0" borderId="16" xfId="53" applyNumberFormat="1" applyFont="1" applyBorder="1" applyAlignment="1">
      <alignment horizontal="center" vertical="center" wrapText="1"/>
      <protection/>
    </xf>
    <xf numFmtId="179" fontId="31" fillId="0" borderId="16" xfId="53" applyNumberFormat="1" applyFont="1" applyFill="1" applyBorder="1" applyAlignment="1">
      <alignment horizontal="center" vertical="center" wrapText="1"/>
      <protection/>
    </xf>
    <xf numFmtId="179" fontId="31" fillId="0" borderId="16" xfId="53" applyNumberFormat="1" applyFont="1" applyBorder="1" applyAlignment="1">
      <alignment horizontal="center" vertical="center" wrapText="1"/>
      <protection/>
    </xf>
    <xf numFmtId="179" fontId="32" fillId="0" borderId="16" xfId="53" applyNumberFormat="1" applyFont="1" applyFill="1" applyBorder="1" applyAlignment="1">
      <alignment horizontal="center" vertical="center" wrapText="1"/>
      <protection/>
    </xf>
    <xf numFmtId="179" fontId="32" fillId="0" borderId="16" xfId="53" applyNumberFormat="1" applyFont="1" applyBorder="1" applyAlignment="1">
      <alignment horizontal="center" vertical="center" wrapText="1"/>
      <protection/>
    </xf>
    <xf numFmtId="179" fontId="32" fillId="0" borderId="26" xfId="53" applyNumberFormat="1" applyFont="1" applyBorder="1" applyAlignment="1">
      <alignment horizontal="center" vertical="center" wrapText="1"/>
      <protection/>
    </xf>
    <xf numFmtId="179" fontId="31" fillId="0" borderId="16" xfId="0" applyNumberFormat="1" applyFont="1" applyBorder="1" applyAlignment="1">
      <alignment horizontal="center" vertical="center" wrapText="1"/>
    </xf>
    <xf numFmtId="179" fontId="33" fillId="0" borderId="16" xfId="0" applyNumberFormat="1" applyFont="1" applyBorder="1" applyAlignment="1">
      <alignment horizontal="center" vertical="center"/>
    </xf>
    <xf numFmtId="179" fontId="32" fillId="0" borderId="16" xfId="0" applyNumberFormat="1" applyFont="1" applyBorder="1" applyAlignment="1">
      <alignment horizontal="center" vertical="center" wrapText="1"/>
    </xf>
    <xf numFmtId="179" fontId="32" fillId="0" borderId="26" xfId="0" applyNumberFormat="1" applyFont="1" applyBorder="1" applyAlignment="1">
      <alignment horizontal="center" vertical="center" wrapText="1"/>
    </xf>
    <xf numFmtId="0" fontId="34" fillId="0" borderId="16" xfId="53" applyNumberFormat="1" applyFont="1" applyFill="1" applyBorder="1" applyAlignment="1">
      <alignment horizontal="center" vertical="center" wrapText="1"/>
      <protection/>
    </xf>
    <xf numFmtId="0" fontId="34" fillId="0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6" xfId="53" applyNumberFormat="1" applyFont="1" applyFill="1" applyBorder="1" applyAlignment="1">
      <alignment horizontal="left" vertical="center" wrapText="1"/>
      <protection/>
    </xf>
    <xf numFmtId="179" fontId="32" fillId="34" borderId="16" xfId="53" applyNumberFormat="1" applyFont="1" applyFill="1" applyBorder="1" applyAlignment="1">
      <alignment horizontal="center" vertical="center" wrapText="1"/>
      <protection/>
    </xf>
    <xf numFmtId="179" fontId="31" fillId="34" borderId="16" xfId="0" applyNumberFormat="1" applyFont="1" applyFill="1" applyBorder="1" applyAlignment="1">
      <alignment horizontal="center" vertical="center" wrapText="1"/>
    </xf>
    <xf numFmtId="179" fontId="32" fillId="34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 quotePrefix="1">
      <alignment horizontal="center" vertical="center" wrapText="1"/>
      <protection/>
    </xf>
    <xf numFmtId="0" fontId="30" fillId="0" borderId="16" xfId="53" applyNumberFormat="1" applyFont="1" applyFill="1" applyBorder="1" applyAlignment="1">
      <alignment horizontal="left" vertical="center" wrapText="1"/>
      <protection/>
    </xf>
    <xf numFmtId="179" fontId="31" fillId="0" borderId="16" xfId="53" applyNumberFormat="1" applyFont="1" applyFill="1" applyBorder="1" applyAlignment="1">
      <alignment horizontal="center" vertical="center" wrapText="1"/>
      <protection/>
    </xf>
    <xf numFmtId="179" fontId="31" fillId="0" borderId="16" xfId="0" applyNumberFormat="1" applyFont="1" applyFill="1" applyBorder="1" applyAlignment="1">
      <alignment horizontal="center" vertical="center" wrapText="1"/>
    </xf>
    <xf numFmtId="179" fontId="32" fillId="0" borderId="16" xfId="0" applyNumberFormat="1" applyFont="1" applyFill="1" applyBorder="1" applyAlignment="1">
      <alignment horizontal="center" vertical="center" wrapText="1"/>
    </xf>
    <xf numFmtId="179" fontId="32" fillId="0" borderId="16" xfId="0" applyNumberFormat="1" applyFont="1" applyBorder="1" applyAlignment="1">
      <alignment horizontal="center" vertical="center" wrapText="1"/>
    </xf>
    <xf numFmtId="179" fontId="32" fillId="0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>
      <alignment horizontal="center" vertical="center" wrapText="1"/>
      <protection/>
    </xf>
    <xf numFmtId="179" fontId="31" fillId="34" borderId="16" xfId="53" applyNumberFormat="1" applyFont="1" applyFill="1" applyBorder="1" applyAlignment="1">
      <alignment horizontal="center" vertical="center" wrapText="1"/>
      <protection/>
    </xf>
    <xf numFmtId="179" fontId="32" fillId="34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6" xfId="53" applyNumberFormat="1" applyFont="1" applyFill="1" applyBorder="1" applyAlignment="1">
      <alignment horizontal="left" vertical="center" wrapText="1"/>
      <protection/>
    </xf>
    <xf numFmtId="179" fontId="32" fillId="35" borderId="16" xfId="53" applyNumberFormat="1" applyFont="1" applyFill="1" applyBorder="1" applyAlignment="1">
      <alignment horizontal="center" vertical="center" wrapText="1"/>
      <protection/>
    </xf>
    <xf numFmtId="0" fontId="30" fillId="36" borderId="16" xfId="53" applyNumberFormat="1" applyFont="1" applyFill="1" applyBorder="1" applyAlignment="1">
      <alignment horizontal="left" vertical="center" wrapText="1"/>
      <protection/>
    </xf>
    <xf numFmtId="179" fontId="32" fillId="33" borderId="16" xfId="0" applyNumberFormat="1" applyFont="1" applyFill="1" applyBorder="1" applyAlignment="1">
      <alignment horizontal="center" vertical="center" wrapText="1"/>
    </xf>
    <xf numFmtId="0" fontId="31" fillId="0" borderId="16" xfId="52" applyNumberFormat="1" applyFont="1" applyFill="1" applyBorder="1" applyAlignment="1" applyProtection="1">
      <alignment horizontal="left" vertical="center" wrapText="1"/>
      <protection hidden="1"/>
    </xf>
    <xf numFmtId="179" fontId="31" fillId="33" borderId="16" xfId="0" applyNumberFormat="1" applyFont="1" applyFill="1" applyBorder="1" applyAlignment="1">
      <alignment horizontal="center" vertical="center" wrapText="1"/>
    </xf>
    <xf numFmtId="179" fontId="31" fillId="33" borderId="16" xfId="53" applyNumberFormat="1" applyFont="1" applyFill="1" applyBorder="1" applyAlignment="1">
      <alignment horizontal="center" vertical="center" wrapText="1"/>
      <protection/>
    </xf>
    <xf numFmtId="179" fontId="32" fillId="35" borderId="16" xfId="53" applyNumberFormat="1" applyFont="1" applyFill="1" applyBorder="1" applyAlignment="1">
      <alignment horizontal="center" vertical="center" wrapText="1"/>
      <protection/>
    </xf>
    <xf numFmtId="179" fontId="32" fillId="34" borderId="16" xfId="0" applyNumberFormat="1" applyFont="1" applyFill="1" applyBorder="1" applyAlignment="1">
      <alignment horizontal="center" vertical="center" wrapText="1"/>
    </xf>
    <xf numFmtId="0" fontId="36" fillId="0" borderId="16" xfId="53" applyNumberFormat="1" applyFont="1" applyFill="1" applyBorder="1" applyAlignment="1">
      <alignment horizontal="left" vertical="center" wrapText="1"/>
      <protection/>
    </xf>
    <xf numFmtId="0" fontId="32" fillId="0" borderId="26" xfId="0" applyNumberFormat="1" applyFont="1" applyFill="1" applyBorder="1" applyAlignment="1">
      <alignment horizontal="center" vertical="center" wrapText="1"/>
    </xf>
    <xf numFmtId="177" fontId="32" fillId="0" borderId="26" xfId="0" applyNumberFormat="1" applyFont="1" applyFill="1" applyBorder="1" applyAlignment="1">
      <alignment horizontal="center" vertical="center" wrapText="1"/>
    </xf>
    <xf numFmtId="49" fontId="34" fillId="34" borderId="25" xfId="53" applyNumberFormat="1" applyFont="1" applyFill="1" applyBorder="1" applyAlignment="1">
      <alignment horizontal="center" vertical="center" wrapText="1"/>
      <protection/>
    </xf>
    <xf numFmtId="0" fontId="34" fillId="34" borderId="16" xfId="0" applyNumberFormat="1" applyFont="1" applyFill="1" applyBorder="1" applyAlignment="1">
      <alignment horizontal="left" vertical="center" wrapText="1"/>
    </xf>
    <xf numFmtId="179" fontId="31" fillId="35" borderId="16" xfId="53" applyNumberFormat="1" applyFont="1" applyFill="1" applyBorder="1" applyAlignment="1">
      <alignment horizontal="center" vertical="center" wrapText="1"/>
      <protection/>
    </xf>
    <xf numFmtId="0" fontId="30" fillId="0" borderId="16" xfId="0" applyNumberFormat="1" applyFont="1" applyFill="1" applyBorder="1" applyAlignment="1">
      <alignment horizontal="left" vertical="center" wrapText="1"/>
    </xf>
    <xf numFmtId="49" fontId="31" fillId="0" borderId="25" xfId="53" applyNumberFormat="1" applyFont="1" applyFill="1" applyBorder="1" applyAlignment="1">
      <alignment horizontal="center" vertical="center" wrapText="1"/>
      <protection/>
    </xf>
    <xf numFmtId="0" fontId="31" fillId="0" borderId="16" xfId="53" applyNumberFormat="1" applyFont="1" applyFill="1" applyBorder="1" applyAlignment="1">
      <alignment horizontal="left" vertical="center" wrapText="1"/>
      <protection/>
    </xf>
    <xf numFmtId="179" fontId="31" fillId="35" borderId="16" xfId="0" applyNumberFormat="1" applyFont="1" applyFill="1" applyBorder="1" applyAlignment="1">
      <alignment horizontal="center" vertical="center" wrapText="1"/>
    </xf>
    <xf numFmtId="0" fontId="37" fillId="6" borderId="27" xfId="53" applyNumberFormat="1" applyFont="1" applyFill="1" applyBorder="1" applyAlignment="1">
      <alignment horizontal="center" vertical="center" wrapText="1"/>
      <protection/>
    </xf>
    <xf numFmtId="0" fontId="37" fillId="6" borderId="28" xfId="53" applyNumberFormat="1" applyFont="1" applyFill="1" applyBorder="1" applyAlignment="1">
      <alignment horizontal="center" vertical="center" wrapText="1"/>
      <protection/>
    </xf>
    <xf numFmtId="179" fontId="32" fillId="35" borderId="28" xfId="53" applyNumberFormat="1" applyFont="1" applyFill="1" applyBorder="1" applyAlignment="1">
      <alignment horizontal="center" vertical="center" wrapText="1"/>
      <protection/>
    </xf>
    <xf numFmtId="179" fontId="32" fillId="35" borderId="28" xfId="0" applyNumberFormat="1" applyFont="1" applyFill="1" applyBorder="1" applyAlignment="1">
      <alignment horizontal="center" vertical="center" wrapText="1"/>
    </xf>
    <xf numFmtId="179" fontId="32" fillId="35" borderId="29" xfId="0" applyNumberFormat="1" applyFont="1" applyFill="1" applyBorder="1" applyAlignment="1">
      <alignment horizontal="center" vertical="center" wrapText="1"/>
    </xf>
    <xf numFmtId="49" fontId="26" fillId="0" borderId="0" xfId="53" applyNumberFormat="1" applyFont="1" applyFill="1" applyBorder="1" applyAlignment="1">
      <alignment horizontal="center" vertical="center" wrapText="1"/>
      <protection/>
    </xf>
    <xf numFmtId="0" fontId="26" fillId="0" borderId="0" xfId="53" applyNumberFormat="1" applyFont="1" applyFill="1" applyBorder="1" applyAlignment="1">
      <alignment horizontal="left" vertical="center" wrapText="1"/>
      <protection/>
    </xf>
    <xf numFmtId="179" fontId="57" fillId="0" borderId="0" xfId="53" applyNumberFormat="1" applyFont="1" applyFill="1" applyBorder="1" applyAlignment="1">
      <alignment horizontal="center" vertical="center" wrapText="1"/>
      <protection/>
    </xf>
    <xf numFmtId="179" fontId="29" fillId="0" borderId="0" xfId="53" applyNumberFormat="1" applyFont="1" applyFill="1" applyBorder="1" applyAlignment="1">
      <alignment horizontal="center" vertical="center" wrapText="1"/>
      <protection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179" fontId="57" fillId="0" borderId="0" xfId="0" applyNumberFormat="1" applyFont="1" applyFill="1" applyBorder="1" applyAlignment="1">
      <alignment horizontal="center" vertical="center" wrapText="1"/>
    </xf>
    <xf numFmtId="179" fontId="28" fillId="0" borderId="0" xfId="0" applyNumberFormat="1" applyFont="1" applyFill="1" applyBorder="1" applyAlignment="1">
      <alignment horizontal="center" vertical="center" wrapText="1"/>
    </xf>
    <xf numFmtId="0" fontId="36" fillId="0" borderId="0" xfId="53" applyNumberFormat="1" applyFont="1" applyFill="1" applyBorder="1" applyAlignment="1">
      <alignment horizontal="right" vertical="center" wrapText="1"/>
      <protection/>
    </xf>
    <xf numFmtId="179" fontId="38" fillId="0" borderId="0" xfId="0" applyNumberFormat="1" applyFont="1" applyFill="1" applyAlignment="1">
      <alignment horizontal="center" vertical="center" wrapText="1"/>
    </xf>
    <xf numFmtId="179" fontId="38" fillId="0" borderId="0" xfId="0" applyNumberFormat="1" applyFont="1" applyAlignment="1">
      <alignment horizontal="center" vertical="center" wrapText="1"/>
    </xf>
    <xf numFmtId="179" fontId="38" fillId="0" borderId="15" xfId="53" applyNumberFormat="1" applyFont="1" applyFill="1" applyBorder="1" applyAlignment="1">
      <alignment horizontal="center" vertical="center" wrapText="1"/>
      <protection/>
    </xf>
    <xf numFmtId="179" fontId="38" fillId="0" borderId="0" xfId="53" applyNumberFormat="1" applyFont="1" applyFill="1" applyBorder="1" applyAlignment="1">
      <alignment horizontal="left" vertical="center" wrapText="1"/>
      <protection/>
    </xf>
    <xf numFmtId="49" fontId="36" fillId="0" borderId="0" xfId="0" applyNumberFormat="1" applyFont="1" applyFill="1" applyBorder="1" applyAlignment="1">
      <alignment horizontal="right" vertical="center" wrapText="1"/>
    </xf>
    <xf numFmtId="0" fontId="36" fillId="0" borderId="0" xfId="53" applyNumberFormat="1" applyFont="1" applyFill="1" applyBorder="1" applyAlignment="1">
      <alignment horizontal="left" vertical="center" wrapText="1"/>
      <protection/>
    </xf>
    <xf numFmtId="179" fontId="58" fillId="0" borderId="0" xfId="53" applyNumberFormat="1" applyFont="1" applyFill="1" applyBorder="1" applyAlignment="1">
      <alignment horizontal="center" vertical="center" wrapText="1"/>
      <protection/>
    </xf>
    <xf numFmtId="179" fontId="38" fillId="0" borderId="0" xfId="53" applyNumberFormat="1" applyFont="1" applyFill="1" applyBorder="1" applyAlignment="1">
      <alignment horizontal="center" vertical="center" wrapText="1"/>
      <protection/>
    </xf>
    <xf numFmtId="179" fontId="38" fillId="0" borderId="0" xfId="0" applyNumberFormat="1" applyFont="1" applyFill="1" applyBorder="1" applyAlignment="1">
      <alignment horizontal="left" vertical="center" wrapText="1"/>
    </xf>
    <xf numFmtId="179" fontId="38" fillId="0" borderId="0" xfId="0" applyNumberFormat="1" applyFont="1" applyFill="1" applyAlignment="1">
      <alignment horizontal="left" vertical="center" wrapText="1"/>
    </xf>
    <xf numFmtId="179" fontId="38" fillId="0" borderId="15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179" fontId="58" fillId="0" borderId="0" xfId="0" applyNumberFormat="1" applyFont="1" applyFill="1" applyBorder="1" applyAlignment="1">
      <alignment horizontal="center" vertical="center" wrapText="1"/>
    </xf>
    <xf numFmtId="179" fontId="38" fillId="0" borderId="0" xfId="0" applyNumberFormat="1" applyFont="1" applyFill="1" applyBorder="1" applyAlignment="1">
      <alignment horizontal="center" vertical="center" wrapText="1"/>
    </xf>
    <xf numFmtId="179" fontId="38" fillId="0" borderId="0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179" fontId="58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245" sqref="D245:P245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64.00390625" style="1" customWidth="1"/>
    <col min="4" max="4" width="11.125" style="1" customWidth="1"/>
    <col min="5" max="5" width="10.625" style="1" customWidth="1"/>
    <col min="6" max="6" width="6.875" style="1" hidden="1" customWidth="1"/>
    <col min="7" max="7" width="9.125" style="1" hidden="1" customWidth="1"/>
    <col min="8" max="8" width="7.125" style="1" hidden="1" customWidth="1"/>
    <col min="9" max="9" width="8.875" style="1" hidden="1" customWidth="1" outlineLevel="1"/>
    <col min="10" max="10" width="11.00390625" style="1" customWidth="1" collapsed="1"/>
    <col min="11" max="11" width="10.25390625" style="1" hidden="1" customWidth="1"/>
    <col min="12" max="12" width="7.00390625" style="1" hidden="1" customWidth="1"/>
    <col min="13" max="13" width="9.125" style="1" hidden="1" customWidth="1"/>
    <col min="14" max="14" width="14.25390625" style="1" hidden="1" customWidth="1"/>
    <col min="15" max="15" width="7.25390625" style="1" hidden="1" customWidth="1"/>
    <col min="16" max="16" width="8.25390625" style="1" customWidth="1"/>
    <col min="17" max="17" width="8.00390625" style="1" customWidth="1"/>
    <col min="18" max="16384" width="9.125" style="1" customWidth="1"/>
  </cols>
  <sheetData>
    <row r="1" spans="1:17" ht="12.75">
      <c r="A1" s="85" t="s">
        <v>86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2" ht="9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4.25" customHeight="1">
      <c r="A3" s="11"/>
      <c r="B3" s="11"/>
      <c r="C3" s="12"/>
      <c r="D3" s="12"/>
      <c r="E3" s="12"/>
      <c r="F3" s="12"/>
      <c r="G3" s="12"/>
      <c r="H3" s="13"/>
      <c r="I3" s="13"/>
      <c r="J3" s="59" t="s">
        <v>69</v>
      </c>
      <c r="K3" s="13"/>
      <c r="L3" s="13"/>
    </row>
    <row r="4" spans="1:17" ht="12.75" customHeight="1">
      <c r="A4" s="14" t="s">
        <v>41</v>
      </c>
      <c r="B4" s="14"/>
      <c r="C4" s="15"/>
      <c r="D4" s="89" t="s">
        <v>84</v>
      </c>
      <c r="E4" s="89" t="s">
        <v>81</v>
      </c>
      <c r="F4" s="92" t="s">
        <v>72</v>
      </c>
      <c r="G4" s="92" t="s">
        <v>73</v>
      </c>
      <c r="H4" s="92" t="s">
        <v>74</v>
      </c>
      <c r="I4" s="92" t="s">
        <v>75</v>
      </c>
      <c r="J4" s="89" t="s">
        <v>85</v>
      </c>
      <c r="K4" s="89" t="s">
        <v>76</v>
      </c>
      <c r="L4" s="89" t="s">
        <v>77</v>
      </c>
      <c r="M4" s="89" t="s">
        <v>78</v>
      </c>
      <c r="N4" s="89" t="s">
        <v>79</v>
      </c>
      <c r="O4" s="89" t="s">
        <v>80</v>
      </c>
      <c r="P4" s="89" t="s">
        <v>82</v>
      </c>
      <c r="Q4" s="89" t="s">
        <v>83</v>
      </c>
    </row>
    <row r="5" spans="1:17" ht="27.75" customHeight="1">
      <c r="A5" s="16" t="s">
        <v>46</v>
      </c>
      <c r="B5" s="16"/>
      <c r="C5" s="17" t="s">
        <v>16</v>
      </c>
      <c r="D5" s="90"/>
      <c r="E5" s="90"/>
      <c r="F5" s="93"/>
      <c r="G5" s="93"/>
      <c r="H5" s="93"/>
      <c r="I5" s="93"/>
      <c r="J5" s="90"/>
      <c r="K5" s="90"/>
      <c r="L5" s="90"/>
      <c r="M5" s="90"/>
      <c r="N5" s="90"/>
      <c r="O5" s="90"/>
      <c r="P5" s="90"/>
      <c r="Q5" s="90"/>
    </row>
    <row r="6" spans="1:17" ht="39.75" customHeight="1">
      <c r="A6" s="16"/>
      <c r="B6" s="16"/>
      <c r="C6" s="17"/>
      <c r="D6" s="91"/>
      <c r="E6" s="91"/>
      <c r="F6" s="94"/>
      <c r="G6" s="94"/>
      <c r="H6" s="94"/>
      <c r="I6" s="94"/>
      <c r="J6" s="91"/>
      <c r="K6" s="91"/>
      <c r="L6" s="91"/>
      <c r="M6" s="91"/>
      <c r="N6" s="91"/>
      <c r="O6" s="91"/>
      <c r="P6" s="91"/>
      <c r="Q6" s="91"/>
    </row>
    <row r="7" spans="1:15" ht="12.75">
      <c r="A7" s="104" t="s">
        <v>24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7" ht="12.75">
      <c r="A8" s="62" t="s">
        <v>3</v>
      </c>
      <c r="B8" s="62"/>
      <c r="C8" s="63" t="s">
        <v>68</v>
      </c>
      <c r="D8" s="43">
        <f aca="true" t="shared" si="0" ref="D8:J8">D9+D11+D12+D13+D15+D16+D18+D20+D14+D21+D17+D19+D10</f>
        <v>766549.4</v>
      </c>
      <c r="E8" s="43">
        <f t="shared" si="0"/>
        <v>180328.9</v>
      </c>
      <c r="F8" s="43">
        <f t="shared" si="0"/>
        <v>180328.9</v>
      </c>
      <c r="G8" s="43">
        <f t="shared" si="0"/>
        <v>210997.90000000005</v>
      </c>
      <c r="H8" s="43">
        <f t="shared" si="0"/>
        <v>177123.70000000004</v>
      </c>
      <c r="I8" s="43">
        <f t="shared" si="0"/>
        <v>198098.89999999997</v>
      </c>
      <c r="J8" s="43">
        <f t="shared" si="0"/>
        <v>218452.2</v>
      </c>
      <c r="K8" s="43" t="e">
        <f>K9+K11+K12+K13+K15+K16+K18+K20+K14+K21+K17+K19</f>
        <v>#REF!</v>
      </c>
      <c r="L8" s="43">
        <f aca="true" t="shared" si="1" ref="L8:L20">J8/H8*100</f>
        <v>123.33312820362265</v>
      </c>
      <c r="M8" s="64"/>
      <c r="N8" s="64"/>
      <c r="O8" s="43">
        <f>J8*100/I8</f>
        <v>110.27431247725254</v>
      </c>
      <c r="P8" s="43">
        <f>J8*100/E8</f>
        <v>121.14098183929475</v>
      </c>
      <c r="Q8" s="31">
        <f>J8*100/D8</f>
        <v>28.498124191343702</v>
      </c>
    </row>
    <row r="9" spans="1:17" ht="12.75">
      <c r="A9" s="19" t="s">
        <v>23</v>
      </c>
      <c r="B9" s="19"/>
      <c r="C9" s="65" t="s">
        <v>22</v>
      </c>
      <c r="D9" s="66">
        <f>F9+G9+H9+I9</f>
        <v>583323.2000000001</v>
      </c>
      <c r="E9" s="66">
        <f>F9</f>
        <v>135991.1</v>
      </c>
      <c r="F9" s="66">
        <v>135991.1</v>
      </c>
      <c r="G9" s="66">
        <v>162045.1</v>
      </c>
      <c r="H9" s="27">
        <v>131909.6</v>
      </c>
      <c r="I9" s="67">
        <v>153377.4</v>
      </c>
      <c r="J9" s="67">
        <v>155030.2</v>
      </c>
      <c r="K9" s="27" t="e">
        <f>J9/#REF!*100</f>
        <v>#REF!</v>
      </c>
      <c r="L9" s="27">
        <f t="shared" si="1"/>
        <v>117.52760981763268</v>
      </c>
      <c r="M9" s="57"/>
      <c r="N9" s="57"/>
      <c r="O9" s="27">
        <f aca="true" t="shared" si="2" ref="O9:O80">J9*100/I9</f>
        <v>101.07760334964605</v>
      </c>
      <c r="P9" s="27">
        <f aca="true" t="shared" si="3" ref="P9:P77">J9*100/E9</f>
        <v>114.0002544284148</v>
      </c>
      <c r="Q9" s="67">
        <f aca="true" t="shared" si="4" ref="Q9:Q77">J9*100/D9</f>
        <v>26.57706739591362</v>
      </c>
    </row>
    <row r="10" spans="1:17" ht="12.75">
      <c r="A10" s="19" t="s">
        <v>70</v>
      </c>
      <c r="B10" s="19"/>
      <c r="C10" s="35" t="s">
        <v>71</v>
      </c>
      <c r="D10" s="60">
        <f aca="true" t="shared" si="5" ref="D10:D26">F10+G10+H10+I10</f>
        <v>4437.4</v>
      </c>
      <c r="E10" s="60">
        <f aca="true" t="shared" si="6" ref="E10:E25">F10</f>
        <v>1108.9</v>
      </c>
      <c r="F10" s="60">
        <v>1108.9</v>
      </c>
      <c r="G10" s="60">
        <v>1109.1</v>
      </c>
      <c r="H10" s="24">
        <v>1109.1</v>
      </c>
      <c r="I10" s="25">
        <v>1110.3</v>
      </c>
      <c r="J10" s="25">
        <v>1140.9</v>
      </c>
      <c r="K10" s="27"/>
      <c r="L10" s="27"/>
      <c r="M10" s="57"/>
      <c r="N10" s="57"/>
      <c r="O10" s="24"/>
      <c r="P10" s="27">
        <f t="shared" si="3"/>
        <v>102.88574262782939</v>
      </c>
      <c r="Q10" s="25">
        <f t="shared" si="4"/>
        <v>25.71100193807185</v>
      </c>
    </row>
    <row r="11" spans="1:17" ht="12.75">
      <c r="A11" s="19" t="s">
        <v>8</v>
      </c>
      <c r="B11" s="19"/>
      <c r="C11" s="35" t="s">
        <v>5</v>
      </c>
      <c r="D11" s="60">
        <f t="shared" si="5"/>
        <v>38473</v>
      </c>
      <c r="E11" s="60">
        <f t="shared" si="6"/>
        <v>8888.4</v>
      </c>
      <c r="F11" s="60">
        <v>8888.4</v>
      </c>
      <c r="G11" s="60">
        <v>12355.4</v>
      </c>
      <c r="H11" s="24">
        <v>8820.4</v>
      </c>
      <c r="I11" s="25">
        <v>8408.8</v>
      </c>
      <c r="J11" s="25">
        <v>12475.3</v>
      </c>
      <c r="K11" s="27" t="e">
        <f>J11/#REF!*100</f>
        <v>#REF!</v>
      </c>
      <c r="L11" s="27">
        <f t="shared" si="1"/>
        <v>141.4368962858827</v>
      </c>
      <c r="M11" s="57"/>
      <c r="N11" s="57"/>
      <c r="O11" s="24">
        <f t="shared" si="2"/>
        <v>148.36005137475027</v>
      </c>
      <c r="P11" s="27">
        <f t="shared" si="3"/>
        <v>140.35484451644842</v>
      </c>
      <c r="Q11" s="25">
        <f t="shared" si="4"/>
        <v>32.426117017128895</v>
      </c>
    </row>
    <row r="12" spans="1:17" ht="12.75">
      <c r="A12" s="19" t="s">
        <v>9</v>
      </c>
      <c r="B12" s="19"/>
      <c r="C12" s="35" t="s">
        <v>6</v>
      </c>
      <c r="D12" s="60">
        <f t="shared" si="5"/>
        <v>4052</v>
      </c>
      <c r="E12" s="60">
        <f t="shared" si="6"/>
        <v>975</v>
      </c>
      <c r="F12" s="60">
        <v>975</v>
      </c>
      <c r="G12" s="60">
        <v>975</v>
      </c>
      <c r="H12" s="24">
        <v>975</v>
      </c>
      <c r="I12" s="25">
        <v>1127</v>
      </c>
      <c r="J12" s="25">
        <v>-930.2</v>
      </c>
      <c r="K12" s="27" t="e">
        <f>J12/#REF!*100</f>
        <v>#REF!</v>
      </c>
      <c r="L12" s="27">
        <f t="shared" si="1"/>
        <v>-95.40512820512821</v>
      </c>
      <c r="M12" s="57"/>
      <c r="N12" s="57"/>
      <c r="O12" s="24">
        <f t="shared" si="2"/>
        <v>-82.5377107364685</v>
      </c>
      <c r="P12" s="27">
        <f t="shared" si="3"/>
        <v>-95.40512820512821</v>
      </c>
      <c r="Q12" s="25">
        <f t="shared" si="4"/>
        <v>-22.956564659427443</v>
      </c>
    </row>
    <row r="13" spans="1:17" ht="12.75">
      <c r="A13" s="19" t="s">
        <v>10</v>
      </c>
      <c r="B13" s="19"/>
      <c r="C13" s="35" t="s">
        <v>21</v>
      </c>
      <c r="D13" s="60">
        <f t="shared" si="5"/>
        <v>3794</v>
      </c>
      <c r="E13" s="60">
        <f t="shared" si="6"/>
        <v>948.1</v>
      </c>
      <c r="F13" s="60">
        <v>948.1</v>
      </c>
      <c r="G13" s="60">
        <v>948.1</v>
      </c>
      <c r="H13" s="24">
        <v>948.1</v>
      </c>
      <c r="I13" s="25">
        <v>949.7</v>
      </c>
      <c r="J13" s="25">
        <v>864.8</v>
      </c>
      <c r="K13" s="27" t="e">
        <f>J13/#REF!*100</f>
        <v>#REF!</v>
      </c>
      <c r="L13" s="27">
        <f t="shared" si="1"/>
        <v>91.21400696129099</v>
      </c>
      <c r="M13" s="57"/>
      <c r="N13" s="57"/>
      <c r="O13" s="24">
        <f t="shared" si="2"/>
        <v>91.06033484258187</v>
      </c>
      <c r="P13" s="27">
        <f t="shared" si="3"/>
        <v>91.214006961291</v>
      </c>
      <c r="Q13" s="25">
        <f t="shared" si="4"/>
        <v>22.79388508170796</v>
      </c>
    </row>
    <row r="14" spans="1:17" ht="21.75" customHeight="1" hidden="1">
      <c r="A14" s="19" t="s">
        <v>37</v>
      </c>
      <c r="B14" s="19"/>
      <c r="C14" s="35" t="s">
        <v>38</v>
      </c>
      <c r="D14" s="60">
        <f t="shared" si="5"/>
        <v>0</v>
      </c>
      <c r="E14" s="60">
        <f t="shared" si="6"/>
        <v>0</v>
      </c>
      <c r="F14" s="60"/>
      <c r="G14" s="60"/>
      <c r="H14" s="24"/>
      <c r="I14" s="25"/>
      <c r="J14" s="25"/>
      <c r="K14" s="27" t="e">
        <f>J14/#REF!*100</f>
        <v>#REF!</v>
      </c>
      <c r="L14" s="27"/>
      <c r="M14" s="57"/>
      <c r="N14" s="57"/>
      <c r="O14" s="24" t="e">
        <f t="shared" si="2"/>
        <v>#DIV/0!</v>
      </c>
      <c r="P14" s="27"/>
      <c r="Q14" s="25"/>
    </row>
    <row r="15" spans="1:17" ht="24">
      <c r="A15" s="20" t="s">
        <v>11</v>
      </c>
      <c r="B15" s="20"/>
      <c r="C15" s="35" t="s">
        <v>17</v>
      </c>
      <c r="D15" s="60">
        <f t="shared" si="5"/>
        <v>95355.4</v>
      </c>
      <c r="E15" s="60">
        <f t="shared" si="6"/>
        <v>23692.5</v>
      </c>
      <c r="F15" s="60">
        <v>23692.5</v>
      </c>
      <c r="G15" s="60">
        <v>23763.7</v>
      </c>
      <c r="H15" s="24">
        <v>24063.7</v>
      </c>
      <c r="I15" s="25">
        <v>23835.5</v>
      </c>
      <c r="J15" s="25">
        <v>25786.2</v>
      </c>
      <c r="K15" s="27" t="e">
        <f>J15/#REF!*100</f>
        <v>#REF!</v>
      </c>
      <c r="L15" s="27">
        <f t="shared" si="1"/>
        <v>107.15808458383374</v>
      </c>
      <c r="M15" s="57"/>
      <c r="N15" s="57"/>
      <c r="O15" s="24">
        <f t="shared" si="2"/>
        <v>108.18401124373308</v>
      </c>
      <c r="P15" s="27">
        <f t="shared" si="3"/>
        <v>108.83697372586262</v>
      </c>
      <c r="Q15" s="25">
        <f t="shared" si="4"/>
        <v>27.04220211964923</v>
      </c>
    </row>
    <row r="16" spans="1:17" ht="12.75">
      <c r="A16" s="36" t="s">
        <v>14</v>
      </c>
      <c r="B16" s="36"/>
      <c r="C16" s="35" t="s">
        <v>13</v>
      </c>
      <c r="D16" s="60">
        <f t="shared" si="5"/>
        <v>5108.6</v>
      </c>
      <c r="E16" s="60">
        <f t="shared" si="6"/>
        <v>1277</v>
      </c>
      <c r="F16" s="60">
        <v>1277</v>
      </c>
      <c r="G16" s="60">
        <v>1277.1</v>
      </c>
      <c r="H16" s="24">
        <v>1277.1</v>
      </c>
      <c r="I16" s="25">
        <v>1277.4</v>
      </c>
      <c r="J16" s="25">
        <v>3585.2</v>
      </c>
      <c r="K16" s="27" t="e">
        <f>J16/#REF!*100</f>
        <v>#REF!</v>
      </c>
      <c r="L16" s="27">
        <f t="shared" si="1"/>
        <v>280.729778404197</v>
      </c>
      <c r="M16" s="57"/>
      <c r="N16" s="57"/>
      <c r="O16" s="24">
        <f t="shared" si="2"/>
        <v>280.6638484421481</v>
      </c>
      <c r="P16" s="27">
        <f t="shared" si="3"/>
        <v>280.7517619420517</v>
      </c>
      <c r="Q16" s="25">
        <f t="shared" si="4"/>
        <v>70.1796969815605</v>
      </c>
    </row>
    <row r="17" spans="1:17" ht="12.75">
      <c r="A17" s="37" t="s">
        <v>42</v>
      </c>
      <c r="B17" s="37"/>
      <c r="C17" s="35" t="s">
        <v>43</v>
      </c>
      <c r="D17" s="60">
        <f t="shared" si="5"/>
        <v>14127.1</v>
      </c>
      <c r="E17" s="60">
        <f t="shared" si="6"/>
        <v>3107.4</v>
      </c>
      <c r="F17" s="60">
        <v>3107.4</v>
      </c>
      <c r="G17" s="60">
        <v>3680.2</v>
      </c>
      <c r="H17" s="24">
        <v>3677.5</v>
      </c>
      <c r="I17" s="25">
        <v>3662</v>
      </c>
      <c r="J17" s="25">
        <v>3619.7</v>
      </c>
      <c r="K17" s="27" t="e">
        <f>J17/#REF!*100</f>
        <v>#REF!</v>
      </c>
      <c r="L17" s="27">
        <f t="shared" si="1"/>
        <v>98.42828008157716</v>
      </c>
      <c r="M17" s="57"/>
      <c r="N17" s="57"/>
      <c r="O17" s="24">
        <f t="shared" si="2"/>
        <v>98.84489350081923</v>
      </c>
      <c r="P17" s="27">
        <f t="shared" si="3"/>
        <v>116.4864516959516</v>
      </c>
      <c r="Q17" s="25">
        <f t="shared" si="4"/>
        <v>25.62238534447976</v>
      </c>
    </row>
    <row r="18" spans="1:17" ht="12.75">
      <c r="A18" s="37" t="s">
        <v>18</v>
      </c>
      <c r="B18" s="37"/>
      <c r="C18" s="35" t="s">
        <v>15</v>
      </c>
      <c r="D18" s="60">
        <f t="shared" si="5"/>
        <v>13419</v>
      </c>
      <c r="E18" s="60">
        <f t="shared" si="6"/>
        <v>3229.5</v>
      </c>
      <c r="F18" s="60">
        <v>3229.5</v>
      </c>
      <c r="G18" s="60">
        <v>3729.5</v>
      </c>
      <c r="H18" s="24">
        <v>3229.5</v>
      </c>
      <c r="I18" s="25">
        <v>3230.5</v>
      </c>
      <c r="J18" s="25">
        <v>5124.8</v>
      </c>
      <c r="K18" s="27" t="e">
        <f>J18/#REF!*100</f>
        <v>#REF!</v>
      </c>
      <c r="L18" s="27">
        <f t="shared" si="1"/>
        <v>158.68710326675958</v>
      </c>
      <c r="M18" s="57"/>
      <c r="N18" s="57"/>
      <c r="O18" s="24">
        <f t="shared" si="2"/>
        <v>158.6379817365733</v>
      </c>
      <c r="P18" s="27">
        <f t="shared" si="3"/>
        <v>158.68710326675955</v>
      </c>
      <c r="Q18" s="25">
        <f t="shared" si="4"/>
        <v>38.19062523287875</v>
      </c>
    </row>
    <row r="19" spans="1:17" ht="12.75">
      <c r="A19" s="37" t="s">
        <v>60</v>
      </c>
      <c r="B19" s="37"/>
      <c r="C19" s="35" t="s">
        <v>61</v>
      </c>
      <c r="D19" s="60">
        <f t="shared" si="5"/>
        <v>6</v>
      </c>
      <c r="E19" s="60">
        <f t="shared" si="6"/>
        <v>1</v>
      </c>
      <c r="F19" s="60">
        <v>1</v>
      </c>
      <c r="G19" s="60">
        <v>2</v>
      </c>
      <c r="H19" s="24">
        <v>1</v>
      </c>
      <c r="I19" s="25">
        <v>2</v>
      </c>
      <c r="J19" s="25">
        <v>6</v>
      </c>
      <c r="K19" s="27" t="e">
        <f>J19/#REF!*100</f>
        <v>#REF!</v>
      </c>
      <c r="L19" s="27">
        <f t="shared" si="1"/>
        <v>600</v>
      </c>
      <c r="M19" s="57"/>
      <c r="N19" s="57"/>
      <c r="O19" s="24">
        <f t="shared" si="2"/>
        <v>300</v>
      </c>
      <c r="P19" s="27">
        <f t="shared" si="3"/>
        <v>600</v>
      </c>
      <c r="Q19" s="25">
        <f t="shared" si="4"/>
        <v>100</v>
      </c>
    </row>
    <row r="20" spans="1:17" ht="12.75">
      <c r="A20" s="28" t="s">
        <v>12</v>
      </c>
      <c r="B20" s="28"/>
      <c r="C20" s="35" t="s">
        <v>7</v>
      </c>
      <c r="D20" s="60">
        <f t="shared" si="5"/>
        <v>4453.7</v>
      </c>
      <c r="E20" s="60">
        <f t="shared" si="6"/>
        <v>1110</v>
      </c>
      <c r="F20" s="60">
        <v>1110</v>
      </c>
      <c r="G20" s="60">
        <v>1112.7</v>
      </c>
      <c r="H20" s="24">
        <v>1112.7</v>
      </c>
      <c r="I20" s="25">
        <v>1118.3</v>
      </c>
      <c r="J20" s="25">
        <v>11546.1</v>
      </c>
      <c r="K20" s="27" t="e">
        <f>J20/#REF!*100</f>
        <v>#REF!</v>
      </c>
      <c r="L20" s="27">
        <f t="shared" si="1"/>
        <v>1037.6651388514424</v>
      </c>
      <c r="M20" s="57"/>
      <c r="N20" s="57"/>
      <c r="O20" s="24">
        <f t="shared" si="2"/>
        <v>1032.4689260484665</v>
      </c>
      <c r="P20" s="27">
        <f t="shared" si="3"/>
        <v>1040.1891891891892</v>
      </c>
      <c r="Q20" s="25">
        <f t="shared" si="4"/>
        <v>259.2473673574781</v>
      </c>
    </row>
    <row r="21" spans="1:17" ht="12.75">
      <c r="A21" s="38" t="s">
        <v>39</v>
      </c>
      <c r="B21" s="68"/>
      <c r="C21" s="23" t="s">
        <v>40</v>
      </c>
      <c r="D21" s="60">
        <f t="shared" si="5"/>
        <v>0</v>
      </c>
      <c r="E21" s="60">
        <f t="shared" si="6"/>
        <v>0</v>
      </c>
      <c r="F21" s="60"/>
      <c r="G21" s="60"/>
      <c r="H21" s="24"/>
      <c r="I21" s="25"/>
      <c r="J21" s="25">
        <v>203.2</v>
      </c>
      <c r="K21" s="27"/>
      <c r="L21" s="27"/>
      <c r="M21" s="57"/>
      <c r="N21" s="57"/>
      <c r="O21" s="24"/>
      <c r="P21" s="27"/>
      <c r="Q21" s="25"/>
    </row>
    <row r="22" spans="1:17" ht="12.75">
      <c r="A22" s="32" t="s">
        <v>1</v>
      </c>
      <c r="B22" s="32"/>
      <c r="C22" s="39" t="s">
        <v>0</v>
      </c>
      <c r="D22" s="40">
        <f aca="true" t="shared" si="7" ref="D22:I22">D23+D24+D26+D25</f>
        <v>2427442.5999999996</v>
      </c>
      <c r="E22" s="40">
        <f t="shared" si="7"/>
        <v>594962.9</v>
      </c>
      <c r="F22" s="40">
        <f t="shared" si="7"/>
        <v>594962.9</v>
      </c>
      <c r="G22" s="40">
        <f t="shared" si="7"/>
        <v>697793.4</v>
      </c>
      <c r="H22" s="40">
        <f t="shared" si="7"/>
        <v>524527.6</v>
      </c>
      <c r="I22" s="40">
        <f t="shared" si="7"/>
        <v>610158.7</v>
      </c>
      <c r="J22" s="40">
        <f>J23+J24+J26+J25+0.1</f>
        <v>502768.19999999995</v>
      </c>
      <c r="K22" s="34" t="e">
        <f>J22/#REF!*100</f>
        <v>#REF!</v>
      </c>
      <c r="L22" s="34">
        <f aca="true" t="shared" si="8" ref="L22:L27">J22/H22*100</f>
        <v>95.85161962878598</v>
      </c>
      <c r="M22" s="57"/>
      <c r="N22" s="57"/>
      <c r="O22" s="43">
        <f t="shared" si="2"/>
        <v>82.39957899477628</v>
      </c>
      <c r="P22" s="34">
        <f t="shared" si="3"/>
        <v>84.50412622366872</v>
      </c>
      <c r="Q22" s="31">
        <f t="shared" si="4"/>
        <v>20.711847110205614</v>
      </c>
    </row>
    <row r="23" spans="1:17" ht="24">
      <c r="A23" s="21" t="s">
        <v>67</v>
      </c>
      <c r="B23" s="19"/>
      <c r="C23" s="41" t="s">
        <v>20</v>
      </c>
      <c r="D23" s="60">
        <f t="shared" si="5"/>
        <v>2421763.0999999996</v>
      </c>
      <c r="E23" s="60">
        <f t="shared" si="6"/>
        <v>596783.4</v>
      </c>
      <c r="F23" s="60">
        <f>562903.9+33767.5+112</f>
        <v>596783.4</v>
      </c>
      <c r="G23" s="60">
        <v>695293.4</v>
      </c>
      <c r="H23" s="25">
        <v>522027.6</v>
      </c>
      <c r="I23" s="25">
        <f>607292.6+366.1</f>
        <v>607658.7</v>
      </c>
      <c r="J23" s="25">
        <v>502207.7</v>
      </c>
      <c r="K23" s="27" t="e">
        <f>J23/#REF!*100</f>
        <v>#REF!</v>
      </c>
      <c r="L23" s="27">
        <f t="shared" si="8"/>
        <v>96.20328503703637</v>
      </c>
      <c r="M23" s="57"/>
      <c r="N23" s="57"/>
      <c r="O23" s="24">
        <f t="shared" si="2"/>
        <v>82.64634407439571</v>
      </c>
      <c r="P23" s="27">
        <f t="shared" si="3"/>
        <v>84.15242448097584</v>
      </c>
      <c r="Q23" s="25">
        <f t="shared" si="4"/>
        <v>20.737276077912</v>
      </c>
    </row>
    <row r="24" spans="1:17" ht="13.5" customHeight="1">
      <c r="A24" s="21" t="s">
        <v>2</v>
      </c>
      <c r="B24" s="21"/>
      <c r="C24" s="42" t="s">
        <v>19</v>
      </c>
      <c r="D24" s="60">
        <f t="shared" si="5"/>
        <v>10000</v>
      </c>
      <c r="E24" s="60">
        <f t="shared" si="6"/>
        <v>2500</v>
      </c>
      <c r="F24" s="69">
        <v>2500</v>
      </c>
      <c r="G24" s="69">
        <v>2500</v>
      </c>
      <c r="H24" s="25">
        <v>2500</v>
      </c>
      <c r="I24" s="25">
        <v>2500</v>
      </c>
      <c r="J24" s="25">
        <v>4813.1</v>
      </c>
      <c r="K24" s="27" t="e">
        <f>J24/#REF!*100</f>
        <v>#REF!</v>
      </c>
      <c r="L24" s="27">
        <f t="shared" si="8"/>
        <v>192.524</v>
      </c>
      <c r="M24" s="57"/>
      <c r="N24" s="57"/>
      <c r="O24" s="24">
        <f t="shared" si="2"/>
        <v>192.52400000000003</v>
      </c>
      <c r="P24" s="27">
        <f t="shared" si="3"/>
        <v>192.52400000000003</v>
      </c>
      <c r="Q24" s="25">
        <f t="shared" si="4"/>
        <v>48.13100000000001</v>
      </c>
    </row>
    <row r="25" spans="1:17" ht="40.5" customHeight="1">
      <c r="A25" s="21" t="s">
        <v>65</v>
      </c>
      <c r="B25" s="22" t="s">
        <v>64</v>
      </c>
      <c r="C25" s="23" t="s">
        <v>64</v>
      </c>
      <c r="D25" s="60">
        <f t="shared" si="5"/>
        <v>0</v>
      </c>
      <c r="E25" s="60">
        <f t="shared" si="6"/>
        <v>0</v>
      </c>
      <c r="F25" s="60"/>
      <c r="G25" s="60"/>
      <c r="H25" s="25"/>
      <c r="I25" s="25"/>
      <c r="J25" s="25">
        <v>67.8</v>
      </c>
      <c r="K25" s="27" t="e">
        <f>J25/#REF!*100</f>
        <v>#REF!</v>
      </c>
      <c r="L25" s="27"/>
      <c r="M25" s="57"/>
      <c r="N25" s="57"/>
      <c r="O25" s="24" t="e">
        <f t="shared" si="2"/>
        <v>#DIV/0!</v>
      </c>
      <c r="P25" s="27"/>
      <c r="Q25" s="25"/>
    </row>
    <row r="26" spans="1:17" ht="24" customHeight="1">
      <c r="A26" s="21" t="s">
        <v>66</v>
      </c>
      <c r="B26" s="70"/>
      <c r="C26" s="26" t="s">
        <v>63</v>
      </c>
      <c r="D26" s="60">
        <f t="shared" si="5"/>
        <v>-4320.5</v>
      </c>
      <c r="E26" s="60">
        <f>F26</f>
        <v>-4320.5</v>
      </c>
      <c r="F26" s="71">
        <v>-4320.5</v>
      </c>
      <c r="G26" s="71"/>
      <c r="H26" s="25"/>
      <c r="I26" s="25"/>
      <c r="J26" s="25">
        <v>-4320.5</v>
      </c>
      <c r="K26" s="27" t="e">
        <f>J26/#REF!*100</f>
        <v>#REF!</v>
      </c>
      <c r="L26" s="27"/>
      <c r="M26" s="57"/>
      <c r="N26" s="57"/>
      <c r="O26" s="24" t="e">
        <f t="shared" si="2"/>
        <v>#DIV/0!</v>
      </c>
      <c r="P26" s="27">
        <f>J26*100/E26</f>
        <v>100</v>
      </c>
      <c r="Q26" s="25">
        <f>J26*100/D26</f>
        <v>100</v>
      </c>
    </row>
    <row r="27" spans="1:17" ht="12.75">
      <c r="A27" s="28"/>
      <c r="B27" s="29"/>
      <c r="C27" s="30" t="s">
        <v>4</v>
      </c>
      <c r="D27" s="31">
        <f aca="true" t="shared" si="9" ref="D27:J27">D22+D8</f>
        <v>3193991.9999999995</v>
      </c>
      <c r="E27" s="31">
        <f t="shared" si="9"/>
        <v>775291.8</v>
      </c>
      <c r="F27" s="31">
        <f t="shared" si="9"/>
        <v>775291.8</v>
      </c>
      <c r="G27" s="31">
        <f t="shared" si="9"/>
        <v>908791.3</v>
      </c>
      <c r="H27" s="31">
        <f t="shared" si="9"/>
        <v>701651.3</v>
      </c>
      <c r="I27" s="31">
        <f t="shared" si="9"/>
        <v>808257.5999999999</v>
      </c>
      <c r="J27" s="31">
        <f t="shared" si="9"/>
        <v>721220.3999999999</v>
      </c>
      <c r="K27" s="34" t="e">
        <f>J27/#REF!*100</f>
        <v>#REF!</v>
      </c>
      <c r="L27" s="34">
        <f t="shared" si="8"/>
        <v>102.78900644807469</v>
      </c>
      <c r="M27" s="57"/>
      <c r="N27" s="58" t="e">
        <f>I27+#REF!+#REF!</f>
        <v>#REF!</v>
      </c>
      <c r="O27" s="43">
        <f t="shared" si="2"/>
        <v>89.23150243189795</v>
      </c>
      <c r="P27" s="34">
        <f t="shared" si="3"/>
        <v>93.02567110860709</v>
      </c>
      <c r="Q27" s="31">
        <f t="shared" si="4"/>
        <v>22.580532449674262</v>
      </c>
    </row>
    <row r="28" spans="1:17" ht="12.75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8"/>
      <c r="M28" s="57"/>
      <c r="N28" s="57"/>
      <c r="O28" s="56"/>
      <c r="P28" s="34"/>
      <c r="Q28" s="31"/>
    </row>
    <row r="29" spans="1:17" ht="12.75">
      <c r="A29" s="95" t="s">
        <v>25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34"/>
      <c r="Q29" s="31"/>
    </row>
    <row r="30" spans="1:17" ht="12.75">
      <c r="A30" s="32" t="s">
        <v>3</v>
      </c>
      <c r="B30" s="32"/>
      <c r="C30" s="33" t="s">
        <v>68</v>
      </c>
      <c r="D30" s="34">
        <f aca="true" t="shared" si="10" ref="D30:J30">D31+D33+D35+D37+D34+D36+D38+D32</f>
        <v>17639.6</v>
      </c>
      <c r="E30" s="34">
        <f t="shared" si="10"/>
        <v>4517.4</v>
      </c>
      <c r="F30" s="34">
        <f t="shared" si="10"/>
        <v>4517.4</v>
      </c>
      <c r="G30" s="34">
        <f t="shared" si="10"/>
        <v>4374.3</v>
      </c>
      <c r="H30" s="34">
        <f t="shared" si="10"/>
        <v>4374.3</v>
      </c>
      <c r="I30" s="34">
        <f t="shared" si="10"/>
        <v>4373.6</v>
      </c>
      <c r="J30" s="34">
        <f t="shared" si="10"/>
        <v>4463</v>
      </c>
      <c r="K30" s="34" t="e">
        <f>J30/#REF!*100</f>
        <v>#REF!</v>
      </c>
      <c r="L30" s="34">
        <f aca="true" t="shared" si="11" ref="L30:L37">J30/H30*100</f>
        <v>102.02775301191048</v>
      </c>
      <c r="M30" s="57"/>
      <c r="N30" s="57"/>
      <c r="O30" s="34">
        <f t="shared" si="2"/>
        <v>102.04408267788548</v>
      </c>
      <c r="P30" s="34">
        <f t="shared" si="3"/>
        <v>98.79576747686723</v>
      </c>
      <c r="Q30" s="31">
        <f t="shared" si="4"/>
        <v>25.30102723417765</v>
      </c>
    </row>
    <row r="31" spans="1:17" ht="12.75">
      <c r="A31" s="19" t="s">
        <v>23</v>
      </c>
      <c r="B31" s="19"/>
      <c r="C31" s="65" t="s">
        <v>22</v>
      </c>
      <c r="D31" s="60">
        <f aca="true" t="shared" si="12" ref="D31:D37">F31+G31+H31+I31</f>
        <v>13130</v>
      </c>
      <c r="E31" s="60">
        <f aca="true" t="shared" si="13" ref="E31:E41">F31</f>
        <v>3282.5</v>
      </c>
      <c r="F31" s="66">
        <v>3282.5</v>
      </c>
      <c r="G31" s="66">
        <v>3282.5</v>
      </c>
      <c r="H31" s="24">
        <v>3282.5</v>
      </c>
      <c r="I31" s="25">
        <v>3282.5</v>
      </c>
      <c r="J31" s="67">
        <v>3488.1</v>
      </c>
      <c r="K31" s="27" t="e">
        <f>J31/#REF!*100</f>
        <v>#REF!</v>
      </c>
      <c r="L31" s="27">
        <f t="shared" si="11"/>
        <v>106.26351865955826</v>
      </c>
      <c r="M31" s="57"/>
      <c r="N31" s="57"/>
      <c r="O31" s="24">
        <f t="shared" si="2"/>
        <v>106.26351865955826</v>
      </c>
      <c r="P31" s="27">
        <f>J31*100/E31</f>
        <v>106.26351865955826</v>
      </c>
      <c r="Q31" s="25">
        <f t="shared" si="4"/>
        <v>26.565879664889565</v>
      </c>
    </row>
    <row r="32" spans="1:17" ht="12.75">
      <c r="A32" s="19" t="s">
        <v>70</v>
      </c>
      <c r="B32" s="19"/>
      <c r="C32" s="35" t="s">
        <v>71</v>
      </c>
      <c r="D32" s="60">
        <f t="shared" si="12"/>
        <v>1279.5</v>
      </c>
      <c r="E32" s="60">
        <f t="shared" si="13"/>
        <v>320</v>
      </c>
      <c r="F32" s="66">
        <v>320</v>
      </c>
      <c r="G32" s="66">
        <v>320</v>
      </c>
      <c r="H32" s="24">
        <v>320</v>
      </c>
      <c r="I32" s="25">
        <v>319.5</v>
      </c>
      <c r="J32" s="67">
        <v>329</v>
      </c>
      <c r="K32" s="27"/>
      <c r="L32" s="27"/>
      <c r="M32" s="57"/>
      <c r="N32" s="57"/>
      <c r="O32" s="24"/>
      <c r="P32" s="27">
        <f>J32*100/E32</f>
        <v>102.8125</v>
      </c>
      <c r="Q32" s="25">
        <f>J32*100/D32</f>
        <v>25.713169206721375</v>
      </c>
    </row>
    <row r="33" spans="1:17" ht="12.75">
      <c r="A33" s="19" t="s">
        <v>9</v>
      </c>
      <c r="B33" s="19"/>
      <c r="C33" s="35" t="s">
        <v>6</v>
      </c>
      <c r="D33" s="60">
        <f t="shared" si="12"/>
        <v>622</v>
      </c>
      <c r="E33" s="60">
        <f t="shared" si="13"/>
        <v>155.5</v>
      </c>
      <c r="F33" s="60">
        <v>155.5</v>
      </c>
      <c r="G33" s="60">
        <v>155.5</v>
      </c>
      <c r="H33" s="24">
        <v>155.5</v>
      </c>
      <c r="I33" s="25">
        <v>155.5</v>
      </c>
      <c r="J33" s="25">
        <f>110.2-0.1</f>
        <v>110.10000000000001</v>
      </c>
      <c r="K33" s="27" t="e">
        <f>J33/#REF!*100</f>
        <v>#REF!</v>
      </c>
      <c r="L33" s="27">
        <f t="shared" si="11"/>
        <v>70.80385852090033</v>
      </c>
      <c r="M33" s="57"/>
      <c r="N33" s="57"/>
      <c r="O33" s="24">
        <f t="shared" si="2"/>
        <v>70.80385852090032</v>
      </c>
      <c r="P33" s="27">
        <f t="shared" si="3"/>
        <v>70.80385852090032</v>
      </c>
      <c r="Q33" s="25">
        <f t="shared" si="4"/>
        <v>17.70096463022508</v>
      </c>
    </row>
    <row r="34" spans="1:17" ht="12.75">
      <c r="A34" s="19" t="s">
        <v>10</v>
      </c>
      <c r="B34" s="19"/>
      <c r="C34" s="35" t="s">
        <v>21</v>
      </c>
      <c r="D34" s="60">
        <f t="shared" si="12"/>
        <v>24</v>
      </c>
      <c r="E34" s="60">
        <f t="shared" si="13"/>
        <v>6</v>
      </c>
      <c r="F34" s="60">
        <v>6</v>
      </c>
      <c r="G34" s="60">
        <v>6</v>
      </c>
      <c r="H34" s="24">
        <v>6</v>
      </c>
      <c r="I34" s="25">
        <v>6</v>
      </c>
      <c r="J34" s="25">
        <v>2.4</v>
      </c>
      <c r="K34" s="27" t="e">
        <f>J34/#REF!*100</f>
        <v>#REF!</v>
      </c>
      <c r="L34" s="27">
        <f t="shared" si="11"/>
        <v>40</v>
      </c>
      <c r="M34" s="57"/>
      <c r="N34" s="57"/>
      <c r="O34" s="24">
        <f t="shared" si="2"/>
        <v>40</v>
      </c>
      <c r="P34" s="27">
        <f t="shared" si="3"/>
        <v>40</v>
      </c>
      <c r="Q34" s="25">
        <f t="shared" si="4"/>
        <v>10</v>
      </c>
    </row>
    <row r="35" spans="1:17" ht="24">
      <c r="A35" s="20" t="s">
        <v>11</v>
      </c>
      <c r="B35" s="20"/>
      <c r="C35" s="35" t="s">
        <v>17</v>
      </c>
      <c r="D35" s="60">
        <f t="shared" si="12"/>
        <v>1773.6</v>
      </c>
      <c r="E35" s="60">
        <f t="shared" si="13"/>
        <v>455.5</v>
      </c>
      <c r="F35" s="60">
        <f>439.4+16.1</f>
        <v>455.5</v>
      </c>
      <c r="G35" s="60">
        <v>439.4</v>
      </c>
      <c r="H35" s="24">
        <v>439.4</v>
      </c>
      <c r="I35" s="25">
        <v>439.3</v>
      </c>
      <c r="J35" s="25">
        <v>242.9</v>
      </c>
      <c r="K35" s="27" t="e">
        <f>J35/#REF!*100</f>
        <v>#REF!</v>
      </c>
      <c r="L35" s="27">
        <f t="shared" si="11"/>
        <v>55.2799271734183</v>
      </c>
      <c r="M35" s="57"/>
      <c r="N35" s="57"/>
      <c r="O35" s="24">
        <f t="shared" si="2"/>
        <v>55.292510812656495</v>
      </c>
      <c r="P35" s="27">
        <f t="shared" si="3"/>
        <v>53.32601536772777</v>
      </c>
      <c r="Q35" s="25">
        <f t="shared" si="4"/>
        <v>13.695308976093822</v>
      </c>
    </row>
    <row r="36" spans="1:17" ht="15" customHeight="1">
      <c r="A36" s="37" t="s">
        <v>42</v>
      </c>
      <c r="B36" s="37"/>
      <c r="C36" s="35" t="s">
        <v>43</v>
      </c>
      <c r="D36" s="60">
        <f t="shared" si="12"/>
        <v>743</v>
      </c>
      <c r="E36" s="60">
        <f t="shared" si="13"/>
        <v>281</v>
      </c>
      <c r="F36" s="60">
        <f>154+127</f>
        <v>281</v>
      </c>
      <c r="G36" s="60">
        <v>154</v>
      </c>
      <c r="H36" s="24">
        <v>154</v>
      </c>
      <c r="I36" s="25">
        <v>154</v>
      </c>
      <c r="J36" s="25">
        <v>250</v>
      </c>
      <c r="K36" s="27"/>
      <c r="L36" s="27">
        <f t="shared" si="11"/>
        <v>162.33766233766232</v>
      </c>
      <c r="M36" s="57"/>
      <c r="N36" s="57"/>
      <c r="O36" s="24">
        <f t="shared" si="2"/>
        <v>162.33766233766235</v>
      </c>
      <c r="P36" s="27">
        <f t="shared" si="3"/>
        <v>88.96797153024912</v>
      </c>
      <c r="Q36" s="25">
        <f t="shared" si="4"/>
        <v>33.64737550471063</v>
      </c>
    </row>
    <row r="37" spans="1:17" ht="12.75">
      <c r="A37" s="36" t="s">
        <v>18</v>
      </c>
      <c r="B37" s="36"/>
      <c r="C37" s="35" t="s">
        <v>15</v>
      </c>
      <c r="D37" s="60">
        <f t="shared" si="12"/>
        <v>67.5</v>
      </c>
      <c r="E37" s="60">
        <f t="shared" si="13"/>
        <v>16.9</v>
      </c>
      <c r="F37" s="60">
        <v>16.9</v>
      </c>
      <c r="G37" s="60">
        <v>16.9</v>
      </c>
      <c r="H37" s="24">
        <v>16.9</v>
      </c>
      <c r="I37" s="25">
        <v>16.8</v>
      </c>
      <c r="J37" s="25">
        <v>37.5</v>
      </c>
      <c r="K37" s="27" t="e">
        <f>J37/#REF!*100</f>
        <v>#REF!</v>
      </c>
      <c r="L37" s="27">
        <f t="shared" si="11"/>
        <v>221.89349112426035</v>
      </c>
      <c r="M37" s="57"/>
      <c r="N37" s="57"/>
      <c r="O37" s="24">
        <f t="shared" si="2"/>
        <v>223.2142857142857</v>
      </c>
      <c r="P37" s="27">
        <f t="shared" si="3"/>
        <v>221.89349112426038</v>
      </c>
      <c r="Q37" s="25">
        <f t="shared" si="4"/>
        <v>55.55555555555556</v>
      </c>
    </row>
    <row r="38" spans="1:17" ht="15.75" customHeight="1">
      <c r="A38" s="38" t="s">
        <v>39</v>
      </c>
      <c r="B38" s="68"/>
      <c r="C38" s="23" t="s">
        <v>40</v>
      </c>
      <c r="D38" s="35"/>
      <c r="E38" s="60">
        <f t="shared" si="13"/>
        <v>0</v>
      </c>
      <c r="F38" s="60"/>
      <c r="G38" s="60"/>
      <c r="H38" s="24"/>
      <c r="I38" s="25"/>
      <c r="J38" s="25">
        <v>3</v>
      </c>
      <c r="K38" s="27"/>
      <c r="L38" s="27"/>
      <c r="M38" s="57"/>
      <c r="N38" s="57"/>
      <c r="O38" s="24" t="e">
        <f t="shared" si="2"/>
        <v>#DIV/0!</v>
      </c>
      <c r="P38" s="34"/>
      <c r="Q38" s="31"/>
    </row>
    <row r="39" spans="1:17" ht="12.75">
      <c r="A39" s="32" t="s">
        <v>1</v>
      </c>
      <c r="B39" s="32"/>
      <c r="C39" s="39" t="s">
        <v>0</v>
      </c>
      <c r="D39" s="40">
        <f>D40+D41</f>
        <v>19884</v>
      </c>
      <c r="E39" s="40">
        <f aca="true" t="shared" si="14" ref="E39:J39">E40+E41</f>
        <v>8298.400000000001</v>
      </c>
      <c r="F39" s="40">
        <f t="shared" si="14"/>
        <v>8298.400000000001</v>
      </c>
      <c r="G39" s="40">
        <f t="shared" si="14"/>
        <v>3861.9</v>
      </c>
      <c r="H39" s="40">
        <f t="shared" si="14"/>
        <v>3861.9</v>
      </c>
      <c r="I39" s="40">
        <f t="shared" si="14"/>
        <v>3861.8</v>
      </c>
      <c r="J39" s="40">
        <f t="shared" si="14"/>
        <v>2979.7</v>
      </c>
      <c r="K39" s="40" t="e">
        <f>K40</f>
        <v>#REF!</v>
      </c>
      <c r="L39" s="34">
        <f>J39/H39*100</f>
        <v>77.15632201765969</v>
      </c>
      <c r="M39" s="57"/>
      <c r="N39" s="57"/>
      <c r="O39" s="43">
        <f t="shared" si="2"/>
        <v>77.1583199544254</v>
      </c>
      <c r="P39" s="34">
        <f t="shared" si="3"/>
        <v>35.90692181625373</v>
      </c>
      <c r="Q39" s="31">
        <f t="shared" si="4"/>
        <v>14.98541540937437</v>
      </c>
    </row>
    <row r="40" spans="1:17" ht="24">
      <c r="A40" s="21" t="s">
        <v>67</v>
      </c>
      <c r="B40" s="19"/>
      <c r="C40" s="41" t="s">
        <v>20</v>
      </c>
      <c r="D40" s="60">
        <f>F40+G40+H40+I40</f>
        <v>19951.8</v>
      </c>
      <c r="E40" s="60">
        <f t="shared" si="13"/>
        <v>8366.2</v>
      </c>
      <c r="F40" s="44">
        <f>8355.1+11.1</f>
        <v>8366.2</v>
      </c>
      <c r="G40" s="44">
        <v>3861.9</v>
      </c>
      <c r="H40" s="24">
        <v>3861.9</v>
      </c>
      <c r="I40" s="44">
        <v>3861.8</v>
      </c>
      <c r="J40" s="25">
        <v>3047.5</v>
      </c>
      <c r="K40" s="27" t="e">
        <f>J40/#REF!*100</f>
        <v>#REF!</v>
      </c>
      <c r="L40" s="27">
        <f>J40/H40*100</f>
        <v>78.91193453999327</v>
      </c>
      <c r="M40" s="57"/>
      <c r="N40" s="57"/>
      <c r="O40" s="24">
        <f t="shared" si="2"/>
        <v>78.91397793774924</v>
      </c>
      <c r="P40" s="27">
        <f t="shared" si="3"/>
        <v>36.426334536587696</v>
      </c>
      <c r="Q40" s="25">
        <f t="shared" si="4"/>
        <v>15.274311089726242</v>
      </c>
    </row>
    <row r="41" spans="1:17" ht="23.25" customHeight="1">
      <c r="A41" s="21" t="s">
        <v>66</v>
      </c>
      <c r="B41" s="70"/>
      <c r="C41" s="26" t="s">
        <v>63</v>
      </c>
      <c r="D41" s="60">
        <f>F41+G41+H41+I41</f>
        <v>-67.8</v>
      </c>
      <c r="E41" s="60">
        <f t="shared" si="13"/>
        <v>-67.8</v>
      </c>
      <c r="F41" s="44">
        <v>-67.8</v>
      </c>
      <c r="G41" s="44"/>
      <c r="H41" s="24"/>
      <c r="I41" s="44"/>
      <c r="J41" s="25">
        <v>-67.8</v>
      </c>
      <c r="K41" s="27"/>
      <c r="L41" s="27"/>
      <c r="M41" s="57"/>
      <c r="N41" s="57"/>
      <c r="O41" s="24"/>
      <c r="P41" s="27"/>
      <c r="Q41" s="25"/>
    </row>
    <row r="42" spans="1:17" ht="12.75">
      <c r="A42" s="28"/>
      <c r="B42" s="29"/>
      <c r="C42" s="30" t="s">
        <v>4</v>
      </c>
      <c r="D42" s="31">
        <f aca="true" t="shared" si="15" ref="D42:I42">D39+D30</f>
        <v>37523.6</v>
      </c>
      <c r="E42" s="31">
        <f t="shared" si="15"/>
        <v>12815.800000000001</v>
      </c>
      <c r="F42" s="31">
        <f t="shared" si="15"/>
        <v>12815.800000000001</v>
      </c>
      <c r="G42" s="31">
        <f t="shared" si="15"/>
        <v>8236.2</v>
      </c>
      <c r="H42" s="31">
        <f t="shared" si="15"/>
        <v>8236.2</v>
      </c>
      <c r="I42" s="31">
        <f t="shared" si="15"/>
        <v>8235.400000000001</v>
      </c>
      <c r="J42" s="31">
        <f>J39+J30</f>
        <v>7442.7</v>
      </c>
      <c r="K42" s="34" t="e">
        <f>J42/#REF!*100</f>
        <v>#REF!</v>
      </c>
      <c r="L42" s="34">
        <f>J42/H42*100</f>
        <v>90.36570262985356</v>
      </c>
      <c r="M42" s="57"/>
      <c r="N42" s="58" t="e">
        <f>I42+#REF!+#REF!</f>
        <v>#REF!</v>
      </c>
      <c r="O42" s="43">
        <f t="shared" si="2"/>
        <v>90.37448089953128</v>
      </c>
      <c r="P42" s="34">
        <f t="shared" si="3"/>
        <v>58.07440815243683</v>
      </c>
      <c r="Q42" s="31">
        <f t="shared" si="4"/>
        <v>19.834717351213637</v>
      </c>
    </row>
    <row r="43" spans="1:17" ht="12.75">
      <c r="A43" s="45"/>
      <c r="B43" s="46"/>
      <c r="C43" s="99"/>
      <c r="D43" s="99"/>
      <c r="E43" s="99"/>
      <c r="F43" s="99"/>
      <c r="G43" s="99"/>
      <c r="H43" s="99"/>
      <c r="I43" s="99"/>
      <c r="J43" s="99"/>
      <c r="K43" s="99"/>
      <c r="L43" s="100"/>
      <c r="M43" s="57"/>
      <c r="N43" s="57"/>
      <c r="O43" s="56"/>
      <c r="P43" s="34"/>
      <c r="Q43" s="31"/>
    </row>
    <row r="44" spans="1:17" ht="12.75">
      <c r="A44" s="95" t="s">
        <v>26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34"/>
      <c r="Q44" s="31"/>
    </row>
    <row r="45" spans="1:17" ht="12.75">
      <c r="A45" s="32" t="s">
        <v>3</v>
      </c>
      <c r="B45" s="32"/>
      <c r="C45" s="33" t="s">
        <v>68</v>
      </c>
      <c r="D45" s="34">
        <f>D46+D49+D51+D53+D54+D55+D50+D48+D47+D52</f>
        <v>17783.1</v>
      </c>
      <c r="E45" s="34">
        <f aca="true" t="shared" si="16" ref="E45:J45">E46+E49+E51+E53+E54+E55+E50+E48+E47+E52</f>
        <v>4352.599999999999</v>
      </c>
      <c r="F45" s="34">
        <f t="shared" si="16"/>
        <v>4352.599999999999</v>
      </c>
      <c r="G45" s="34">
        <f t="shared" si="16"/>
        <v>4276.299999999999</v>
      </c>
      <c r="H45" s="34">
        <f t="shared" si="16"/>
        <v>4291.299999999999</v>
      </c>
      <c r="I45" s="34">
        <f t="shared" si="16"/>
        <v>4862.9</v>
      </c>
      <c r="J45" s="34">
        <f t="shared" si="16"/>
        <v>4737.2</v>
      </c>
      <c r="K45" s="34" t="e">
        <f>J45/#REF!*100</f>
        <v>#REF!</v>
      </c>
      <c r="L45" s="34">
        <f>J45/H45*100</f>
        <v>110.39079066949411</v>
      </c>
      <c r="M45" s="57"/>
      <c r="N45" s="57"/>
      <c r="O45" s="34">
        <f t="shared" si="2"/>
        <v>97.41512266343129</v>
      </c>
      <c r="P45" s="34">
        <f t="shared" si="3"/>
        <v>108.83609796443507</v>
      </c>
      <c r="Q45" s="31">
        <f t="shared" si="4"/>
        <v>26.63877501672937</v>
      </c>
    </row>
    <row r="46" spans="1:17" ht="12.75">
      <c r="A46" s="28" t="s">
        <v>23</v>
      </c>
      <c r="B46" s="19"/>
      <c r="C46" s="65" t="s">
        <v>22</v>
      </c>
      <c r="D46" s="60">
        <f aca="true" t="shared" si="17" ref="D46:D59">F46+G46+H46+I46</f>
        <v>11950</v>
      </c>
      <c r="E46" s="60">
        <f aca="true" t="shared" si="18" ref="E46:E59">F46</f>
        <v>2664.1</v>
      </c>
      <c r="F46" s="60">
        <v>2664.1</v>
      </c>
      <c r="G46" s="60">
        <v>3091.2</v>
      </c>
      <c r="H46" s="24">
        <v>3091.2</v>
      </c>
      <c r="I46" s="25">
        <v>3103.5</v>
      </c>
      <c r="J46" s="67">
        <v>2879</v>
      </c>
      <c r="K46" s="27" t="e">
        <f>J46/#REF!*100</f>
        <v>#REF!</v>
      </c>
      <c r="L46" s="27">
        <f>J46/H46*100</f>
        <v>93.13535196687371</v>
      </c>
      <c r="M46" s="57"/>
      <c r="N46" s="57"/>
      <c r="O46" s="24">
        <f t="shared" si="2"/>
        <v>92.76623167391655</v>
      </c>
      <c r="P46" s="27">
        <f t="shared" si="3"/>
        <v>108.066514019744</v>
      </c>
      <c r="Q46" s="25">
        <f t="shared" si="4"/>
        <v>24.09205020920502</v>
      </c>
    </row>
    <row r="47" spans="1:17" ht="12.75">
      <c r="A47" s="19" t="s">
        <v>70</v>
      </c>
      <c r="B47" s="19"/>
      <c r="C47" s="35" t="s">
        <v>71</v>
      </c>
      <c r="D47" s="60">
        <f t="shared" si="17"/>
        <v>3002.3</v>
      </c>
      <c r="E47" s="60">
        <f t="shared" si="18"/>
        <v>773.9</v>
      </c>
      <c r="F47" s="60">
        <v>773.9</v>
      </c>
      <c r="G47" s="60">
        <v>726</v>
      </c>
      <c r="H47" s="24">
        <v>726</v>
      </c>
      <c r="I47" s="25">
        <v>776.4</v>
      </c>
      <c r="J47" s="67">
        <v>771.9</v>
      </c>
      <c r="K47" s="27"/>
      <c r="L47" s="27"/>
      <c r="M47" s="57"/>
      <c r="N47" s="57"/>
      <c r="O47" s="24"/>
      <c r="P47" s="27">
        <f>J47*100/E47</f>
        <v>99.7415686781238</v>
      </c>
      <c r="Q47" s="25">
        <f>J47*100/D47</f>
        <v>25.71028877860307</v>
      </c>
    </row>
    <row r="48" spans="1:17" ht="12.75">
      <c r="A48" s="19" t="s">
        <v>8</v>
      </c>
      <c r="B48" s="19"/>
      <c r="C48" s="35" t="s">
        <v>5</v>
      </c>
      <c r="D48" s="60">
        <f t="shared" si="17"/>
        <v>13</v>
      </c>
      <c r="E48" s="60">
        <f t="shared" si="18"/>
        <v>3</v>
      </c>
      <c r="F48" s="60">
        <v>3</v>
      </c>
      <c r="G48" s="60">
        <v>3</v>
      </c>
      <c r="H48" s="24">
        <v>3</v>
      </c>
      <c r="I48" s="25">
        <v>4</v>
      </c>
      <c r="J48" s="67">
        <v>11.2</v>
      </c>
      <c r="K48" s="27" t="e">
        <f>J48/#REF!*100</f>
        <v>#REF!</v>
      </c>
      <c r="L48" s="27">
        <f>J48/H48*100</f>
        <v>373.3333333333333</v>
      </c>
      <c r="M48" s="57"/>
      <c r="N48" s="57"/>
      <c r="O48" s="24">
        <f t="shared" si="2"/>
        <v>280</v>
      </c>
      <c r="P48" s="27">
        <f t="shared" si="3"/>
        <v>373.3333333333333</v>
      </c>
      <c r="Q48" s="25">
        <f t="shared" si="4"/>
        <v>86.15384615384616</v>
      </c>
    </row>
    <row r="49" spans="1:17" ht="14.25" customHeight="1">
      <c r="A49" s="19" t="s">
        <v>9</v>
      </c>
      <c r="B49" s="19"/>
      <c r="C49" s="35" t="s">
        <v>6</v>
      </c>
      <c r="D49" s="60">
        <f t="shared" si="17"/>
        <v>1922.3</v>
      </c>
      <c r="E49" s="60">
        <f t="shared" si="18"/>
        <v>823.8</v>
      </c>
      <c r="F49" s="60">
        <v>823.8</v>
      </c>
      <c r="G49" s="60">
        <v>253</v>
      </c>
      <c r="H49" s="24">
        <v>253</v>
      </c>
      <c r="I49" s="25">
        <v>592.5</v>
      </c>
      <c r="J49" s="25">
        <v>931.6</v>
      </c>
      <c r="K49" s="27" t="e">
        <f>J49/#REF!*100</f>
        <v>#REF!</v>
      </c>
      <c r="L49" s="27">
        <f>J49/H49*100</f>
        <v>368.2213438735178</v>
      </c>
      <c r="M49" s="57"/>
      <c r="N49" s="57"/>
      <c r="O49" s="24">
        <f t="shared" si="2"/>
        <v>157.23206751054852</v>
      </c>
      <c r="P49" s="27">
        <f t="shared" si="3"/>
        <v>113.08570041272154</v>
      </c>
      <c r="Q49" s="25">
        <f t="shared" si="4"/>
        <v>48.46277896270093</v>
      </c>
    </row>
    <row r="50" spans="1:17" ht="18" customHeight="1" hidden="1">
      <c r="A50" s="19" t="s">
        <v>10</v>
      </c>
      <c r="B50" s="19"/>
      <c r="C50" s="35" t="s">
        <v>21</v>
      </c>
      <c r="D50" s="60">
        <f t="shared" si="17"/>
        <v>0</v>
      </c>
      <c r="E50" s="60">
        <f t="shared" si="18"/>
        <v>0</v>
      </c>
      <c r="F50" s="60"/>
      <c r="G50" s="60"/>
      <c r="H50" s="24"/>
      <c r="I50" s="25"/>
      <c r="J50" s="25"/>
      <c r="K50" s="27"/>
      <c r="L50" s="27"/>
      <c r="M50" s="57"/>
      <c r="N50" s="57"/>
      <c r="O50" s="24" t="e">
        <f t="shared" si="2"/>
        <v>#DIV/0!</v>
      </c>
      <c r="P50" s="27" t="e">
        <f t="shared" si="3"/>
        <v>#DIV/0!</v>
      </c>
      <c r="Q50" s="25" t="e">
        <f t="shared" si="4"/>
        <v>#DIV/0!</v>
      </c>
    </row>
    <row r="51" spans="1:17" ht="24">
      <c r="A51" s="20" t="s">
        <v>11</v>
      </c>
      <c r="B51" s="20"/>
      <c r="C51" s="35" t="s">
        <v>17</v>
      </c>
      <c r="D51" s="60">
        <f t="shared" si="17"/>
        <v>737.8</v>
      </c>
      <c r="E51" s="60">
        <f t="shared" si="18"/>
        <v>72.8</v>
      </c>
      <c r="F51" s="60">
        <v>72.8</v>
      </c>
      <c r="G51" s="60">
        <v>158.1</v>
      </c>
      <c r="H51" s="24">
        <v>173.1</v>
      </c>
      <c r="I51" s="25">
        <v>333.8</v>
      </c>
      <c r="J51" s="25">
        <v>55.8</v>
      </c>
      <c r="K51" s="27" t="e">
        <f>J51/#REF!*100</f>
        <v>#REF!</v>
      </c>
      <c r="L51" s="27">
        <f>J51/H51*100</f>
        <v>32.23570190641248</v>
      </c>
      <c r="M51" s="57"/>
      <c r="N51" s="57"/>
      <c r="O51" s="24">
        <f t="shared" si="2"/>
        <v>16.71659676452966</v>
      </c>
      <c r="P51" s="27">
        <f t="shared" si="3"/>
        <v>76.64835164835165</v>
      </c>
      <c r="Q51" s="25">
        <f t="shared" si="4"/>
        <v>7.563025210084034</v>
      </c>
    </row>
    <row r="52" spans="1:17" ht="12.75">
      <c r="A52" s="37" t="s">
        <v>42</v>
      </c>
      <c r="B52" s="37"/>
      <c r="C52" s="35" t="s">
        <v>43</v>
      </c>
      <c r="D52" s="60"/>
      <c r="E52" s="60"/>
      <c r="F52" s="60"/>
      <c r="G52" s="60"/>
      <c r="H52" s="24"/>
      <c r="I52" s="25"/>
      <c r="J52" s="25">
        <v>75</v>
      </c>
      <c r="K52" s="27"/>
      <c r="L52" s="27"/>
      <c r="M52" s="57"/>
      <c r="N52" s="57"/>
      <c r="O52" s="24"/>
      <c r="P52" s="27"/>
      <c r="Q52" s="25"/>
    </row>
    <row r="53" spans="1:17" ht="12.75">
      <c r="A53" s="37" t="s">
        <v>18</v>
      </c>
      <c r="B53" s="37"/>
      <c r="C53" s="35" t="s">
        <v>15</v>
      </c>
      <c r="D53" s="60">
        <f t="shared" si="17"/>
        <v>150</v>
      </c>
      <c r="E53" s="60">
        <f t="shared" si="18"/>
        <v>15</v>
      </c>
      <c r="F53" s="60">
        <v>15</v>
      </c>
      <c r="G53" s="60">
        <v>45</v>
      </c>
      <c r="H53" s="24">
        <v>45</v>
      </c>
      <c r="I53" s="25">
        <v>45</v>
      </c>
      <c r="J53" s="25">
        <v>12.7</v>
      </c>
      <c r="K53" s="27" t="e">
        <f>J53/#REF!*100</f>
        <v>#REF!</v>
      </c>
      <c r="L53" s="27">
        <f>J53/H53*100</f>
        <v>28.22222222222222</v>
      </c>
      <c r="M53" s="57"/>
      <c r="N53" s="57"/>
      <c r="O53" s="24">
        <f t="shared" si="2"/>
        <v>28.22222222222222</v>
      </c>
      <c r="P53" s="27">
        <f t="shared" si="3"/>
        <v>84.66666666666667</v>
      </c>
      <c r="Q53" s="25">
        <f t="shared" si="4"/>
        <v>8.466666666666667</v>
      </c>
    </row>
    <row r="54" spans="1:17" ht="16.5" customHeight="1">
      <c r="A54" s="28" t="s">
        <v>12</v>
      </c>
      <c r="B54" s="28"/>
      <c r="C54" s="35" t="s">
        <v>7</v>
      </c>
      <c r="D54" s="60">
        <f t="shared" si="17"/>
        <v>7.7</v>
      </c>
      <c r="E54" s="60">
        <f t="shared" si="18"/>
        <v>0</v>
      </c>
      <c r="F54" s="60"/>
      <c r="G54" s="60"/>
      <c r="H54" s="24"/>
      <c r="I54" s="25">
        <v>7.7</v>
      </c>
      <c r="J54" s="25">
        <v>0</v>
      </c>
      <c r="K54" s="27" t="e">
        <f>J54/#REF!*100</f>
        <v>#REF!</v>
      </c>
      <c r="L54" s="27"/>
      <c r="M54" s="57"/>
      <c r="N54" s="57"/>
      <c r="O54" s="24">
        <f t="shared" si="2"/>
        <v>0</v>
      </c>
      <c r="P54" s="27"/>
      <c r="Q54" s="25">
        <f t="shared" si="4"/>
        <v>0</v>
      </c>
    </row>
    <row r="55" spans="1:17" ht="14.25" customHeight="1">
      <c r="A55" s="72" t="s">
        <v>39</v>
      </c>
      <c r="B55" s="68"/>
      <c r="C55" s="23" t="s">
        <v>40</v>
      </c>
      <c r="D55" s="60">
        <f t="shared" si="17"/>
        <v>0</v>
      </c>
      <c r="E55" s="60">
        <f t="shared" si="18"/>
        <v>0</v>
      </c>
      <c r="F55" s="60"/>
      <c r="G55" s="60"/>
      <c r="H55" s="24"/>
      <c r="I55" s="25"/>
      <c r="J55" s="25">
        <v>0</v>
      </c>
      <c r="K55" s="27"/>
      <c r="L55" s="27"/>
      <c r="M55" s="57"/>
      <c r="N55" s="57"/>
      <c r="O55" s="24" t="e">
        <f t="shared" si="2"/>
        <v>#DIV/0!</v>
      </c>
      <c r="P55" s="27"/>
      <c r="Q55" s="25"/>
    </row>
    <row r="56" spans="1:17" ht="12.75">
      <c r="A56" s="62" t="s">
        <v>1</v>
      </c>
      <c r="B56" s="62"/>
      <c r="C56" s="39" t="s">
        <v>0</v>
      </c>
      <c r="D56" s="40">
        <f>D57+D59+D58</f>
        <v>26708.2</v>
      </c>
      <c r="E56" s="40">
        <f aca="true" t="shared" si="19" ref="E56:O56">E57+E59+E58</f>
        <v>12081.3</v>
      </c>
      <c r="F56" s="40">
        <f t="shared" si="19"/>
        <v>12081.3</v>
      </c>
      <c r="G56" s="40">
        <f t="shared" si="19"/>
        <v>4877.2</v>
      </c>
      <c r="H56" s="40">
        <f t="shared" si="19"/>
        <v>4877.2</v>
      </c>
      <c r="I56" s="40">
        <f t="shared" si="19"/>
        <v>4872.5</v>
      </c>
      <c r="J56" s="40">
        <f t="shared" si="19"/>
        <v>3902.3</v>
      </c>
      <c r="K56" s="40" t="e">
        <f t="shared" si="19"/>
        <v>#REF!</v>
      </c>
      <c r="L56" s="40">
        <f t="shared" si="19"/>
        <v>80.01107192651521</v>
      </c>
      <c r="M56" s="40">
        <f t="shared" si="19"/>
        <v>0.1</v>
      </c>
      <c r="N56" s="40">
        <f t="shared" si="19"/>
        <v>0</v>
      </c>
      <c r="O56" s="40" t="e">
        <f t="shared" si="19"/>
        <v>#DIV/0!</v>
      </c>
      <c r="P56" s="34">
        <f t="shared" si="3"/>
        <v>32.30033191792274</v>
      </c>
      <c r="Q56" s="31">
        <f t="shared" si="4"/>
        <v>14.6108685721988</v>
      </c>
    </row>
    <row r="57" spans="1:17" ht="24">
      <c r="A57" s="21" t="s">
        <v>67</v>
      </c>
      <c r="B57" s="19"/>
      <c r="C57" s="41" t="s">
        <v>20</v>
      </c>
      <c r="D57" s="60">
        <f t="shared" si="17"/>
        <v>26708.2</v>
      </c>
      <c r="E57" s="60">
        <f t="shared" si="18"/>
        <v>12081.3</v>
      </c>
      <c r="F57" s="44">
        <f>11999.8+81.5</f>
        <v>12081.3</v>
      </c>
      <c r="G57" s="44">
        <v>4877.2</v>
      </c>
      <c r="H57" s="24">
        <v>4877.2</v>
      </c>
      <c r="I57" s="24">
        <v>4872.5</v>
      </c>
      <c r="J57" s="25">
        <v>3902.3</v>
      </c>
      <c r="K57" s="27" t="e">
        <f>J57/#REF!*100</f>
        <v>#REF!</v>
      </c>
      <c r="L57" s="27">
        <f>J57/H57*100</f>
        <v>80.01107192651521</v>
      </c>
      <c r="M57" s="57">
        <v>0.1</v>
      </c>
      <c r="N57" s="57"/>
      <c r="O57" s="24">
        <f t="shared" si="2"/>
        <v>80.08825038481272</v>
      </c>
      <c r="P57" s="27">
        <f t="shared" si="3"/>
        <v>32.30033191792274</v>
      </c>
      <c r="Q57" s="25">
        <f t="shared" si="4"/>
        <v>14.6108685721988</v>
      </c>
    </row>
    <row r="58" spans="1:17" ht="12.75" hidden="1">
      <c r="A58" s="21" t="s">
        <v>2</v>
      </c>
      <c r="B58" s="21"/>
      <c r="C58" s="42" t="s">
        <v>19</v>
      </c>
      <c r="D58" s="60">
        <f>F58+G58+H58+I58</f>
        <v>0</v>
      </c>
      <c r="E58" s="60">
        <f t="shared" si="18"/>
        <v>0</v>
      </c>
      <c r="F58" s="44"/>
      <c r="G58" s="44"/>
      <c r="H58" s="24"/>
      <c r="I58" s="56"/>
      <c r="J58" s="25"/>
      <c r="K58" s="27"/>
      <c r="L58" s="27"/>
      <c r="M58" s="57"/>
      <c r="N58" s="57"/>
      <c r="O58" s="24"/>
      <c r="P58" s="27" t="e">
        <f t="shared" si="3"/>
        <v>#DIV/0!</v>
      </c>
      <c r="Q58" s="25" t="e">
        <f t="shared" si="4"/>
        <v>#DIV/0!</v>
      </c>
    </row>
    <row r="59" spans="1:17" ht="24" hidden="1">
      <c r="A59" s="21" t="s">
        <v>66</v>
      </c>
      <c r="B59" s="70"/>
      <c r="C59" s="26" t="s">
        <v>63</v>
      </c>
      <c r="D59" s="60">
        <f t="shared" si="17"/>
        <v>0</v>
      </c>
      <c r="E59" s="60">
        <f t="shared" si="18"/>
        <v>0</v>
      </c>
      <c r="F59" s="73"/>
      <c r="G59" s="73"/>
      <c r="H59" s="24"/>
      <c r="I59" s="56"/>
      <c r="J59" s="25"/>
      <c r="K59" s="27" t="e">
        <f>J59/#REF!*100</f>
        <v>#REF!</v>
      </c>
      <c r="L59" s="27"/>
      <c r="M59" s="57"/>
      <c r="N59" s="57"/>
      <c r="O59" s="24" t="e">
        <f t="shared" si="2"/>
        <v>#DIV/0!</v>
      </c>
      <c r="P59" s="27"/>
      <c r="Q59" s="25"/>
    </row>
    <row r="60" spans="1:17" ht="12.75">
      <c r="A60" s="20"/>
      <c r="B60" s="74"/>
      <c r="C60" s="75" t="s">
        <v>4</v>
      </c>
      <c r="D60" s="76">
        <f aca="true" t="shared" si="20" ref="D60:J60">D56+D45</f>
        <v>44491.3</v>
      </c>
      <c r="E60" s="76">
        <f t="shared" si="20"/>
        <v>16433.899999999998</v>
      </c>
      <c r="F60" s="76">
        <f t="shared" si="20"/>
        <v>16433.899999999998</v>
      </c>
      <c r="G60" s="76">
        <f t="shared" si="20"/>
        <v>9153.5</v>
      </c>
      <c r="H60" s="76">
        <f t="shared" si="20"/>
        <v>9168.5</v>
      </c>
      <c r="I60" s="76">
        <f t="shared" si="20"/>
        <v>9735.4</v>
      </c>
      <c r="J60" s="76">
        <f t="shared" si="20"/>
        <v>8639.5</v>
      </c>
      <c r="K60" s="34" t="e">
        <f>J60/#REF!*100</f>
        <v>#REF!</v>
      </c>
      <c r="L60" s="34">
        <f>J60/H60*100</f>
        <v>94.23024486011889</v>
      </c>
      <c r="M60" s="57"/>
      <c r="N60" s="58" t="e">
        <f>I60+#REF!+#REF!</f>
        <v>#REF!</v>
      </c>
      <c r="O60" s="43">
        <f t="shared" si="2"/>
        <v>88.74314357910308</v>
      </c>
      <c r="P60" s="34">
        <f t="shared" si="3"/>
        <v>52.57120951204523</v>
      </c>
      <c r="Q60" s="31">
        <f t="shared" si="4"/>
        <v>19.418403148480714</v>
      </c>
    </row>
    <row r="61" spans="1:17" ht="12.75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8"/>
      <c r="M61" s="57"/>
      <c r="N61" s="57"/>
      <c r="O61" s="56"/>
      <c r="P61" s="34"/>
      <c r="Q61" s="31"/>
    </row>
    <row r="62" spans="1:17" ht="12.75">
      <c r="A62" s="95" t="s">
        <v>27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34"/>
      <c r="Q62" s="31"/>
    </row>
    <row r="63" spans="1:17" ht="12.75">
      <c r="A63" s="62" t="s">
        <v>3</v>
      </c>
      <c r="B63" s="62"/>
      <c r="C63" s="63" t="s">
        <v>68</v>
      </c>
      <c r="D63" s="43">
        <f>D64+D67+D69+D71+D68+D73+D72+D66+D70+D65</f>
        <v>38555.1</v>
      </c>
      <c r="E63" s="43">
        <f>E64+E67+E69+E71+E68+E73+E72+E66+E70+E65</f>
        <v>8823.1</v>
      </c>
      <c r="F63" s="43">
        <f aca="true" t="shared" si="21" ref="F63:O63">F64+F67+F69+F71+F68+F73+F72+F66+F70+F65</f>
        <v>8823.1</v>
      </c>
      <c r="G63" s="43">
        <f t="shared" si="21"/>
        <v>8567.2</v>
      </c>
      <c r="H63" s="43">
        <f t="shared" si="21"/>
        <v>9508.5</v>
      </c>
      <c r="I63" s="43">
        <f t="shared" si="21"/>
        <v>11656.3</v>
      </c>
      <c r="J63" s="43">
        <f t="shared" si="21"/>
        <v>8571.500000000002</v>
      </c>
      <c r="K63" s="43" t="e">
        <f t="shared" si="21"/>
        <v>#REF!</v>
      </c>
      <c r="L63" s="43">
        <f t="shared" si="21"/>
        <v>945.0288593892723</v>
      </c>
      <c r="M63" s="43">
        <f t="shared" si="21"/>
        <v>0</v>
      </c>
      <c r="N63" s="43">
        <f t="shared" si="21"/>
        <v>0</v>
      </c>
      <c r="O63" s="43" t="e">
        <f t="shared" si="21"/>
        <v>#DIV/0!</v>
      </c>
      <c r="P63" s="34">
        <f t="shared" si="3"/>
        <v>97.1483945552017</v>
      </c>
      <c r="Q63" s="31">
        <f t="shared" si="4"/>
        <v>22.231818877398847</v>
      </c>
    </row>
    <row r="64" spans="1:17" ht="12.75">
      <c r="A64" s="19" t="s">
        <v>23</v>
      </c>
      <c r="B64" s="19"/>
      <c r="C64" s="65" t="s">
        <v>22</v>
      </c>
      <c r="D64" s="60">
        <f>F64+G64+H64+I64</f>
        <v>18720</v>
      </c>
      <c r="E64" s="60">
        <f aca="true" t="shared" si="22" ref="E64:E76">F64</f>
        <v>4530</v>
      </c>
      <c r="F64" s="77">
        <v>4530</v>
      </c>
      <c r="G64" s="77">
        <v>4580</v>
      </c>
      <c r="H64" s="27">
        <v>4747</v>
      </c>
      <c r="I64" s="27">
        <v>4863</v>
      </c>
      <c r="J64" s="27">
        <v>4007.9</v>
      </c>
      <c r="K64" s="27" t="e">
        <f>J64/#REF!*100</f>
        <v>#REF!</v>
      </c>
      <c r="L64" s="27">
        <f aca="true" t="shared" si="23" ref="L64:L71">J64/H64*100</f>
        <v>84.43016642089741</v>
      </c>
      <c r="M64" s="57"/>
      <c r="N64" s="57"/>
      <c r="O64" s="27">
        <f t="shared" si="2"/>
        <v>82.41620398930701</v>
      </c>
      <c r="P64" s="27">
        <f t="shared" si="3"/>
        <v>88.47461368653421</v>
      </c>
      <c r="Q64" s="25">
        <f t="shared" si="4"/>
        <v>21.40972222222222</v>
      </c>
    </row>
    <row r="65" spans="1:17" ht="12.75">
      <c r="A65" s="19" t="s">
        <v>70</v>
      </c>
      <c r="B65" s="19"/>
      <c r="C65" s="35" t="s">
        <v>71</v>
      </c>
      <c r="D65" s="60">
        <f>F65+G65+H65+I65</f>
        <v>5209.6</v>
      </c>
      <c r="E65" s="60">
        <f t="shared" si="22"/>
        <v>1295.1</v>
      </c>
      <c r="F65" s="77">
        <v>1295.1</v>
      </c>
      <c r="G65" s="77">
        <v>1264</v>
      </c>
      <c r="H65" s="27">
        <v>1345.1</v>
      </c>
      <c r="I65" s="27">
        <v>1305.4</v>
      </c>
      <c r="J65" s="27">
        <v>1339.4</v>
      </c>
      <c r="K65" s="27"/>
      <c r="L65" s="27"/>
      <c r="M65" s="57"/>
      <c r="N65" s="57"/>
      <c r="O65" s="27"/>
      <c r="P65" s="27">
        <f>J65*100/E65</f>
        <v>103.42058528298973</v>
      </c>
      <c r="Q65" s="25">
        <f>J65*100/D65</f>
        <v>25.71022727272727</v>
      </c>
    </row>
    <row r="66" spans="1:17" ht="12.75">
      <c r="A66" s="19" t="s">
        <v>8</v>
      </c>
      <c r="B66" s="19"/>
      <c r="C66" s="35" t="s">
        <v>5</v>
      </c>
      <c r="D66" s="60">
        <f aca="true" t="shared" si="24" ref="D66:D76">F66+G66+H66+I66</f>
        <v>47</v>
      </c>
      <c r="E66" s="60">
        <f t="shared" si="22"/>
        <v>11.7</v>
      </c>
      <c r="F66" s="44">
        <v>11.7</v>
      </c>
      <c r="G66" s="44">
        <v>11.8</v>
      </c>
      <c r="H66" s="24">
        <v>11.7</v>
      </c>
      <c r="I66" s="24">
        <v>11.8</v>
      </c>
      <c r="J66" s="24">
        <v>8.5</v>
      </c>
      <c r="K66" s="27" t="e">
        <f>J66/#REF!*100</f>
        <v>#REF!</v>
      </c>
      <c r="L66" s="27">
        <f t="shared" si="23"/>
        <v>72.64957264957266</v>
      </c>
      <c r="M66" s="57"/>
      <c r="N66" s="57"/>
      <c r="O66" s="24">
        <f t="shared" si="2"/>
        <v>72.03389830508475</v>
      </c>
      <c r="P66" s="27">
        <f t="shared" si="3"/>
        <v>72.64957264957265</v>
      </c>
      <c r="Q66" s="25">
        <f t="shared" si="4"/>
        <v>18.085106382978722</v>
      </c>
    </row>
    <row r="67" spans="1:17" ht="12.75">
      <c r="A67" s="19" t="s">
        <v>9</v>
      </c>
      <c r="B67" s="19"/>
      <c r="C67" s="35" t="s">
        <v>6</v>
      </c>
      <c r="D67" s="60">
        <f t="shared" si="24"/>
        <v>7580</v>
      </c>
      <c r="E67" s="60">
        <f t="shared" si="22"/>
        <v>1260</v>
      </c>
      <c r="F67" s="44">
        <v>1260</v>
      </c>
      <c r="G67" s="44">
        <v>980</v>
      </c>
      <c r="H67" s="24">
        <v>1670</v>
      </c>
      <c r="I67" s="24">
        <v>3670</v>
      </c>
      <c r="J67" s="24">
        <f>1201.4-0.1</f>
        <v>1201.3000000000002</v>
      </c>
      <c r="K67" s="27" t="e">
        <f>J67/#REF!*100</f>
        <v>#REF!</v>
      </c>
      <c r="L67" s="27">
        <f t="shared" si="23"/>
        <v>71.93413173652695</v>
      </c>
      <c r="M67" s="57"/>
      <c r="N67" s="57"/>
      <c r="O67" s="24">
        <f t="shared" si="2"/>
        <v>32.73297002724796</v>
      </c>
      <c r="P67" s="27">
        <f t="shared" si="3"/>
        <v>95.34126984126985</v>
      </c>
      <c r="Q67" s="25">
        <f t="shared" si="4"/>
        <v>15.848284960422166</v>
      </c>
    </row>
    <row r="68" spans="1:17" ht="18.75" customHeight="1">
      <c r="A68" s="19" t="s">
        <v>10</v>
      </c>
      <c r="B68" s="19"/>
      <c r="C68" s="35" t="s">
        <v>21</v>
      </c>
      <c r="D68" s="60">
        <f t="shared" si="24"/>
        <v>16</v>
      </c>
      <c r="E68" s="60">
        <f t="shared" si="22"/>
        <v>1</v>
      </c>
      <c r="F68" s="44">
        <v>1</v>
      </c>
      <c r="G68" s="44">
        <v>6</v>
      </c>
      <c r="H68" s="24">
        <v>9</v>
      </c>
      <c r="I68" s="24"/>
      <c r="J68" s="24">
        <v>43.2</v>
      </c>
      <c r="K68" s="27"/>
      <c r="L68" s="27">
        <f t="shared" si="23"/>
        <v>480.00000000000006</v>
      </c>
      <c r="M68" s="57"/>
      <c r="N68" s="57"/>
      <c r="O68" s="24" t="e">
        <f t="shared" si="2"/>
        <v>#DIV/0!</v>
      </c>
      <c r="P68" s="27">
        <f>J68*100/E68</f>
        <v>4320</v>
      </c>
      <c r="Q68" s="25">
        <f>J68*100/D68</f>
        <v>270</v>
      </c>
    </row>
    <row r="69" spans="1:17" ht="24">
      <c r="A69" s="20" t="s">
        <v>11</v>
      </c>
      <c r="B69" s="20"/>
      <c r="C69" s="35" t="s">
        <v>17</v>
      </c>
      <c r="D69" s="60">
        <f t="shared" si="24"/>
        <v>6807.5</v>
      </c>
      <c r="E69" s="60">
        <f t="shared" si="22"/>
        <v>1681.8</v>
      </c>
      <c r="F69" s="44">
        <v>1681.8</v>
      </c>
      <c r="G69" s="44">
        <v>1681.9</v>
      </c>
      <c r="H69" s="24">
        <v>1682.2</v>
      </c>
      <c r="I69" s="24">
        <v>1761.6</v>
      </c>
      <c r="J69" s="24">
        <v>1916.8</v>
      </c>
      <c r="K69" s="27" t="e">
        <f>J69/#REF!*100</f>
        <v>#REF!</v>
      </c>
      <c r="L69" s="27">
        <f t="shared" si="23"/>
        <v>113.94602306503387</v>
      </c>
      <c r="M69" s="57"/>
      <c r="N69" s="57"/>
      <c r="O69" s="24">
        <f t="shared" si="2"/>
        <v>108.81017257039056</v>
      </c>
      <c r="P69" s="27">
        <f t="shared" si="3"/>
        <v>113.97312403377335</v>
      </c>
      <c r="Q69" s="25">
        <f t="shared" si="4"/>
        <v>28.157179581344106</v>
      </c>
    </row>
    <row r="70" spans="1:17" ht="12.75" hidden="1">
      <c r="A70" s="37" t="s">
        <v>42</v>
      </c>
      <c r="B70" s="37"/>
      <c r="C70" s="35" t="s">
        <v>43</v>
      </c>
      <c r="D70" s="60">
        <f t="shared" si="24"/>
        <v>0</v>
      </c>
      <c r="E70" s="60">
        <f t="shared" si="22"/>
        <v>0</v>
      </c>
      <c r="F70" s="44"/>
      <c r="G70" s="44"/>
      <c r="H70" s="24"/>
      <c r="I70" s="24"/>
      <c r="J70" s="24"/>
      <c r="K70" s="27" t="e">
        <f>J70/#REF!*100</f>
        <v>#REF!</v>
      </c>
      <c r="L70" s="27"/>
      <c r="M70" s="57"/>
      <c r="N70" s="57"/>
      <c r="O70" s="24" t="e">
        <f t="shared" si="2"/>
        <v>#DIV/0!</v>
      </c>
      <c r="P70" s="27"/>
      <c r="Q70" s="25"/>
    </row>
    <row r="71" spans="1:17" ht="12.75">
      <c r="A71" s="36" t="s">
        <v>18</v>
      </c>
      <c r="B71" s="36"/>
      <c r="C71" s="35" t="s">
        <v>15</v>
      </c>
      <c r="D71" s="60">
        <f t="shared" si="24"/>
        <v>175</v>
      </c>
      <c r="E71" s="60">
        <f t="shared" si="22"/>
        <v>43.5</v>
      </c>
      <c r="F71" s="44">
        <v>43.5</v>
      </c>
      <c r="G71" s="44">
        <v>43.5</v>
      </c>
      <c r="H71" s="24">
        <v>43.5</v>
      </c>
      <c r="I71" s="24">
        <v>44.5</v>
      </c>
      <c r="J71" s="24">
        <v>53.1</v>
      </c>
      <c r="K71" s="27" t="e">
        <f>J71/#REF!*100</f>
        <v>#REF!</v>
      </c>
      <c r="L71" s="27">
        <f t="shared" si="23"/>
        <v>122.06896551724138</v>
      </c>
      <c r="M71" s="57"/>
      <c r="N71" s="57"/>
      <c r="O71" s="24">
        <f t="shared" si="2"/>
        <v>119.32584269662921</v>
      </c>
      <c r="P71" s="27">
        <f t="shared" si="3"/>
        <v>122.06896551724138</v>
      </c>
      <c r="Q71" s="25">
        <f t="shared" si="4"/>
        <v>30.34285714285714</v>
      </c>
    </row>
    <row r="72" spans="1:17" ht="12" customHeight="1" hidden="1">
      <c r="A72" s="28" t="s">
        <v>12</v>
      </c>
      <c r="B72" s="28"/>
      <c r="C72" s="35" t="s">
        <v>7</v>
      </c>
      <c r="D72" s="60">
        <f t="shared" si="24"/>
        <v>0</v>
      </c>
      <c r="E72" s="60">
        <f t="shared" si="22"/>
        <v>0</v>
      </c>
      <c r="F72" s="44"/>
      <c r="G72" s="44"/>
      <c r="H72" s="24"/>
      <c r="I72" s="24"/>
      <c r="J72" s="24"/>
      <c r="K72" s="27"/>
      <c r="L72" s="27"/>
      <c r="M72" s="57"/>
      <c r="N72" s="57"/>
      <c r="O72" s="24" t="e">
        <f t="shared" si="2"/>
        <v>#DIV/0!</v>
      </c>
      <c r="P72" s="27"/>
      <c r="Q72" s="25"/>
    </row>
    <row r="73" spans="1:17" ht="12.75">
      <c r="A73" s="38" t="s">
        <v>39</v>
      </c>
      <c r="B73" s="68"/>
      <c r="C73" s="23" t="s">
        <v>40</v>
      </c>
      <c r="D73" s="60">
        <f t="shared" si="24"/>
        <v>0</v>
      </c>
      <c r="E73" s="60">
        <f t="shared" si="22"/>
        <v>0</v>
      </c>
      <c r="F73" s="44"/>
      <c r="G73" s="44"/>
      <c r="H73" s="24"/>
      <c r="I73" s="24"/>
      <c r="J73" s="24">
        <v>1.3</v>
      </c>
      <c r="K73" s="27"/>
      <c r="L73" s="27"/>
      <c r="M73" s="57"/>
      <c r="N73" s="57"/>
      <c r="O73" s="24" t="e">
        <f t="shared" si="2"/>
        <v>#DIV/0!</v>
      </c>
      <c r="P73" s="27"/>
      <c r="Q73" s="25"/>
    </row>
    <row r="74" spans="1:17" ht="12.75">
      <c r="A74" s="32" t="s">
        <v>1</v>
      </c>
      <c r="B74" s="32"/>
      <c r="C74" s="39" t="s">
        <v>0</v>
      </c>
      <c r="D74" s="40">
        <f aca="true" t="shared" si="25" ref="D74:J74">D75+D76</f>
        <v>32234.5</v>
      </c>
      <c r="E74" s="40">
        <f t="shared" si="25"/>
        <v>15097.4</v>
      </c>
      <c r="F74" s="40">
        <f t="shared" si="25"/>
        <v>15097.4</v>
      </c>
      <c r="G74" s="40">
        <f t="shared" si="25"/>
        <v>6340.2</v>
      </c>
      <c r="H74" s="40">
        <f t="shared" si="25"/>
        <v>5775.2</v>
      </c>
      <c r="I74" s="40">
        <f t="shared" si="25"/>
        <v>5021.7</v>
      </c>
      <c r="J74" s="40">
        <f t="shared" si="25"/>
        <v>4608.3</v>
      </c>
      <c r="K74" s="34" t="e">
        <f>J74/#REF!*100</f>
        <v>#REF!</v>
      </c>
      <c r="L74" s="34">
        <f>J74/H74*100</f>
        <v>79.79463914669623</v>
      </c>
      <c r="M74" s="57"/>
      <c r="N74" s="57"/>
      <c r="O74" s="43">
        <f t="shared" si="2"/>
        <v>91.76772806021866</v>
      </c>
      <c r="P74" s="34">
        <f t="shared" si="3"/>
        <v>30.523798799793344</v>
      </c>
      <c r="Q74" s="31">
        <f t="shared" si="4"/>
        <v>14.296173354635561</v>
      </c>
    </row>
    <row r="75" spans="1:17" ht="24">
      <c r="A75" s="21" t="s">
        <v>67</v>
      </c>
      <c r="B75" s="19"/>
      <c r="C75" s="41" t="s">
        <v>20</v>
      </c>
      <c r="D75" s="60">
        <f t="shared" si="24"/>
        <v>32234.5</v>
      </c>
      <c r="E75" s="60">
        <f t="shared" si="22"/>
        <v>15097.4</v>
      </c>
      <c r="F75" s="44">
        <f>15005.1+92.3</f>
        <v>15097.4</v>
      </c>
      <c r="G75" s="44">
        <v>6340.2</v>
      </c>
      <c r="H75" s="24">
        <v>5775.2</v>
      </c>
      <c r="I75" s="25">
        <v>5021.7</v>
      </c>
      <c r="J75" s="25">
        <v>4608.3</v>
      </c>
      <c r="K75" s="27" t="e">
        <f>J75/#REF!*100</f>
        <v>#REF!</v>
      </c>
      <c r="L75" s="27">
        <f>J75/H75*100</f>
        <v>79.79463914669623</v>
      </c>
      <c r="M75" s="57"/>
      <c r="N75" s="57"/>
      <c r="O75" s="24">
        <f t="shared" si="2"/>
        <v>91.76772806021866</v>
      </c>
      <c r="P75" s="27">
        <f t="shared" si="3"/>
        <v>30.523798799793344</v>
      </c>
      <c r="Q75" s="25">
        <f t="shared" si="4"/>
        <v>14.296173354635561</v>
      </c>
    </row>
    <row r="76" spans="1:17" ht="24" hidden="1">
      <c r="A76" s="21" t="s">
        <v>66</v>
      </c>
      <c r="B76" s="70"/>
      <c r="C76" s="26" t="s">
        <v>63</v>
      </c>
      <c r="D76" s="60">
        <f t="shared" si="24"/>
        <v>0</v>
      </c>
      <c r="E76" s="60">
        <f t="shared" si="22"/>
        <v>0</v>
      </c>
      <c r="F76" s="73"/>
      <c r="G76" s="73"/>
      <c r="H76" s="24"/>
      <c r="I76" s="25"/>
      <c r="J76" s="25"/>
      <c r="K76" s="27" t="e">
        <f>J76/#REF!*100</f>
        <v>#REF!</v>
      </c>
      <c r="L76" s="27"/>
      <c r="M76" s="57"/>
      <c r="N76" s="57"/>
      <c r="O76" s="24" t="e">
        <f t="shared" si="2"/>
        <v>#DIV/0!</v>
      </c>
      <c r="P76" s="34"/>
      <c r="Q76" s="31"/>
    </row>
    <row r="77" spans="1:17" ht="12.75">
      <c r="A77" s="28"/>
      <c r="B77" s="29"/>
      <c r="C77" s="30" t="s">
        <v>4</v>
      </c>
      <c r="D77" s="31">
        <f aca="true" t="shared" si="26" ref="D77:K77">D74+D63</f>
        <v>70789.6</v>
      </c>
      <c r="E77" s="31">
        <f t="shared" si="26"/>
        <v>23920.5</v>
      </c>
      <c r="F77" s="31">
        <f t="shared" si="26"/>
        <v>23920.5</v>
      </c>
      <c r="G77" s="31">
        <f t="shared" si="26"/>
        <v>14907.400000000001</v>
      </c>
      <c r="H77" s="31">
        <f t="shared" si="26"/>
        <v>15283.7</v>
      </c>
      <c r="I77" s="31">
        <f t="shared" si="26"/>
        <v>16678</v>
      </c>
      <c r="J77" s="31">
        <f t="shared" si="26"/>
        <v>13179.800000000003</v>
      </c>
      <c r="K77" s="31" t="e">
        <f t="shared" si="26"/>
        <v>#REF!</v>
      </c>
      <c r="L77" s="34">
        <f>J77/H77*100</f>
        <v>86.23435424668112</v>
      </c>
      <c r="M77" s="57"/>
      <c r="N77" s="58" t="e">
        <f>I77+#REF!+#REF!</f>
        <v>#REF!</v>
      </c>
      <c r="O77" s="43">
        <f t="shared" si="2"/>
        <v>79.02506295718912</v>
      </c>
      <c r="P77" s="34">
        <f t="shared" si="3"/>
        <v>55.09834660646727</v>
      </c>
      <c r="Q77" s="31">
        <f t="shared" si="4"/>
        <v>18.61827161051906</v>
      </c>
    </row>
    <row r="78" spans="1:17" ht="12.75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8"/>
      <c r="M78" s="57"/>
      <c r="N78" s="57"/>
      <c r="O78" s="56"/>
      <c r="P78" s="34"/>
      <c r="Q78" s="31"/>
    </row>
    <row r="79" spans="1:17" ht="12.75">
      <c r="A79" s="95" t="s">
        <v>28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34"/>
      <c r="Q79" s="31"/>
    </row>
    <row r="80" spans="1:17" ht="12.75">
      <c r="A80" s="32" t="s">
        <v>3</v>
      </c>
      <c r="B80" s="32"/>
      <c r="C80" s="33" t="s">
        <v>68</v>
      </c>
      <c r="D80" s="34">
        <f aca="true" t="shared" si="27" ref="D80:J80">D81+D83+D84+D85+D86+D87+D88+D89+D90+D82</f>
        <v>33870.6</v>
      </c>
      <c r="E80" s="34">
        <f t="shared" si="27"/>
        <v>6759.9</v>
      </c>
      <c r="F80" s="34">
        <f t="shared" si="27"/>
        <v>6759.9</v>
      </c>
      <c r="G80" s="34">
        <f t="shared" si="27"/>
        <v>8012.6</v>
      </c>
      <c r="H80" s="34">
        <f t="shared" si="27"/>
        <v>8477.2</v>
      </c>
      <c r="I80" s="34">
        <f t="shared" si="27"/>
        <v>10620.9</v>
      </c>
      <c r="J80" s="34">
        <f t="shared" si="27"/>
        <v>8832.2</v>
      </c>
      <c r="K80" s="34" t="e">
        <f>J80/#REF!*100</f>
        <v>#REF!</v>
      </c>
      <c r="L80" s="34">
        <f>J80/H80*100</f>
        <v>104.18770348700042</v>
      </c>
      <c r="M80" s="57"/>
      <c r="N80" s="57"/>
      <c r="O80" s="34">
        <f t="shared" si="2"/>
        <v>83.15867770151307</v>
      </c>
      <c r="P80" s="34">
        <f aca="true" t="shared" si="28" ref="P80:P148">J80*100/E80</f>
        <v>130.65577893164104</v>
      </c>
      <c r="Q80" s="31">
        <f aca="true" t="shared" si="29" ref="Q80:Q148">J80*100/D80</f>
        <v>26.076302161756807</v>
      </c>
    </row>
    <row r="81" spans="1:17" ht="13.5" customHeight="1">
      <c r="A81" s="28" t="s">
        <v>23</v>
      </c>
      <c r="B81" s="28"/>
      <c r="C81" s="35" t="s">
        <v>22</v>
      </c>
      <c r="D81" s="60">
        <f>F81+G81+H81+I81</f>
        <v>20750</v>
      </c>
      <c r="E81" s="60">
        <f aca="true" t="shared" si="30" ref="E81:E90">F81</f>
        <v>4270</v>
      </c>
      <c r="F81" s="44">
        <v>4270</v>
      </c>
      <c r="G81" s="44">
        <v>5150</v>
      </c>
      <c r="H81" s="24">
        <v>5580</v>
      </c>
      <c r="I81" s="24">
        <v>5750</v>
      </c>
      <c r="J81" s="25">
        <v>5848.3</v>
      </c>
      <c r="K81" s="27" t="e">
        <f>J81/#REF!*100</f>
        <v>#REF!</v>
      </c>
      <c r="L81" s="27">
        <f>J81/H81*100</f>
        <v>104.80824372759857</v>
      </c>
      <c r="M81" s="57"/>
      <c r="N81" s="57"/>
      <c r="O81" s="24">
        <f aca="true" t="shared" si="31" ref="O81:O153">J81*100/I81</f>
        <v>101.7095652173913</v>
      </c>
      <c r="P81" s="27">
        <f t="shared" si="28"/>
        <v>136.96252927400468</v>
      </c>
      <c r="Q81" s="25">
        <f t="shared" si="29"/>
        <v>28.184578313253013</v>
      </c>
    </row>
    <row r="82" spans="1:17" ht="15.75" customHeight="1">
      <c r="A82" s="19" t="s">
        <v>70</v>
      </c>
      <c r="B82" s="19"/>
      <c r="C82" s="35" t="s">
        <v>71</v>
      </c>
      <c r="D82" s="60">
        <f>F82+G82+H82+I82</f>
        <v>4231.6</v>
      </c>
      <c r="E82" s="60">
        <f t="shared" si="30"/>
        <v>954.9</v>
      </c>
      <c r="F82" s="44">
        <v>954.9</v>
      </c>
      <c r="G82" s="44">
        <v>985</v>
      </c>
      <c r="H82" s="24">
        <v>1155.2</v>
      </c>
      <c r="I82" s="24">
        <v>1136.5</v>
      </c>
      <c r="J82" s="25">
        <v>1088</v>
      </c>
      <c r="K82" s="27"/>
      <c r="L82" s="27"/>
      <c r="M82" s="57"/>
      <c r="N82" s="57"/>
      <c r="O82" s="24"/>
      <c r="P82" s="27">
        <f>J82*100/E82</f>
        <v>113.93863231752016</v>
      </c>
      <c r="Q82" s="25">
        <f>J82*100/D82</f>
        <v>25.71131486908025</v>
      </c>
    </row>
    <row r="83" spans="1:17" ht="15" customHeight="1" hidden="1">
      <c r="A83" s="19" t="s">
        <v>8</v>
      </c>
      <c r="B83" s="19"/>
      <c r="C83" s="35" t="s">
        <v>5</v>
      </c>
      <c r="D83" s="60">
        <f aca="true" t="shared" si="32" ref="D83:D90">F83+G83+H83+I83</f>
        <v>0</v>
      </c>
      <c r="E83" s="60">
        <f t="shared" si="30"/>
        <v>0</v>
      </c>
      <c r="F83" s="44"/>
      <c r="G83" s="44"/>
      <c r="H83" s="24"/>
      <c r="I83" s="24"/>
      <c r="J83" s="25"/>
      <c r="K83" s="27"/>
      <c r="L83" s="27"/>
      <c r="M83" s="57"/>
      <c r="N83" s="57"/>
      <c r="O83" s="24" t="e">
        <f t="shared" si="31"/>
        <v>#DIV/0!</v>
      </c>
      <c r="P83" s="27" t="e">
        <f>J83*100/E83</f>
        <v>#DIV/0!</v>
      </c>
      <c r="Q83" s="25" t="e">
        <f>J83*100/D83</f>
        <v>#DIV/0!</v>
      </c>
    </row>
    <row r="84" spans="1:17" ht="12.75">
      <c r="A84" s="19" t="s">
        <v>9</v>
      </c>
      <c r="B84" s="19"/>
      <c r="C84" s="35" t="s">
        <v>6</v>
      </c>
      <c r="D84" s="60">
        <f t="shared" si="32"/>
        <v>2145</v>
      </c>
      <c r="E84" s="60">
        <f t="shared" si="30"/>
        <v>375</v>
      </c>
      <c r="F84" s="44">
        <v>375</v>
      </c>
      <c r="G84" s="44">
        <v>460</v>
      </c>
      <c r="H84" s="24">
        <v>219</v>
      </c>
      <c r="I84" s="24">
        <v>1091</v>
      </c>
      <c r="J84" s="25">
        <v>562.6</v>
      </c>
      <c r="K84" s="27" t="e">
        <f>J84/#REF!*100</f>
        <v>#REF!</v>
      </c>
      <c r="L84" s="27">
        <f>J84/H84*100</f>
        <v>256.8949771689498</v>
      </c>
      <c r="M84" s="57"/>
      <c r="N84" s="57"/>
      <c r="O84" s="24">
        <f t="shared" si="31"/>
        <v>51.56736938588451</v>
      </c>
      <c r="P84" s="27">
        <f t="shared" si="28"/>
        <v>150.02666666666667</v>
      </c>
      <c r="Q84" s="25">
        <f t="shared" si="29"/>
        <v>26.22843822843823</v>
      </c>
    </row>
    <row r="85" spans="1:17" ht="12.75" hidden="1">
      <c r="A85" s="19" t="s">
        <v>10</v>
      </c>
      <c r="B85" s="19"/>
      <c r="C85" s="35" t="s">
        <v>21</v>
      </c>
      <c r="D85" s="60">
        <f t="shared" si="32"/>
        <v>0</v>
      </c>
      <c r="E85" s="60">
        <f t="shared" si="30"/>
        <v>0</v>
      </c>
      <c r="F85" s="44"/>
      <c r="G85" s="44"/>
      <c r="H85" s="24"/>
      <c r="I85" s="24"/>
      <c r="J85" s="25"/>
      <c r="K85" s="27"/>
      <c r="L85" s="27"/>
      <c r="M85" s="57"/>
      <c r="N85" s="57"/>
      <c r="O85" s="24" t="e">
        <f t="shared" si="31"/>
        <v>#DIV/0!</v>
      </c>
      <c r="P85" s="27" t="e">
        <f t="shared" si="28"/>
        <v>#DIV/0!</v>
      </c>
      <c r="Q85" s="25" t="e">
        <f t="shared" si="29"/>
        <v>#DIV/0!</v>
      </c>
    </row>
    <row r="86" spans="1:17" ht="24">
      <c r="A86" s="20" t="s">
        <v>11</v>
      </c>
      <c r="B86" s="20"/>
      <c r="C86" s="35" t="s">
        <v>17</v>
      </c>
      <c r="D86" s="60">
        <f t="shared" si="32"/>
        <v>6132.5</v>
      </c>
      <c r="E86" s="60">
        <f t="shared" si="30"/>
        <v>1040</v>
      </c>
      <c r="F86" s="44">
        <v>1040</v>
      </c>
      <c r="G86" s="44">
        <v>1273.6</v>
      </c>
      <c r="H86" s="24">
        <v>1459</v>
      </c>
      <c r="I86" s="24">
        <v>2359.9</v>
      </c>
      <c r="J86" s="25">
        <v>1071.7</v>
      </c>
      <c r="K86" s="27" t="e">
        <f>J86/#REF!*100</f>
        <v>#REF!</v>
      </c>
      <c r="L86" s="27">
        <f>J86/H86*100</f>
        <v>73.45442083618917</v>
      </c>
      <c r="M86" s="57"/>
      <c r="N86" s="57"/>
      <c r="O86" s="24">
        <f t="shared" si="31"/>
        <v>45.41294122632315</v>
      </c>
      <c r="P86" s="27">
        <f t="shared" si="28"/>
        <v>103.04807692307692</v>
      </c>
      <c r="Q86" s="25">
        <f t="shared" si="29"/>
        <v>17.47574398695475</v>
      </c>
    </row>
    <row r="87" spans="1:17" ht="12.75">
      <c r="A87" s="37" t="s">
        <v>42</v>
      </c>
      <c r="B87" s="37"/>
      <c r="C87" s="35" t="s">
        <v>43</v>
      </c>
      <c r="D87" s="60">
        <f t="shared" si="32"/>
        <v>479</v>
      </c>
      <c r="E87" s="60">
        <f t="shared" si="30"/>
        <v>110</v>
      </c>
      <c r="F87" s="44">
        <v>110</v>
      </c>
      <c r="G87" s="44">
        <v>119</v>
      </c>
      <c r="H87" s="24">
        <v>50</v>
      </c>
      <c r="I87" s="24">
        <v>200</v>
      </c>
      <c r="J87" s="25">
        <v>152.2</v>
      </c>
      <c r="K87" s="27" t="e">
        <f>J87/#REF!*100</f>
        <v>#REF!</v>
      </c>
      <c r="L87" s="27">
        <f>J87/H87*100</f>
        <v>304.4</v>
      </c>
      <c r="M87" s="57"/>
      <c r="N87" s="57"/>
      <c r="O87" s="24">
        <f t="shared" si="31"/>
        <v>76.1</v>
      </c>
      <c r="P87" s="27">
        <f t="shared" si="28"/>
        <v>138.36363636363635</v>
      </c>
      <c r="Q87" s="25">
        <f t="shared" si="29"/>
        <v>31.774530271398742</v>
      </c>
    </row>
    <row r="88" spans="1:17" ht="12.75">
      <c r="A88" s="36" t="s">
        <v>18</v>
      </c>
      <c r="B88" s="36"/>
      <c r="C88" s="35" t="s">
        <v>15</v>
      </c>
      <c r="D88" s="60">
        <f t="shared" si="32"/>
        <v>132.5</v>
      </c>
      <c r="E88" s="60">
        <f t="shared" si="30"/>
        <v>10</v>
      </c>
      <c r="F88" s="44">
        <v>10</v>
      </c>
      <c r="G88" s="44">
        <v>25</v>
      </c>
      <c r="H88" s="24">
        <v>14</v>
      </c>
      <c r="I88" s="24">
        <v>83.5</v>
      </c>
      <c r="J88" s="25">
        <v>99.4</v>
      </c>
      <c r="K88" s="27" t="e">
        <f>J88/#REF!*100</f>
        <v>#REF!</v>
      </c>
      <c r="L88" s="27">
        <f>J88/H88*100</f>
        <v>710</v>
      </c>
      <c r="M88" s="57"/>
      <c r="N88" s="57"/>
      <c r="O88" s="24">
        <f t="shared" si="31"/>
        <v>119.04191616766467</v>
      </c>
      <c r="P88" s="27">
        <f t="shared" si="28"/>
        <v>994</v>
      </c>
      <c r="Q88" s="25">
        <f t="shared" si="29"/>
        <v>75.01886792452831</v>
      </c>
    </row>
    <row r="89" spans="1:17" ht="14.25" customHeight="1">
      <c r="A89" s="28" t="s">
        <v>12</v>
      </c>
      <c r="B89" s="28"/>
      <c r="C89" s="35" t="s">
        <v>7</v>
      </c>
      <c r="D89" s="60">
        <f t="shared" si="32"/>
        <v>0</v>
      </c>
      <c r="E89" s="60">
        <f t="shared" si="30"/>
        <v>0</v>
      </c>
      <c r="F89" s="44"/>
      <c r="G89" s="44"/>
      <c r="H89" s="24"/>
      <c r="I89" s="24"/>
      <c r="J89" s="25">
        <v>10</v>
      </c>
      <c r="K89" s="34"/>
      <c r="L89" s="34"/>
      <c r="M89" s="57"/>
      <c r="N89" s="57"/>
      <c r="O89" s="24" t="e">
        <f t="shared" si="31"/>
        <v>#DIV/0!</v>
      </c>
      <c r="P89" s="27"/>
      <c r="Q89" s="25"/>
    </row>
    <row r="90" spans="1:17" ht="12.75">
      <c r="A90" s="38" t="s">
        <v>39</v>
      </c>
      <c r="B90" s="68"/>
      <c r="C90" s="23" t="s">
        <v>40</v>
      </c>
      <c r="D90" s="60">
        <f t="shared" si="32"/>
        <v>0</v>
      </c>
      <c r="E90" s="60">
        <f t="shared" si="30"/>
        <v>0</v>
      </c>
      <c r="F90" s="44"/>
      <c r="G90" s="44"/>
      <c r="H90" s="24"/>
      <c r="I90" s="24"/>
      <c r="J90" s="25">
        <v>0</v>
      </c>
      <c r="K90" s="34"/>
      <c r="L90" s="34"/>
      <c r="M90" s="57"/>
      <c r="N90" s="57"/>
      <c r="O90" s="24" t="e">
        <f t="shared" si="31"/>
        <v>#DIV/0!</v>
      </c>
      <c r="P90" s="27"/>
      <c r="Q90" s="25"/>
    </row>
    <row r="91" spans="1:17" ht="12.75" hidden="1">
      <c r="A91" s="38" t="s">
        <v>44</v>
      </c>
      <c r="B91" s="68"/>
      <c r="C91" s="23" t="s">
        <v>45</v>
      </c>
      <c r="D91" s="23"/>
      <c r="E91" s="23"/>
      <c r="F91" s="44"/>
      <c r="G91" s="44"/>
      <c r="H91" s="24" t="e">
        <f>I91+#REF!+#REF!+#REF!</f>
        <v>#REF!</v>
      </c>
      <c r="I91" s="24"/>
      <c r="J91" s="25"/>
      <c r="K91" s="34"/>
      <c r="L91" s="34"/>
      <c r="M91" s="57"/>
      <c r="N91" s="57"/>
      <c r="O91" s="24" t="e">
        <f t="shared" si="31"/>
        <v>#DIV/0!</v>
      </c>
      <c r="P91" s="34" t="e">
        <f t="shared" si="28"/>
        <v>#DIV/0!</v>
      </c>
      <c r="Q91" s="31" t="e">
        <f t="shared" si="29"/>
        <v>#DIV/0!</v>
      </c>
    </row>
    <row r="92" spans="1:17" ht="12.75">
      <c r="A92" s="32" t="s">
        <v>1</v>
      </c>
      <c r="B92" s="32"/>
      <c r="C92" s="39" t="s">
        <v>0</v>
      </c>
      <c r="D92" s="40">
        <f aca="true" t="shared" si="33" ref="D92:J92">D93+D94</f>
        <v>67008.3</v>
      </c>
      <c r="E92" s="78">
        <f t="shared" si="33"/>
        <v>25554.3</v>
      </c>
      <c r="F92" s="40">
        <f t="shared" si="33"/>
        <v>25554.3</v>
      </c>
      <c r="G92" s="40">
        <f t="shared" si="33"/>
        <v>16135.8</v>
      </c>
      <c r="H92" s="40">
        <f t="shared" si="33"/>
        <v>14435.1</v>
      </c>
      <c r="I92" s="40">
        <f t="shared" si="33"/>
        <v>10883.1</v>
      </c>
      <c r="J92" s="40">
        <f t="shared" si="33"/>
        <v>10648.1</v>
      </c>
      <c r="K92" s="34" t="e">
        <f>J92/#REF!*100</f>
        <v>#REF!</v>
      </c>
      <c r="L92" s="34">
        <f>J92/H92*100</f>
        <v>73.76533588267486</v>
      </c>
      <c r="M92" s="57"/>
      <c r="N92" s="57"/>
      <c r="O92" s="43">
        <f t="shared" si="31"/>
        <v>97.84068877433819</v>
      </c>
      <c r="P92" s="34">
        <f t="shared" si="28"/>
        <v>41.668525453641855</v>
      </c>
      <c r="Q92" s="31">
        <f t="shared" si="29"/>
        <v>15.89071801552942</v>
      </c>
    </row>
    <row r="93" spans="1:17" ht="24">
      <c r="A93" s="21" t="s">
        <v>67</v>
      </c>
      <c r="B93" s="19"/>
      <c r="C93" s="41" t="s">
        <v>20</v>
      </c>
      <c r="D93" s="60">
        <f>F93+G93+H93+I93</f>
        <v>66948.3</v>
      </c>
      <c r="E93" s="60">
        <f>F93</f>
        <v>25494.3</v>
      </c>
      <c r="F93" s="44">
        <f>25386.3+108</f>
        <v>25494.3</v>
      </c>
      <c r="G93" s="44">
        <v>16135.8</v>
      </c>
      <c r="H93" s="24">
        <v>14435.1</v>
      </c>
      <c r="I93" s="24">
        <v>10883.1</v>
      </c>
      <c r="J93" s="25">
        <v>10588.1</v>
      </c>
      <c r="K93" s="27" t="e">
        <f>J93/#REF!*100</f>
        <v>#REF!</v>
      </c>
      <c r="L93" s="27">
        <f>J93/H93*100</f>
        <v>73.34968237144184</v>
      </c>
      <c r="M93" s="57"/>
      <c r="N93" s="57"/>
      <c r="O93" s="24">
        <f t="shared" si="31"/>
        <v>97.2893752699139</v>
      </c>
      <c r="P93" s="27">
        <f t="shared" si="28"/>
        <v>41.53124423890831</v>
      </c>
      <c r="Q93" s="25">
        <f t="shared" si="29"/>
        <v>15.815338104178895</v>
      </c>
    </row>
    <row r="94" spans="1:17" ht="15.75" customHeight="1">
      <c r="A94" s="21" t="s">
        <v>2</v>
      </c>
      <c r="B94" s="21"/>
      <c r="C94" s="42" t="s">
        <v>19</v>
      </c>
      <c r="D94" s="60">
        <f>F94+G94+H94+I94</f>
        <v>60</v>
      </c>
      <c r="E94" s="60">
        <f>F94</f>
        <v>60</v>
      </c>
      <c r="F94" s="79">
        <v>60</v>
      </c>
      <c r="G94" s="79"/>
      <c r="H94" s="24"/>
      <c r="I94" s="24"/>
      <c r="J94" s="25">
        <v>60</v>
      </c>
      <c r="K94" s="27" t="e">
        <f>J94/#REF!*100</f>
        <v>#REF!</v>
      </c>
      <c r="L94" s="27"/>
      <c r="M94" s="57"/>
      <c r="N94" s="57"/>
      <c r="O94" s="24" t="e">
        <f t="shared" si="31"/>
        <v>#DIV/0!</v>
      </c>
      <c r="P94" s="27">
        <f>J94*100/E94</f>
        <v>100</v>
      </c>
      <c r="Q94" s="25">
        <f>J94*100/D94</f>
        <v>100</v>
      </c>
    </row>
    <row r="95" spans="1:17" ht="12.75">
      <c r="A95" s="28"/>
      <c r="B95" s="29"/>
      <c r="C95" s="30" t="s">
        <v>4</v>
      </c>
      <c r="D95" s="31">
        <f aca="true" t="shared" si="34" ref="D95:J95">D92+D80</f>
        <v>100878.9</v>
      </c>
      <c r="E95" s="31">
        <f t="shared" si="34"/>
        <v>32314.199999999997</v>
      </c>
      <c r="F95" s="31">
        <f t="shared" si="34"/>
        <v>32314.199999999997</v>
      </c>
      <c r="G95" s="31">
        <f t="shared" si="34"/>
        <v>24148.4</v>
      </c>
      <c r="H95" s="31">
        <f t="shared" si="34"/>
        <v>22912.300000000003</v>
      </c>
      <c r="I95" s="31">
        <f t="shared" si="34"/>
        <v>21504</v>
      </c>
      <c r="J95" s="31">
        <f t="shared" si="34"/>
        <v>19480.300000000003</v>
      </c>
      <c r="K95" s="34" t="e">
        <f>J95/#REF!*100</f>
        <v>#REF!</v>
      </c>
      <c r="L95" s="34">
        <f>J95/H95*100</f>
        <v>85.02114584742692</v>
      </c>
      <c r="M95" s="57"/>
      <c r="N95" s="58" t="e">
        <f>I95+#REF!+#REF!</f>
        <v>#REF!</v>
      </c>
      <c r="O95" s="43">
        <f t="shared" si="31"/>
        <v>90.58919270833334</v>
      </c>
      <c r="P95" s="34">
        <f t="shared" si="28"/>
        <v>60.28402374188438</v>
      </c>
      <c r="Q95" s="31">
        <f t="shared" si="29"/>
        <v>19.31057931837084</v>
      </c>
    </row>
    <row r="96" spans="1:17" ht="12.75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8"/>
      <c r="M96" s="57"/>
      <c r="N96" s="57"/>
      <c r="O96" s="56"/>
      <c r="P96" s="34"/>
      <c r="Q96" s="31"/>
    </row>
    <row r="97" spans="1:17" ht="12.75">
      <c r="A97" s="95" t="s">
        <v>29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34"/>
      <c r="Q97" s="31"/>
    </row>
    <row r="98" spans="1:17" ht="12.75">
      <c r="A98" s="32" t="s">
        <v>3</v>
      </c>
      <c r="B98" s="32"/>
      <c r="C98" s="33" t="s">
        <v>68</v>
      </c>
      <c r="D98" s="34">
        <f aca="true" t="shared" si="35" ref="D98:J98">D99+D102+D106+D103+D104+D107+D105+D101+D100</f>
        <v>2219.9</v>
      </c>
      <c r="E98" s="34">
        <f t="shared" si="35"/>
        <v>555.1</v>
      </c>
      <c r="F98" s="34">
        <f t="shared" si="35"/>
        <v>555.1</v>
      </c>
      <c r="G98" s="34">
        <f t="shared" si="35"/>
        <v>553.5</v>
      </c>
      <c r="H98" s="34">
        <f t="shared" si="35"/>
        <v>554.4000000000001</v>
      </c>
      <c r="I98" s="34">
        <f t="shared" si="35"/>
        <v>556.9000000000001</v>
      </c>
      <c r="J98" s="34">
        <f t="shared" si="35"/>
        <v>628.5999999999999</v>
      </c>
      <c r="K98" s="34" t="e">
        <f>J98/#REF!*100</f>
        <v>#REF!</v>
      </c>
      <c r="L98" s="34">
        <f>J98/H98*100</f>
        <v>113.38383838383834</v>
      </c>
      <c r="M98" s="57"/>
      <c r="N98" s="57"/>
      <c r="O98" s="34">
        <f t="shared" si="31"/>
        <v>112.8748428802298</v>
      </c>
      <c r="P98" s="34">
        <f t="shared" si="28"/>
        <v>113.24085750315257</v>
      </c>
      <c r="Q98" s="31">
        <f t="shared" si="29"/>
        <v>28.316590837425103</v>
      </c>
    </row>
    <row r="99" spans="1:17" ht="12.75">
      <c r="A99" s="28" t="s">
        <v>23</v>
      </c>
      <c r="B99" s="28"/>
      <c r="C99" s="35" t="s">
        <v>22</v>
      </c>
      <c r="D99" s="60">
        <f>F99+G99+H99+I99</f>
        <v>980</v>
      </c>
      <c r="E99" s="60">
        <f aca="true" t="shared" si="36" ref="E99:E109">F99</f>
        <v>245</v>
      </c>
      <c r="F99" s="44">
        <v>245</v>
      </c>
      <c r="G99" s="44">
        <v>245</v>
      </c>
      <c r="H99" s="24">
        <v>245</v>
      </c>
      <c r="I99" s="25">
        <v>245</v>
      </c>
      <c r="J99" s="25">
        <v>265.7</v>
      </c>
      <c r="K99" s="27"/>
      <c r="L99" s="27">
        <f>J99/H99*100</f>
        <v>108.44897959183672</v>
      </c>
      <c r="M99" s="58"/>
      <c r="N99" s="57"/>
      <c r="O99" s="24">
        <f t="shared" si="31"/>
        <v>108.44897959183673</v>
      </c>
      <c r="P99" s="27">
        <f t="shared" si="28"/>
        <v>108.44897959183673</v>
      </c>
      <c r="Q99" s="25">
        <f t="shared" si="29"/>
        <v>27.112244897959183</v>
      </c>
    </row>
    <row r="100" spans="1:17" ht="12.75">
      <c r="A100" s="19" t="s">
        <v>70</v>
      </c>
      <c r="B100" s="19"/>
      <c r="C100" s="35" t="s">
        <v>71</v>
      </c>
      <c r="D100" s="60">
        <f>F100+G100+H100+I100</f>
        <v>1110.4</v>
      </c>
      <c r="E100" s="60">
        <f t="shared" si="36"/>
        <v>277.6</v>
      </c>
      <c r="F100" s="44">
        <v>277.6</v>
      </c>
      <c r="G100" s="44">
        <v>277.6</v>
      </c>
      <c r="H100" s="24">
        <v>277.6</v>
      </c>
      <c r="I100" s="25">
        <v>277.6</v>
      </c>
      <c r="J100" s="25">
        <v>285.5</v>
      </c>
      <c r="K100" s="27"/>
      <c r="L100" s="27"/>
      <c r="M100" s="58"/>
      <c r="N100" s="57"/>
      <c r="O100" s="24"/>
      <c r="P100" s="27">
        <f>J100*100/E100</f>
        <v>102.8458213256484</v>
      </c>
      <c r="Q100" s="25">
        <f>J100*100/D100</f>
        <v>25.7114553314121</v>
      </c>
    </row>
    <row r="101" spans="1:17" ht="12.75" hidden="1">
      <c r="A101" s="19" t="s">
        <v>8</v>
      </c>
      <c r="B101" s="19"/>
      <c r="C101" s="35" t="s">
        <v>5</v>
      </c>
      <c r="D101" s="60">
        <f>F101+G101+H101+I101</f>
        <v>0</v>
      </c>
      <c r="E101" s="60">
        <f t="shared" si="36"/>
        <v>0</v>
      </c>
      <c r="F101" s="44"/>
      <c r="G101" s="44"/>
      <c r="H101" s="24"/>
      <c r="I101" s="25"/>
      <c r="J101" s="25"/>
      <c r="K101" s="27"/>
      <c r="L101" s="27"/>
      <c r="M101" s="58"/>
      <c r="N101" s="57"/>
      <c r="O101" s="24"/>
      <c r="P101" s="27" t="e">
        <f>J101*100/E101</f>
        <v>#DIV/0!</v>
      </c>
      <c r="Q101" s="25" t="e">
        <f>J101*100/D101</f>
        <v>#DIV/0!</v>
      </c>
    </row>
    <row r="102" spans="1:17" ht="12.75">
      <c r="A102" s="19" t="s">
        <v>9</v>
      </c>
      <c r="B102" s="19"/>
      <c r="C102" s="35" t="s">
        <v>6</v>
      </c>
      <c r="D102" s="60">
        <f aca="true" t="shared" si="37" ref="D102:D110">F102+G102+H102+I102</f>
        <v>70.5</v>
      </c>
      <c r="E102" s="60">
        <f t="shared" si="36"/>
        <v>18.6</v>
      </c>
      <c r="F102" s="44">
        <v>18.6</v>
      </c>
      <c r="G102" s="44">
        <v>16.7</v>
      </c>
      <c r="H102" s="24">
        <v>18.6</v>
      </c>
      <c r="I102" s="25">
        <v>16.6</v>
      </c>
      <c r="J102" s="25">
        <v>11</v>
      </c>
      <c r="K102" s="27"/>
      <c r="L102" s="27">
        <f aca="true" t="shared" si="38" ref="L102:L109">J102/H102*100</f>
        <v>59.13978494623655</v>
      </c>
      <c r="M102" s="58"/>
      <c r="N102" s="57"/>
      <c r="O102" s="24">
        <f t="shared" si="31"/>
        <v>66.26506024096385</v>
      </c>
      <c r="P102" s="27">
        <f t="shared" si="28"/>
        <v>59.13978494623655</v>
      </c>
      <c r="Q102" s="25">
        <f t="shared" si="29"/>
        <v>15.602836879432624</v>
      </c>
    </row>
    <row r="103" spans="1:17" ht="12.75">
      <c r="A103" s="19" t="s">
        <v>10</v>
      </c>
      <c r="B103" s="19"/>
      <c r="C103" s="35" t="s">
        <v>21</v>
      </c>
      <c r="D103" s="60">
        <f t="shared" si="37"/>
        <v>5</v>
      </c>
      <c r="E103" s="60">
        <f t="shared" si="36"/>
        <v>1.5</v>
      </c>
      <c r="F103" s="44">
        <v>1.5</v>
      </c>
      <c r="G103" s="44">
        <v>1.5</v>
      </c>
      <c r="H103" s="24">
        <v>0.5</v>
      </c>
      <c r="I103" s="25">
        <v>1.5</v>
      </c>
      <c r="J103" s="25">
        <v>0.5</v>
      </c>
      <c r="K103" s="27"/>
      <c r="L103" s="27">
        <f t="shared" si="38"/>
        <v>100</v>
      </c>
      <c r="M103" s="57"/>
      <c r="N103" s="57"/>
      <c r="O103" s="24">
        <f t="shared" si="31"/>
        <v>33.333333333333336</v>
      </c>
      <c r="P103" s="27">
        <f t="shared" si="28"/>
        <v>33.333333333333336</v>
      </c>
      <c r="Q103" s="25">
        <f t="shared" si="29"/>
        <v>10</v>
      </c>
    </row>
    <row r="104" spans="1:17" ht="24">
      <c r="A104" s="20" t="s">
        <v>11</v>
      </c>
      <c r="B104" s="20"/>
      <c r="C104" s="35" t="s">
        <v>17</v>
      </c>
      <c r="D104" s="60">
        <f t="shared" si="37"/>
        <v>19</v>
      </c>
      <c r="E104" s="60">
        <f t="shared" si="36"/>
        <v>1.9</v>
      </c>
      <c r="F104" s="44">
        <v>1.9</v>
      </c>
      <c r="G104" s="44">
        <v>5.7</v>
      </c>
      <c r="H104" s="24">
        <v>5.7</v>
      </c>
      <c r="I104" s="25">
        <v>5.7</v>
      </c>
      <c r="J104" s="25">
        <v>1.9</v>
      </c>
      <c r="K104" s="27"/>
      <c r="L104" s="27">
        <f t="shared" si="38"/>
        <v>33.33333333333333</v>
      </c>
      <c r="M104" s="57"/>
      <c r="N104" s="57"/>
      <c r="O104" s="24">
        <f t="shared" si="31"/>
        <v>33.333333333333336</v>
      </c>
      <c r="P104" s="27">
        <f t="shared" si="28"/>
        <v>100</v>
      </c>
      <c r="Q104" s="25">
        <f t="shared" si="29"/>
        <v>10</v>
      </c>
    </row>
    <row r="105" spans="1:17" ht="12.75">
      <c r="A105" s="37" t="s">
        <v>42</v>
      </c>
      <c r="B105" s="37"/>
      <c r="C105" s="35" t="s">
        <v>43</v>
      </c>
      <c r="D105" s="60">
        <f t="shared" si="37"/>
        <v>35</v>
      </c>
      <c r="E105" s="60">
        <f t="shared" si="36"/>
        <v>10.5</v>
      </c>
      <c r="F105" s="44">
        <v>10.5</v>
      </c>
      <c r="G105" s="44">
        <v>7</v>
      </c>
      <c r="H105" s="24">
        <v>7</v>
      </c>
      <c r="I105" s="25">
        <v>10.5</v>
      </c>
      <c r="J105" s="25">
        <v>14</v>
      </c>
      <c r="K105" s="27"/>
      <c r="L105" s="27">
        <f t="shared" si="38"/>
        <v>200</v>
      </c>
      <c r="M105" s="57"/>
      <c r="N105" s="57"/>
      <c r="O105" s="24">
        <f t="shared" si="31"/>
        <v>133.33333333333334</v>
      </c>
      <c r="P105" s="27">
        <f t="shared" si="28"/>
        <v>133.33333333333334</v>
      </c>
      <c r="Q105" s="25">
        <f t="shared" si="29"/>
        <v>40</v>
      </c>
    </row>
    <row r="106" spans="1:17" ht="18.75" customHeight="1">
      <c r="A106" s="28" t="s">
        <v>12</v>
      </c>
      <c r="B106" s="28"/>
      <c r="C106" s="35" t="s">
        <v>7</v>
      </c>
      <c r="D106" s="60">
        <f t="shared" si="37"/>
        <v>0</v>
      </c>
      <c r="E106" s="60">
        <f t="shared" si="36"/>
        <v>0</v>
      </c>
      <c r="F106" s="44"/>
      <c r="G106" s="44"/>
      <c r="H106" s="24"/>
      <c r="I106" s="25"/>
      <c r="J106" s="25">
        <v>50</v>
      </c>
      <c r="K106" s="27"/>
      <c r="L106" s="27" t="e">
        <f t="shared" si="38"/>
        <v>#DIV/0!</v>
      </c>
      <c r="M106" s="57"/>
      <c r="N106" s="57"/>
      <c r="O106" s="24" t="e">
        <f t="shared" si="31"/>
        <v>#DIV/0!</v>
      </c>
      <c r="P106" s="27"/>
      <c r="Q106" s="25"/>
    </row>
    <row r="107" spans="1:17" ht="16.5" customHeight="1">
      <c r="A107" s="37" t="s">
        <v>39</v>
      </c>
      <c r="B107" s="80"/>
      <c r="C107" s="23" t="s">
        <v>40</v>
      </c>
      <c r="D107" s="60">
        <f t="shared" si="37"/>
        <v>0</v>
      </c>
      <c r="E107" s="60">
        <f t="shared" si="36"/>
        <v>0</v>
      </c>
      <c r="F107" s="44"/>
      <c r="G107" s="44"/>
      <c r="H107" s="24"/>
      <c r="I107" s="25"/>
      <c r="J107" s="25">
        <v>0</v>
      </c>
      <c r="K107" s="34"/>
      <c r="L107" s="27" t="e">
        <f t="shared" si="38"/>
        <v>#DIV/0!</v>
      </c>
      <c r="M107" s="57"/>
      <c r="N107" s="57"/>
      <c r="O107" s="24" t="e">
        <f t="shared" si="31"/>
        <v>#DIV/0!</v>
      </c>
      <c r="P107" s="34"/>
      <c r="Q107" s="31"/>
    </row>
    <row r="108" spans="1:17" ht="12.75">
      <c r="A108" s="62" t="s">
        <v>1</v>
      </c>
      <c r="B108" s="62"/>
      <c r="C108" s="39" t="s">
        <v>0</v>
      </c>
      <c r="D108" s="40">
        <f aca="true" t="shared" si="39" ref="D108:K108">D109+D110</f>
        <v>21576.399999999998</v>
      </c>
      <c r="E108" s="40">
        <f t="shared" si="39"/>
        <v>7217.5</v>
      </c>
      <c r="F108" s="40">
        <f t="shared" si="39"/>
        <v>7217.5</v>
      </c>
      <c r="G108" s="40">
        <f t="shared" si="39"/>
        <v>4796.3</v>
      </c>
      <c r="H108" s="40">
        <f t="shared" si="39"/>
        <v>4781.3</v>
      </c>
      <c r="I108" s="40">
        <f t="shared" si="39"/>
        <v>4781.3</v>
      </c>
      <c r="J108" s="40">
        <f t="shared" si="39"/>
        <v>6812.7</v>
      </c>
      <c r="K108" s="40">
        <f t="shared" si="39"/>
        <v>0</v>
      </c>
      <c r="L108" s="34">
        <f>J108/H108*100</f>
        <v>142.4863530838893</v>
      </c>
      <c r="M108" s="57"/>
      <c r="N108" s="57"/>
      <c r="O108" s="43">
        <f t="shared" si="31"/>
        <v>142.48635308388933</v>
      </c>
      <c r="P108" s="34">
        <f t="shared" si="28"/>
        <v>94.39140976792518</v>
      </c>
      <c r="Q108" s="31">
        <f t="shared" si="29"/>
        <v>31.57477614430582</v>
      </c>
    </row>
    <row r="109" spans="1:17" ht="24">
      <c r="A109" s="21" t="s">
        <v>67</v>
      </c>
      <c r="B109" s="19"/>
      <c r="C109" s="41" t="s">
        <v>20</v>
      </c>
      <c r="D109" s="60">
        <f t="shared" si="37"/>
        <v>21576.399999999998</v>
      </c>
      <c r="E109" s="60">
        <f t="shared" si="36"/>
        <v>7217.5</v>
      </c>
      <c r="F109" s="44">
        <f>7108.9+108.6</f>
        <v>7217.5</v>
      </c>
      <c r="G109" s="44">
        <v>4796.3</v>
      </c>
      <c r="H109" s="24">
        <v>4781.3</v>
      </c>
      <c r="I109" s="25">
        <v>4781.3</v>
      </c>
      <c r="J109" s="25">
        <v>6812.7</v>
      </c>
      <c r="K109" s="27"/>
      <c r="L109" s="27">
        <f t="shared" si="38"/>
        <v>142.4863530838893</v>
      </c>
      <c r="M109" s="57"/>
      <c r="N109" s="57"/>
      <c r="O109" s="24">
        <f t="shared" si="31"/>
        <v>142.48635308388933</v>
      </c>
      <c r="P109" s="27">
        <f t="shared" si="28"/>
        <v>94.39140976792518</v>
      </c>
      <c r="Q109" s="25">
        <f t="shared" si="29"/>
        <v>31.57477614430582</v>
      </c>
    </row>
    <row r="110" spans="1:17" ht="12.75" hidden="1">
      <c r="A110" s="21" t="s">
        <v>2</v>
      </c>
      <c r="B110" s="21"/>
      <c r="C110" s="42" t="s">
        <v>19</v>
      </c>
      <c r="D110" s="60">
        <f t="shared" si="37"/>
        <v>0</v>
      </c>
      <c r="E110" s="60">
        <f>F110+G110</f>
        <v>0</v>
      </c>
      <c r="F110" s="79"/>
      <c r="G110" s="79"/>
      <c r="H110" s="24"/>
      <c r="I110" s="25"/>
      <c r="J110" s="25"/>
      <c r="K110" s="27"/>
      <c r="L110" s="27"/>
      <c r="M110" s="57"/>
      <c r="N110" s="57"/>
      <c r="O110" s="24" t="e">
        <f t="shared" si="31"/>
        <v>#DIV/0!</v>
      </c>
      <c r="P110" s="34"/>
      <c r="Q110" s="31"/>
    </row>
    <row r="111" spans="1:17" ht="12.75">
      <c r="A111" s="28"/>
      <c r="B111" s="29"/>
      <c r="C111" s="30" t="s">
        <v>4</v>
      </c>
      <c r="D111" s="31">
        <f aca="true" t="shared" si="40" ref="D111:K111">D108+D98</f>
        <v>23796.3</v>
      </c>
      <c r="E111" s="43">
        <f t="shared" si="40"/>
        <v>7772.6</v>
      </c>
      <c r="F111" s="43">
        <f t="shared" si="40"/>
        <v>7772.6</v>
      </c>
      <c r="G111" s="43">
        <f>G108+G98</f>
        <v>5349.8</v>
      </c>
      <c r="H111" s="31">
        <f t="shared" si="40"/>
        <v>5335.700000000001</v>
      </c>
      <c r="I111" s="31">
        <f t="shared" si="40"/>
        <v>5338.200000000001</v>
      </c>
      <c r="J111" s="31">
        <f t="shared" si="40"/>
        <v>7441.299999999999</v>
      </c>
      <c r="K111" s="31" t="e">
        <f t="shared" si="40"/>
        <v>#REF!</v>
      </c>
      <c r="L111" s="34">
        <f>J111/H111*100</f>
        <v>139.4624885207189</v>
      </c>
      <c r="M111" s="57"/>
      <c r="N111" s="58" t="e">
        <f>I111+#REF!+#REF!</f>
        <v>#REF!</v>
      </c>
      <c r="O111" s="43">
        <f t="shared" si="31"/>
        <v>139.3971750777415</v>
      </c>
      <c r="P111" s="34">
        <f t="shared" si="28"/>
        <v>95.73759102488226</v>
      </c>
      <c r="Q111" s="31">
        <f t="shared" si="29"/>
        <v>31.270827817769984</v>
      </c>
    </row>
    <row r="112" spans="1:17" ht="12.75">
      <c r="A112" s="96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8"/>
      <c r="M112" s="57"/>
      <c r="N112" s="57"/>
      <c r="O112" s="56"/>
      <c r="P112" s="34"/>
      <c r="Q112" s="31"/>
    </row>
    <row r="113" spans="1:17" ht="12.75">
      <c r="A113" s="95" t="s">
        <v>30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34"/>
      <c r="Q113" s="31"/>
    </row>
    <row r="114" spans="1:17" ht="12.75">
      <c r="A114" s="32" t="s">
        <v>3</v>
      </c>
      <c r="B114" s="32"/>
      <c r="C114" s="33" t="s">
        <v>68</v>
      </c>
      <c r="D114" s="34">
        <f aca="true" t="shared" si="41" ref="D114:I114">D115+D119+D123+D120+D121+D124+D122+D125+D116+D117</f>
        <v>4041</v>
      </c>
      <c r="E114" s="34">
        <f t="shared" si="41"/>
        <v>952.3</v>
      </c>
      <c r="F114" s="34">
        <f t="shared" si="41"/>
        <v>952.3</v>
      </c>
      <c r="G114" s="34">
        <f t="shared" si="41"/>
        <v>1067.9</v>
      </c>
      <c r="H114" s="34">
        <f t="shared" si="41"/>
        <v>1039.8000000000002</v>
      </c>
      <c r="I114" s="34">
        <f t="shared" si="41"/>
        <v>981</v>
      </c>
      <c r="J114" s="34">
        <f>J115+J119+J123+J120+J121+J124+J122+J125+J116+J117+J118</f>
        <v>950.2</v>
      </c>
      <c r="K114" s="34" t="e">
        <f>J114/#REF!*100</f>
        <v>#REF!</v>
      </c>
      <c r="L114" s="34">
        <f aca="true" t="shared" si="42" ref="L114:L123">J114/H114*100</f>
        <v>91.38295826120407</v>
      </c>
      <c r="M114" s="57"/>
      <c r="N114" s="57"/>
      <c r="O114" s="34">
        <f t="shared" si="31"/>
        <v>96.86034658511723</v>
      </c>
      <c r="P114" s="34">
        <f t="shared" si="28"/>
        <v>99.77948125590676</v>
      </c>
      <c r="Q114" s="31">
        <f t="shared" si="29"/>
        <v>23.513981687701065</v>
      </c>
    </row>
    <row r="115" spans="1:17" ht="12.75">
      <c r="A115" s="28" t="s">
        <v>23</v>
      </c>
      <c r="B115" s="28"/>
      <c r="C115" s="35" t="s">
        <v>22</v>
      </c>
      <c r="D115" s="60">
        <f>F115+G115+H115+I115</f>
        <v>1110</v>
      </c>
      <c r="E115" s="60">
        <f aca="true" t="shared" si="43" ref="E115:E127">F115</f>
        <v>296.3</v>
      </c>
      <c r="F115" s="60">
        <v>296.3</v>
      </c>
      <c r="G115" s="60">
        <v>353.7</v>
      </c>
      <c r="H115" s="25">
        <v>225.1</v>
      </c>
      <c r="I115" s="25">
        <v>234.9</v>
      </c>
      <c r="J115" s="25">
        <v>212.6</v>
      </c>
      <c r="K115" s="27" t="e">
        <f>J115/#REF!*100</f>
        <v>#REF!</v>
      </c>
      <c r="L115" s="27">
        <f t="shared" si="42"/>
        <v>94.44691248334074</v>
      </c>
      <c r="M115" s="57"/>
      <c r="N115" s="57"/>
      <c r="O115" s="24">
        <f t="shared" si="31"/>
        <v>90.50659855257557</v>
      </c>
      <c r="P115" s="27">
        <f t="shared" si="28"/>
        <v>71.75160310496119</v>
      </c>
      <c r="Q115" s="25">
        <f t="shared" si="29"/>
        <v>19.153153153153152</v>
      </c>
    </row>
    <row r="116" spans="1:17" ht="12.75" hidden="1">
      <c r="A116" s="19" t="s">
        <v>8</v>
      </c>
      <c r="B116" s="19"/>
      <c r="C116" s="35" t="s">
        <v>5</v>
      </c>
      <c r="D116" s="60">
        <f>F116+G116+H116+I116</f>
        <v>0</v>
      </c>
      <c r="E116" s="60">
        <f t="shared" si="43"/>
        <v>0</v>
      </c>
      <c r="F116" s="60"/>
      <c r="G116" s="60"/>
      <c r="H116" s="25"/>
      <c r="I116" s="25"/>
      <c r="J116" s="25"/>
      <c r="K116" s="27"/>
      <c r="L116" s="27"/>
      <c r="M116" s="57"/>
      <c r="N116" s="57"/>
      <c r="O116" s="24"/>
      <c r="P116" s="27" t="e">
        <f>J116*100/E116</f>
        <v>#DIV/0!</v>
      </c>
      <c r="Q116" s="25" t="e">
        <f>J116*100/D116</f>
        <v>#DIV/0!</v>
      </c>
    </row>
    <row r="117" spans="1:17" ht="13.5" customHeight="1">
      <c r="A117" s="19" t="s">
        <v>70</v>
      </c>
      <c r="B117" s="19"/>
      <c r="C117" s="35" t="s">
        <v>71</v>
      </c>
      <c r="D117" s="60">
        <f>F117+G117+H117+I117</f>
        <v>2422</v>
      </c>
      <c r="E117" s="60">
        <f t="shared" si="43"/>
        <v>463</v>
      </c>
      <c r="F117" s="60">
        <v>463</v>
      </c>
      <c r="G117" s="60">
        <v>620.2</v>
      </c>
      <c r="H117" s="25">
        <v>737.7</v>
      </c>
      <c r="I117" s="25">
        <v>601.1</v>
      </c>
      <c r="J117" s="25">
        <v>622.7</v>
      </c>
      <c r="K117" s="27"/>
      <c r="L117" s="27"/>
      <c r="M117" s="57"/>
      <c r="N117" s="57"/>
      <c r="O117" s="24"/>
      <c r="P117" s="27">
        <f>J117*100/E117</f>
        <v>134.49244060475164</v>
      </c>
      <c r="Q117" s="25">
        <f>J117*100/D117</f>
        <v>25.710156895127998</v>
      </c>
    </row>
    <row r="118" spans="1:17" ht="13.5" customHeight="1">
      <c r="A118" s="19" t="s">
        <v>8</v>
      </c>
      <c r="B118" s="19"/>
      <c r="C118" s="35" t="s">
        <v>5</v>
      </c>
      <c r="D118" s="60"/>
      <c r="E118" s="60"/>
      <c r="F118" s="60"/>
      <c r="G118" s="60"/>
      <c r="H118" s="25"/>
      <c r="I118" s="25"/>
      <c r="J118" s="25">
        <v>5.6</v>
      </c>
      <c r="K118" s="27"/>
      <c r="L118" s="27"/>
      <c r="M118" s="57"/>
      <c r="N118" s="57"/>
      <c r="O118" s="24"/>
      <c r="P118" s="27"/>
      <c r="Q118" s="25"/>
    </row>
    <row r="119" spans="1:17" ht="12.75">
      <c r="A119" s="19" t="s">
        <v>9</v>
      </c>
      <c r="B119" s="19"/>
      <c r="C119" s="35" t="s">
        <v>6</v>
      </c>
      <c r="D119" s="60">
        <f aca="true" t="shared" si="44" ref="D119:D127">F119+G119+H119+I119</f>
        <v>99</v>
      </c>
      <c r="E119" s="60">
        <f t="shared" si="43"/>
        <v>11</v>
      </c>
      <c r="F119" s="60">
        <v>11</v>
      </c>
      <c r="G119" s="60">
        <v>15</v>
      </c>
      <c r="H119" s="25">
        <v>7</v>
      </c>
      <c r="I119" s="25">
        <v>66</v>
      </c>
      <c r="J119" s="25">
        <v>40.6</v>
      </c>
      <c r="K119" s="27" t="e">
        <f>J119/#REF!*100</f>
        <v>#REF!</v>
      </c>
      <c r="L119" s="27">
        <f t="shared" si="42"/>
        <v>580</v>
      </c>
      <c r="M119" s="57"/>
      <c r="N119" s="57"/>
      <c r="O119" s="24">
        <f t="shared" si="31"/>
        <v>61.515151515151516</v>
      </c>
      <c r="P119" s="27">
        <f t="shared" si="28"/>
        <v>369.09090909090907</v>
      </c>
      <c r="Q119" s="25">
        <f t="shared" si="29"/>
        <v>41.01010101010101</v>
      </c>
    </row>
    <row r="120" spans="1:17" ht="12.75">
      <c r="A120" s="19" t="s">
        <v>10</v>
      </c>
      <c r="B120" s="19"/>
      <c r="C120" s="35" t="s">
        <v>21</v>
      </c>
      <c r="D120" s="60">
        <f t="shared" si="44"/>
        <v>17</v>
      </c>
      <c r="E120" s="60">
        <f t="shared" si="43"/>
        <v>6</v>
      </c>
      <c r="F120" s="60">
        <v>6</v>
      </c>
      <c r="G120" s="60">
        <v>3</v>
      </c>
      <c r="H120" s="25">
        <v>3</v>
      </c>
      <c r="I120" s="25">
        <v>5</v>
      </c>
      <c r="J120" s="25">
        <v>2.6</v>
      </c>
      <c r="K120" s="27" t="e">
        <f>J120/#REF!*100</f>
        <v>#REF!</v>
      </c>
      <c r="L120" s="27">
        <f t="shared" si="42"/>
        <v>86.66666666666667</v>
      </c>
      <c r="M120" s="57"/>
      <c r="N120" s="57"/>
      <c r="O120" s="24">
        <f t="shared" si="31"/>
        <v>52</v>
      </c>
      <c r="P120" s="27">
        <f t="shared" si="28"/>
        <v>43.333333333333336</v>
      </c>
      <c r="Q120" s="25">
        <f t="shared" si="29"/>
        <v>15.294117647058824</v>
      </c>
    </row>
    <row r="121" spans="1:17" ht="24">
      <c r="A121" s="20" t="s">
        <v>11</v>
      </c>
      <c r="B121" s="20"/>
      <c r="C121" s="35" t="s">
        <v>17</v>
      </c>
      <c r="D121" s="60">
        <f t="shared" si="44"/>
        <v>283</v>
      </c>
      <c r="E121" s="60">
        <f t="shared" si="43"/>
        <v>137</v>
      </c>
      <c r="F121" s="60">
        <v>137</v>
      </c>
      <c r="G121" s="60">
        <v>48</v>
      </c>
      <c r="H121" s="25">
        <v>48</v>
      </c>
      <c r="I121" s="25">
        <v>50</v>
      </c>
      <c r="J121" s="25">
        <v>38.8</v>
      </c>
      <c r="K121" s="27" t="e">
        <f>J121/#REF!*100</f>
        <v>#REF!</v>
      </c>
      <c r="L121" s="27">
        <f t="shared" si="42"/>
        <v>80.83333333333333</v>
      </c>
      <c r="M121" s="57"/>
      <c r="N121" s="57"/>
      <c r="O121" s="24">
        <f t="shared" si="31"/>
        <v>77.6</v>
      </c>
      <c r="P121" s="27">
        <f t="shared" si="28"/>
        <v>28.321167883211675</v>
      </c>
      <c r="Q121" s="25">
        <f t="shared" si="29"/>
        <v>13.71024734982332</v>
      </c>
    </row>
    <row r="122" spans="1:17" ht="12.75">
      <c r="A122" s="37" t="s">
        <v>42</v>
      </c>
      <c r="B122" s="37"/>
      <c r="C122" s="35" t="s">
        <v>43</v>
      </c>
      <c r="D122" s="60">
        <f t="shared" si="44"/>
        <v>110</v>
      </c>
      <c r="E122" s="60">
        <f t="shared" si="43"/>
        <v>39</v>
      </c>
      <c r="F122" s="60">
        <v>39</v>
      </c>
      <c r="G122" s="60">
        <v>28</v>
      </c>
      <c r="H122" s="25">
        <v>19</v>
      </c>
      <c r="I122" s="25">
        <v>24</v>
      </c>
      <c r="J122" s="25">
        <v>27.3</v>
      </c>
      <c r="K122" s="27" t="e">
        <f>J122/#REF!*100</f>
        <v>#REF!</v>
      </c>
      <c r="L122" s="27">
        <f t="shared" si="42"/>
        <v>143.68421052631578</v>
      </c>
      <c r="M122" s="57"/>
      <c r="N122" s="57"/>
      <c r="O122" s="24">
        <f t="shared" si="31"/>
        <v>113.75</v>
      </c>
      <c r="P122" s="27">
        <f t="shared" si="28"/>
        <v>70</v>
      </c>
      <c r="Q122" s="25">
        <f t="shared" si="29"/>
        <v>24.818181818181817</v>
      </c>
    </row>
    <row r="123" spans="1:17" ht="12.75" hidden="1">
      <c r="A123" s="36" t="s">
        <v>18</v>
      </c>
      <c r="B123" s="36"/>
      <c r="C123" s="35" t="s">
        <v>15</v>
      </c>
      <c r="D123" s="60">
        <f t="shared" si="44"/>
        <v>0</v>
      </c>
      <c r="E123" s="60">
        <f t="shared" si="43"/>
        <v>0</v>
      </c>
      <c r="F123" s="60"/>
      <c r="G123" s="60"/>
      <c r="H123" s="25"/>
      <c r="I123" s="25"/>
      <c r="J123" s="25"/>
      <c r="K123" s="27" t="e">
        <f>J123/#REF!*100</f>
        <v>#REF!</v>
      </c>
      <c r="L123" s="27" t="e">
        <f t="shared" si="42"/>
        <v>#DIV/0!</v>
      </c>
      <c r="M123" s="57"/>
      <c r="N123" s="57"/>
      <c r="O123" s="24" t="e">
        <f t="shared" si="31"/>
        <v>#DIV/0!</v>
      </c>
      <c r="P123" s="27"/>
      <c r="Q123" s="25"/>
    </row>
    <row r="124" spans="1:17" ht="12.75" hidden="1">
      <c r="A124" s="28" t="s">
        <v>12</v>
      </c>
      <c r="B124" s="28"/>
      <c r="C124" s="35" t="s">
        <v>7</v>
      </c>
      <c r="D124" s="60">
        <f t="shared" si="44"/>
        <v>0</v>
      </c>
      <c r="E124" s="60">
        <f t="shared" si="43"/>
        <v>0</v>
      </c>
      <c r="F124" s="60"/>
      <c r="G124" s="60"/>
      <c r="H124" s="25"/>
      <c r="I124" s="25"/>
      <c r="J124" s="25"/>
      <c r="K124" s="27"/>
      <c r="L124" s="27"/>
      <c r="M124" s="57"/>
      <c r="N124" s="57"/>
      <c r="O124" s="24" t="e">
        <f t="shared" si="31"/>
        <v>#DIV/0!</v>
      </c>
      <c r="P124" s="34" t="e">
        <f t="shared" si="28"/>
        <v>#DIV/0!</v>
      </c>
      <c r="Q124" s="31" t="e">
        <f t="shared" si="29"/>
        <v>#DIV/0!</v>
      </c>
    </row>
    <row r="125" spans="1:17" ht="11.25" customHeight="1">
      <c r="A125" s="36" t="s">
        <v>39</v>
      </c>
      <c r="B125" s="80"/>
      <c r="C125" s="23" t="s">
        <v>40</v>
      </c>
      <c r="D125" s="60">
        <f t="shared" si="44"/>
        <v>0</v>
      </c>
      <c r="E125" s="60">
        <f t="shared" si="43"/>
        <v>0</v>
      </c>
      <c r="F125" s="60"/>
      <c r="G125" s="60"/>
      <c r="H125" s="25"/>
      <c r="I125" s="25"/>
      <c r="J125" s="25">
        <v>0</v>
      </c>
      <c r="K125" s="27"/>
      <c r="L125" s="27"/>
      <c r="M125" s="57"/>
      <c r="N125" s="57"/>
      <c r="O125" s="24" t="e">
        <f t="shared" si="31"/>
        <v>#DIV/0!</v>
      </c>
      <c r="P125" s="34"/>
      <c r="Q125" s="31"/>
    </row>
    <row r="126" spans="1:17" ht="12.75">
      <c r="A126" s="32" t="s">
        <v>1</v>
      </c>
      <c r="B126" s="32"/>
      <c r="C126" s="39" t="s">
        <v>0</v>
      </c>
      <c r="D126" s="40">
        <f aca="true" t="shared" si="45" ref="D126:K126">D127</f>
        <v>29718.300000000003</v>
      </c>
      <c r="E126" s="81">
        <f t="shared" si="45"/>
        <v>5860.2</v>
      </c>
      <c r="F126" s="81">
        <f t="shared" si="45"/>
        <v>5860.2</v>
      </c>
      <c r="G126" s="81">
        <f t="shared" si="45"/>
        <v>8599.8</v>
      </c>
      <c r="H126" s="81">
        <f t="shared" si="45"/>
        <v>9130.7</v>
      </c>
      <c r="I126" s="40">
        <f t="shared" si="45"/>
        <v>6127.6</v>
      </c>
      <c r="J126" s="40">
        <f t="shared" si="45"/>
        <v>5490</v>
      </c>
      <c r="K126" s="40" t="e">
        <f t="shared" si="45"/>
        <v>#REF!</v>
      </c>
      <c r="L126" s="34">
        <f>J126/H126*100</f>
        <v>60.12682488746754</v>
      </c>
      <c r="M126" s="57"/>
      <c r="N126" s="57"/>
      <c r="O126" s="43">
        <f t="shared" si="31"/>
        <v>89.59462105881585</v>
      </c>
      <c r="P126" s="34">
        <f t="shared" si="28"/>
        <v>93.68280946042798</v>
      </c>
      <c r="Q126" s="31">
        <f t="shared" si="29"/>
        <v>18.473465844277765</v>
      </c>
    </row>
    <row r="127" spans="1:17" ht="24">
      <c r="A127" s="21" t="s">
        <v>67</v>
      </c>
      <c r="B127" s="19"/>
      <c r="C127" s="41" t="s">
        <v>20</v>
      </c>
      <c r="D127" s="60">
        <f t="shared" si="44"/>
        <v>29718.300000000003</v>
      </c>
      <c r="E127" s="60">
        <f t="shared" si="43"/>
        <v>5860.2</v>
      </c>
      <c r="F127" s="60">
        <f>5481.7+378.5</f>
        <v>5860.2</v>
      </c>
      <c r="G127" s="60">
        <v>8599.8</v>
      </c>
      <c r="H127" s="25">
        <v>9130.7</v>
      </c>
      <c r="I127" s="25">
        <v>6127.6</v>
      </c>
      <c r="J127" s="25">
        <v>5490</v>
      </c>
      <c r="K127" s="27" t="e">
        <f>J127/#REF!*100</f>
        <v>#REF!</v>
      </c>
      <c r="L127" s="27">
        <f>J127/H127*100</f>
        <v>60.12682488746754</v>
      </c>
      <c r="M127" s="57"/>
      <c r="N127" s="57"/>
      <c r="O127" s="24">
        <f t="shared" si="31"/>
        <v>89.59462105881585</v>
      </c>
      <c r="P127" s="27">
        <f t="shared" si="28"/>
        <v>93.68280946042798</v>
      </c>
      <c r="Q127" s="25">
        <f t="shared" si="29"/>
        <v>18.473465844277765</v>
      </c>
    </row>
    <row r="128" spans="1:17" ht="12.75">
      <c r="A128" s="28"/>
      <c r="B128" s="29"/>
      <c r="C128" s="30" t="s">
        <v>4</v>
      </c>
      <c r="D128" s="31">
        <f aca="true" t="shared" si="46" ref="D128:J128">D126+D114</f>
        <v>33759.3</v>
      </c>
      <c r="E128" s="31">
        <f t="shared" si="46"/>
        <v>6812.5</v>
      </c>
      <c r="F128" s="31">
        <f t="shared" si="46"/>
        <v>6812.5</v>
      </c>
      <c r="G128" s="31">
        <f t="shared" si="46"/>
        <v>9667.699999999999</v>
      </c>
      <c r="H128" s="31">
        <f t="shared" si="46"/>
        <v>10170.5</v>
      </c>
      <c r="I128" s="31">
        <f t="shared" si="46"/>
        <v>7108.6</v>
      </c>
      <c r="J128" s="31">
        <f t="shared" si="46"/>
        <v>6440.2</v>
      </c>
      <c r="K128" s="34" t="e">
        <f>J128/#REF!*100</f>
        <v>#REF!</v>
      </c>
      <c r="L128" s="34">
        <f>J128/H128*100</f>
        <v>63.3223538665749</v>
      </c>
      <c r="M128" s="57"/>
      <c r="N128" s="58" t="e">
        <f>I128+#REF!+#REF!</f>
        <v>#REF!</v>
      </c>
      <c r="O128" s="43">
        <f t="shared" si="31"/>
        <v>90.59730467321272</v>
      </c>
      <c r="P128" s="34">
        <f t="shared" si="28"/>
        <v>94.53504587155963</v>
      </c>
      <c r="Q128" s="31">
        <f t="shared" si="29"/>
        <v>19.076817351070666</v>
      </c>
    </row>
    <row r="129" spans="1:17" ht="12.75">
      <c r="A129" s="96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8"/>
      <c r="M129" s="57"/>
      <c r="N129" s="57"/>
      <c r="O129" s="56"/>
      <c r="P129" s="34"/>
      <c r="Q129" s="31"/>
    </row>
    <row r="130" spans="1:17" ht="12.75">
      <c r="A130" s="95" t="s">
        <v>31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34"/>
      <c r="Q130" s="31"/>
    </row>
    <row r="131" spans="1:17" ht="12.75">
      <c r="A131" s="32" t="s">
        <v>3</v>
      </c>
      <c r="B131" s="32"/>
      <c r="C131" s="33" t="s">
        <v>68</v>
      </c>
      <c r="D131" s="34">
        <f aca="true" t="shared" si="47" ref="D131:J131">D132+D134+D135+D136+D138+D140+D137+D139+D133</f>
        <v>8150.6</v>
      </c>
      <c r="E131" s="34">
        <f t="shared" si="47"/>
        <v>1445.3</v>
      </c>
      <c r="F131" s="34">
        <f t="shared" si="47"/>
        <v>1445.3</v>
      </c>
      <c r="G131" s="34">
        <f t="shared" si="47"/>
        <v>2379.5</v>
      </c>
      <c r="H131" s="34">
        <f t="shared" si="47"/>
        <v>2153</v>
      </c>
      <c r="I131" s="34">
        <f t="shared" si="47"/>
        <v>2172.8</v>
      </c>
      <c r="J131" s="34">
        <f t="shared" si="47"/>
        <v>2237.3</v>
      </c>
      <c r="K131" s="34" t="e">
        <f>J131/#REF!*100</f>
        <v>#REF!</v>
      </c>
      <c r="L131" s="34">
        <f aca="true" t="shared" si="48" ref="L131:L138">J131/H131*100</f>
        <v>103.91546679052486</v>
      </c>
      <c r="M131" s="57"/>
      <c r="N131" s="57"/>
      <c r="O131" s="34">
        <f t="shared" si="31"/>
        <v>102.96851988217968</v>
      </c>
      <c r="P131" s="34">
        <f t="shared" si="28"/>
        <v>154.7983117691829</v>
      </c>
      <c r="Q131" s="31">
        <f t="shared" si="29"/>
        <v>27.44951291929429</v>
      </c>
    </row>
    <row r="132" spans="1:17" ht="12.75">
      <c r="A132" s="28" t="s">
        <v>23</v>
      </c>
      <c r="B132" s="28"/>
      <c r="C132" s="35" t="s">
        <v>22</v>
      </c>
      <c r="D132" s="60">
        <f>F132+G132+H132+I132</f>
        <v>2250</v>
      </c>
      <c r="E132" s="60">
        <f aca="true" t="shared" si="49" ref="E132:E143">F132</f>
        <v>405</v>
      </c>
      <c r="F132" s="44">
        <v>405</v>
      </c>
      <c r="G132" s="44">
        <v>697.5</v>
      </c>
      <c r="H132" s="24">
        <v>607.5</v>
      </c>
      <c r="I132" s="25">
        <v>540</v>
      </c>
      <c r="J132" s="25">
        <v>565</v>
      </c>
      <c r="K132" s="27" t="e">
        <f>J132/#REF!*100</f>
        <v>#REF!</v>
      </c>
      <c r="L132" s="27">
        <f t="shared" si="48"/>
        <v>93.00411522633745</v>
      </c>
      <c r="M132" s="57"/>
      <c r="N132" s="57"/>
      <c r="O132" s="24">
        <f t="shared" si="31"/>
        <v>104.62962962962963</v>
      </c>
      <c r="P132" s="27">
        <f t="shared" si="28"/>
        <v>139.50617283950618</v>
      </c>
      <c r="Q132" s="25">
        <f t="shared" si="29"/>
        <v>25.11111111111111</v>
      </c>
    </row>
    <row r="133" spans="1:17" ht="12.75">
      <c r="A133" s="19" t="s">
        <v>70</v>
      </c>
      <c r="B133" s="19"/>
      <c r="C133" s="35" t="s">
        <v>71</v>
      </c>
      <c r="D133" s="60">
        <f>F133+G133+H133+I133</f>
        <v>5246.2</v>
      </c>
      <c r="E133" s="60">
        <f t="shared" si="49"/>
        <v>944.3</v>
      </c>
      <c r="F133" s="44">
        <v>944.3</v>
      </c>
      <c r="G133" s="44">
        <v>1387.6</v>
      </c>
      <c r="H133" s="24">
        <v>1416.5</v>
      </c>
      <c r="I133" s="25">
        <v>1497.8</v>
      </c>
      <c r="J133" s="25">
        <v>1348.8</v>
      </c>
      <c r="K133" s="27"/>
      <c r="L133" s="27"/>
      <c r="M133" s="57"/>
      <c r="N133" s="57"/>
      <c r="O133" s="24"/>
      <c r="P133" s="27">
        <f>J133*100/E133</f>
        <v>142.83596314730488</v>
      </c>
      <c r="Q133" s="25">
        <f>J133*100/D133</f>
        <v>25.710037741603447</v>
      </c>
    </row>
    <row r="134" spans="1:17" ht="12.75">
      <c r="A134" s="19" t="s">
        <v>9</v>
      </c>
      <c r="B134" s="19"/>
      <c r="C134" s="35" t="s">
        <v>6</v>
      </c>
      <c r="D134" s="60">
        <f aca="true" t="shared" si="50" ref="D134:D143">F134+G134+H134+I134</f>
        <v>298</v>
      </c>
      <c r="E134" s="60">
        <f t="shared" si="49"/>
        <v>53.6</v>
      </c>
      <c r="F134" s="44">
        <v>53.6</v>
      </c>
      <c r="G134" s="44">
        <v>89.4</v>
      </c>
      <c r="H134" s="24">
        <v>75.1</v>
      </c>
      <c r="I134" s="25">
        <v>79.9</v>
      </c>
      <c r="J134" s="25">
        <v>84.5</v>
      </c>
      <c r="K134" s="27" t="e">
        <f>J134/#REF!*100</f>
        <v>#REF!</v>
      </c>
      <c r="L134" s="27">
        <f t="shared" si="48"/>
        <v>112.51664447403462</v>
      </c>
      <c r="M134" s="57"/>
      <c r="N134" s="57"/>
      <c r="O134" s="24">
        <f t="shared" si="31"/>
        <v>105.75719649561951</v>
      </c>
      <c r="P134" s="27">
        <f t="shared" si="28"/>
        <v>157.6492537313433</v>
      </c>
      <c r="Q134" s="25">
        <f t="shared" si="29"/>
        <v>28.355704697986578</v>
      </c>
    </row>
    <row r="135" spans="1:17" ht="12.75">
      <c r="A135" s="19" t="s">
        <v>10</v>
      </c>
      <c r="B135" s="19"/>
      <c r="C135" s="35" t="s">
        <v>21</v>
      </c>
      <c r="D135" s="60">
        <f t="shared" si="50"/>
        <v>56.4</v>
      </c>
      <c r="E135" s="60">
        <f t="shared" si="49"/>
        <v>10.2</v>
      </c>
      <c r="F135" s="44">
        <v>10.2</v>
      </c>
      <c r="G135" s="44">
        <v>17.5</v>
      </c>
      <c r="H135" s="24">
        <v>15.2</v>
      </c>
      <c r="I135" s="25">
        <v>13.5</v>
      </c>
      <c r="J135" s="25">
        <v>2.5</v>
      </c>
      <c r="K135" s="27" t="e">
        <f>J135/#REF!*100</f>
        <v>#REF!</v>
      </c>
      <c r="L135" s="27">
        <f t="shared" si="48"/>
        <v>16.447368421052634</v>
      </c>
      <c r="M135" s="57"/>
      <c r="N135" s="57"/>
      <c r="O135" s="24">
        <f t="shared" si="31"/>
        <v>18.51851851851852</v>
      </c>
      <c r="P135" s="27">
        <f t="shared" si="28"/>
        <v>24.50980392156863</v>
      </c>
      <c r="Q135" s="25">
        <f t="shared" si="29"/>
        <v>4.432624113475177</v>
      </c>
    </row>
    <row r="136" spans="1:17" ht="24">
      <c r="A136" s="20" t="s">
        <v>11</v>
      </c>
      <c r="B136" s="20"/>
      <c r="C136" s="35" t="s">
        <v>17</v>
      </c>
      <c r="D136" s="60">
        <f t="shared" si="50"/>
        <v>220</v>
      </c>
      <c r="E136" s="60">
        <f t="shared" si="49"/>
        <v>12.6</v>
      </c>
      <c r="F136" s="44">
        <v>12.6</v>
      </c>
      <c r="G136" s="44">
        <v>166.8</v>
      </c>
      <c r="H136" s="24">
        <v>18.9</v>
      </c>
      <c r="I136" s="25">
        <v>21.7</v>
      </c>
      <c r="J136" s="25">
        <v>200.1</v>
      </c>
      <c r="K136" s="27" t="e">
        <f>J136/#REF!*100</f>
        <v>#REF!</v>
      </c>
      <c r="L136" s="27">
        <f t="shared" si="48"/>
        <v>1058.7301587301588</v>
      </c>
      <c r="M136" s="57"/>
      <c r="N136" s="57"/>
      <c r="O136" s="24">
        <f t="shared" si="31"/>
        <v>922.1198156682028</v>
      </c>
      <c r="P136" s="27">
        <f t="shared" si="28"/>
        <v>1588.095238095238</v>
      </c>
      <c r="Q136" s="25">
        <f t="shared" si="29"/>
        <v>90.95454545454545</v>
      </c>
    </row>
    <row r="137" spans="1:17" ht="12.75">
      <c r="A137" s="37" t="s">
        <v>42</v>
      </c>
      <c r="B137" s="37"/>
      <c r="C137" s="35" t="s">
        <v>43</v>
      </c>
      <c r="D137" s="60">
        <f t="shared" si="50"/>
        <v>80</v>
      </c>
      <c r="E137" s="60">
        <f t="shared" si="49"/>
        <v>19.6</v>
      </c>
      <c r="F137" s="44">
        <v>19.6</v>
      </c>
      <c r="G137" s="44">
        <v>20.7</v>
      </c>
      <c r="H137" s="24">
        <v>19.8</v>
      </c>
      <c r="I137" s="25">
        <v>19.9</v>
      </c>
      <c r="J137" s="25">
        <v>25</v>
      </c>
      <c r="K137" s="27" t="e">
        <f>J137/#REF!*100</f>
        <v>#REF!</v>
      </c>
      <c r="L137" s="27">
        <f t="shared" si="48"/>
        <v>126.26262626262626</v>
      </c>
      <c r="M137" s="57"/>
      <c r="N137" s="57"/>
      <c r="O137" s="24">
        <f t="shared" si="31"/>
        <v>125.6281407035176</v>
      </c>
      <c r="P137" s="27">
        <f t="shared" si="28"/>
        <v>127.55102040816325</v>
      </c>
      <c r="Q137" s="25">
        <f t="shared" si="29"/>
        <v>31.25</v>
      </c>
    </row>
    <row r="138" spans="1:17" ht="13.5" customHeight="1" hidden="1">
      <c r="A138" s="37" t="s">
        <v>18</v>
      </c>
      <c r="B138" s="37"/>
      <c r="C138" s="35" t="s">
        <v>15</v>
      </c>
      <c r="D138" s="60">
        <f t="shared" si="50"/>
        <v>0</v>
      </c>
      <c r="E138" s="60">
        <f t="shared" si="49"/>
        <v>0</v>
      </c>
      <c r="F138" s="44"/>
      <c r="G138" s="44"/>
      <c r="H138" s="24"/>
      <c r="I138" s="25"/>
      <c r="J138" s="25"/>
      <c r="K138" s="27" t="e">
        <f>J138/#REF!*100</f>
        <v>#REF!</v>
      </c>
      <c r="L138" s="27" t="e">
        <f t="shared" si="48"/>
        <v>#DIV/0!</v>
      </c>
      <c r="M138" s="57"/>
      <c r="N138" s="57"/>
      <c r="O138" s="24" t="e">
        <f t="shared" si="31"/>
        <v>#DIV/0!</v>
      </c>
      <c r="P138" s="27"/>
      <c r="Q138" s="25"/>
    </row>
    <row r="139" spans="1:17" ht="14.25" customHeight="1" hidden="1">
      <c r="A139" s="28" t="s">
        <v>12</v>
      </c>
      <c r="B139" s="28"/>
      <c r="C139" s="35" t="s">
        <v>7</v>
      </c>
      <c r="D139" s="60">
        <f t="shared" si="50"/>
        <v>0</v>
      </c>
      <c r="E139" s="60">
        <f t="shared" si="49"/>
        <v>0</v>
      </c>
      <c r="F139" s="44"/>
      <c r="G139" s="44"/>
      <c r="H139" s="24"/>
      <c r="I139" s="25"/>
      <c r="J139" s="25"/>
      <c r="K139" s="27"/>
      <c r="L139" s="27"/>
      <c r="M139" s="57"/>
      <c r="N139" s="57"/>
      <c r="O139" s="24"/>
      <c r="P139" s="27"/>
      <c r="Q139" s="25"/>
    </row>
    <row r="140" spans="1:17" ht="12.75">
      <c r="A140" s="37" t="s">
        <v>39</v>
      </c>
      <c r="B140" s="80"/>
      <c r="C140" s="23" t="s">
        <v>40</v>
      </c>
      <c r="D140" s="60">
        <f t="shared" si="50"/>
        <v>0</v>
      </c>
      <c r="E140" s="60">
        <f t="shared" si="49"/>
        <v>0</v>
      </c>
      <c r="F140" s="44"/>
      <c r="G140" s="44"/>
      <c r="H140" s="24"/>
      <c r="I140" s="25"/>
      <c r="J140" s="24">
        <v>11.4</v>
      </c>
      <c r="K140" s="27"/>
      <c r="L140" s="27"/>
      <c r="M140" s="57"/>
      <c r="N140" s="57"/>
      <c r="O140" s="24"/>
      <c r="P140" s="27"/>
      <c r="Q140" s="25"/>
    </row>
    <row r="141" spans="1:17" ht="12.75">
      <c r="A141" s="62" t="s">
        <v>1</v>
      </c>
      <c r="B141" s="62"/>
      <c r="C141" s="39" t="s">
        <v>0</v>
      </c>
      <c r="D141" s="40">
        <f aca="true" t="shared" si="51" ref="D141:J141">D142+D143</f>
        <v>45777.1</v>
      </c>
      <c r="E141" s="40">
        <f t="shared" si="51"/>
        <v>13334</v>
      </c>
      <c r="F141" s="40">
        <f t="shared" si="51"/>
        <v>13334</v>
      </c>
      <c r="G141" s="40">
        <f t="shared" si="51"/>
        <v>10270.8</v>
      </c>
      <c r="H141" s="40">
        <f t="shared" si="51"/>
        <v>10300.8</v>
      </c>
      <c r="I141" s="40">
        <f t="shared" si="51"/>
        <v>11871.5</v>
      </c>
      <c r="J141" s="40">
        <f t="shared" si="51"/>
        <v>10851</v>
      </c>
      <c r="K141" s="34" t="e">
        <f>J141/#REF!*100</f>
        <v>#REF!</v>
      </c>
      <c r="L141" s="34">
        <f>J141/H141*100</f>
        <v>105.34133271202238</v>
      </c>
      <c r="M141" s="57"/>
      <c r="N141" s="57"/>
      <c r="O141" s="43">
        <f t="shared" si="31"/>
        <v>91.40378216737565</v>
      </c>
      <c r="P141" s="34">
        <f t="shared" si="28"/>
        <v>81.37843107844608</v>
      </c>
      <c r="Q141" s="31">
        <f t="shared" si="29"/>
        <v>23.703991733858196</v>
      </c>
    </row>
    <row r="142" spans="1:17" ht="24">
      <c r="A142" s="21" t="s">
        <v>67</v>
      </c>
      <c r="B142" s="19"/>
      <c r="C142" s="41" t="s">
        <v>20</v>
      </c>
      <c r="D142" s="60">
        <f t="shared" si="50"/>
        <v>45777.1</v>
      </c>
      <c r="E142" s="60">
        <f t="shared" si="49"/>
        <v>13334</v>
      </c>
      <c r="F142" s="44">
        <f>13239.5+94.5</f>
        <v>13334</v>
      </c>
      <c r="G142" s="44">
        <v>10270.8</v>
      </c>
      <c r="H142" s="24">
        <v>10300.8</v>
      </c>
      <c r="I142" s="25">
        <v>11871.5</v>
      </c>
      <c r="J142" s="25">
        <v>10851</v>
      </c>
      <c r="K142" s="27" t="e">
        <f>J142/#REF!*100</f>
        <v>#REF!</v>
      </c>
      <c r="L142" s="27">
        <f>J142/H142*100</f>
        <v>105.34133271202238</v>
      </c>
      <c r="M142" s="57"/>
      <c r="N142" s="57"/>
      <c r="O142" s="24">
        <f t="shared" si="31"/>
        <v>91.40378216737565</v>
      </c>
      <c r="P142" s="27">
        <f t="shared" si="28"/>
        <v>81.37843107844608</v>
      </c>
      <c r="Q142" s="25">
        <f t="shared" si="29"/>
        <v>23.703991733858196</v>
      </c>
    </row>
    <row r="143" spans="1:17" ht="12.75" hidden="1">
      <c r="A143" s="21" t="s">
        <v>2</v>
      </c>
      <c r="B143" s="21"/>
      <c r="C143" s="42" t="s">
        <v>19</v>
      </c>
      <c r="D143" s="60">
        <f t="shared" si="50"/>
        <v>0</v>
      </c>
      <c r="E143" s="60">
        <f t="shared" si="49"/>
        <v>0</v>
      </c>
      <c r="F143" s="79"/>
      <c r="G143" s="79"/>
      <c r="H143" s="24"/>
      <c r="I143" s="25"/>
      <c r="J143" s="25"/>
      <c r="K143" s="27"/>
      <c r="L143" s="27"/>
      <c r="M143" s="57"/>
      <c r="N143" s="57"/>
      <c r="O143" s="24" t="e">
        <f t="shared" si="31"/>
        <v>#DIV/0!</v>
      </c>
      <c r="P143" s="27"/>
      <c r="Q143" s="25"/>
    </row>
    <row r="144" spans="1:17" ht="12.75">
      <c r="A144" s="28"/>
      <c r="B144" s="29"/>
      <c r="C144" s="30" t="s">
        <v>4</v>
      </c>
      <c r="D144" s="31">
        <f aca="true" t="shared" si="52" ref="D144:J144">D141+D131</f>
        <v>53927.7</v>
      </c>
      <c r="E144" s="31">
        <f t="shared" si="52"/>
        <v>14779.3</v>
      </c>
      <c r="F144" s="43">
        <f t="shared" si="52"/>
        <v>14779.3</v>
      </c>
      <c r="G144" s="43">
        <f t="shared" si="52"/>
        <v>12650.3</v>
      </c>
      <c r="H144" s="43">
        <f t="shared" si="52"/>
        <v>12453.8</v>
      </c>
      <c r="I144" s="31">
        <f t="shared" si="52"/>
        <v>14044.3</v>
      </c>
      <c r="J144" s="31">
        <f t="shared" si="52"/>
        <v>13088.3</v>
      </c>
      <c r="K144" s="34" t="e">
        <f>J144/#REF!*100</f>
        <v>#REF!</v>
      </c>
      <c r="L144" s="34">
        <f>J144/H144*100</f>
        <v>105.09483049350399</v>
      </c>
      <c r="M144" s="57"/>
      <c r="N144" s="58" t="e">
        <f>I144+#REF!+#REF!</f>
        <v>#REF!</v>
      </c>
      <c r="O144" s="43">
        <f t="shared" si="31"/>
        <v>93.19296796565155</v>
      </c>
      <c r="P144" s="34">
        <f t="shared" si="28"/>
        <v>88.5583214360626</v>
      </c>
      <c r="Q144" s="31">
        <f t="shared" si="29"/>
        <v>24.27008754313646</v>
      </c>
    </row>
    <row r="145" spans="1:17" ht="12.75">
      <c r="A145" s="101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3"/>
      <c r="M145" s="57"/>
      <c r="N145" s="57"/>
      <c r="O145" s="56"/>
      <c r="P145" s="34"/>
      <c r="Q145" s="31"/>
    </row>
    <row r="146" spans="1:17" ht="12.75">
      <c r="A146" s="95" t="s">
        <v>32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34"/>
      <c r="Q146" s="31"/>
    </row>
    <row r="147" spans="1:17" ht="12.75">
      <c r="A147" s="32" t="s">
        <v>3</v>
      </c>
      <c r="B147" s="32"/>
      <c r="C147" s="33" t="s">
        <v>68</v>
      </c>
      <c r="D147" s="34">
        <f aca="true" t="shared" si="53" ref="D147:J147">D148+D151+D153+D155+D152+D156+D154+D157+D150+D149</f>
        <v>18388.7</v>
      </c>
      <c r="E147" s="34">
        <f t="shared" si="53"/>
        <v>4398.4</v>
      </c>
      <c r="F147" s="34">
        <f t="shared" si="53"/>
        <v>4398.4</v>
      </c>
      <c r="G147" s="34">
        <f t="shared" si="53"/>
        <v>5217.5</v>
      </c>
      <c r="H147" s="34">
        <f t="shared" si="53"/>
        <v>4290.5</v>
      </c>
      <c r="I147" s="34">
        <f t="shared" si="53"/>
        <v>4482.3</v>
      </c>
      <c r="J147" s="34">
        <f t="shared" si="53"/>
        <v>5016.700000000001</v>
      </c>
      <c r="K147" s="34" t="e">
        <f>J147/#REF!*100</f>
        <v>#REF!</v>
      </c>
      <c r="L147" s="34">
        <f>J147/H147*100</f>
        <v>116.9257662277124</v>
      </c>
      <c r="M147" s="57"/>
      <c r="N147" s="57"/>
      <c r="O147" s="34">
        <f t="shared" si="31"/>
        <v>111.92245052763091</v>
      </c>
      <c r="P147" s="34">
        <f t="shared" si="28"/>
        <v>114.05738450345582</v>
      </c>
      <c r="Q147" s="31">
        <f t="shared" si="29"/>
        <v>27.281428268447474</v>
      </c>
    </row>
    <row r="148" spans="1:17" ht="12.75">
      <c r="A148" s="28" t="s">
        <v>23</v>
      </c>
      <c r="B148" s="28"/>
      <c r="C148" s="35" t="s">
        <v>22</v>
      </c>
      <c r="D148" s="44">
        <f>F148+G148+H148+I148</f>
        <v>13000</v>
      </c>
      <c r="E148" s="60">
        <f aca="true" t="shared" si="54" ref="E148:E160">F148</f>
        <v>3030</v>
      </c>
      <c r="F148" s="44">
        <v>3030</v>
      </c>
      <c r="G148" s="44">
        <v>4080</v>
      </c>
      <c r="H148" s="24">
        <v>3090</v>
      </c>
      <c r="I148" s="25">
        <v>2800</v>
      </c>
      <c r="J148" s="25">
        <v>3340.4</v>
      </c>
      <c r="K148" s="27" t="e">
        <f>J148/#REF!*100</f>
        <v>#REF!</v>
      </c>
      <c r="L148" s="27">
        <f>J148/H148*100</f>
        <v>108.10355987055016</v>
      </c>
      <c r="M148" s="57"/>
      <c r="N148" s="57"/>
      <c r="O148" s="24">
        <f t="shared" si="31"/>
        <v>119.3</v>
      </c>
      <c r="P148" s="27">
        <f t="shared" si="28"/>
        <v>110.24422442244224</v>
      </c>
      <c r="Q148" s="25">
        <f t="shared" si="29"/>
        <v>25.695384615384615</v>
      </c>
    </row>
    <row r="149" spans="1:17" ht="12.75">
      <c r="A149" s="19" t="s">
        <v>70</v>
      </c>
      <c r="B149" s="19"/>
      <c r="C149" s="35" t="s">
        <v>71</v>
      </c>
      <c r="D149" s="44">
        <f>F149+G149+H149+I149</f>
        <v>3943.7</v>
      </c>
      <c r="E149" s="60">
        <f t="shared" si="54"/>
        <v>1110.9</v>
      </c>
      <c r="F149" s="44">
        <v>1110.9</v>
      </c>
      <c r="G149" s="44">
        <v>933.8</v>
      </c>
      <c r="H149" s="24">
        <v>1019</v>
      </c>
      <c r="I149" s="25">
        <v>880</v>
      </c>
      <c r="J149" s="25">
        <v>1014</v>
      </c>
      <c r="K149" s="27"/>
      <c r="L149" s="27"/>
      <c r="M149" s="57"/>
      <c r="N149" s="57"/>
      <c r="O149" s="24"/>
      <c r="P149" s="27">
        <f>J149*100/E149</f>
        <v>91.27734269511207</v>
      </c>
      <c r="Q149" s="25">
        <f>J149*100/D149</f>
        <v>25.71189492101326</v>
      </c>
    </row>
    <row r="150" spans="1:17" ht="12.75" customHeight="1">
      <c r="A150" s="19" t="s">
        <v>8</v>
      </c>
      <c r="B150" s="19"/>
      <c r="C150" s="35" t="s">
        <v>5</v>
      </c>
      <c r="D150" s="44">
        <f aca="true" t="shared" si="55" ref="D150:D159">F150+G150+H150+I150</f>
        <v>16</v>
      </c>
      <c r="E150" s="60">
        <f t="shared" si="54"/>
        <v>5</v>
      </c>
      <c r="F150" s="44">
        <v>5</v>
      </c>
      <c r="G150" s="44">
        <v>3.2</v>
      </c>
      <c r="H150" s="24">
        <v>3</v>
      </c>
      <c r="I150" s="25">
        <v>4.8</v>
      </c>
      <c r="J150" s="25">
        <v>9.4</v>
      </c>
      <c r="K150" s="27"/>
      <c r="L150" s="27"/>
      <c r="M150" s="57"/>
      <c r="N150" s="57"/>
      <c r="O150" s="24">
        <f t="shared" si="31"/>
        <v>195.83333333333334</v>
      </c>
      <c r="P150" s="27">
        <f>J150*100/E150</f>
        <v>188</v>
      </c>
      <c r="Q150" s="25">
        <f>J150*100/D150</f>
        <v>58.75</v>
      </c>
    </row>
    <row r="151" spans="1:17" ht="12.75">
      <c r="A151" s="19" t="s">
        <v>9</v>
      </c>
      <c r="B151" s="19"/>
      <c r="C151" s="35" t="s">
        <v>6</v>
      </c>
      <c r="D151" s="44">
        <f t="shared" si="55"/>
        <v>1137</v>
      </c>
      <c r="E151" s="60">
        <f t="shared" si="54"/>
        <v>170</v>
      </c>
      <c r="F151" s="44">
        <v>170</v>
      </c>
      <c r="G151" s="44">
        <v>129</v>
      </c>
      <c r="H151" s="24">
        <v>121</v>
      </c>
      <c r="I151" s="25">
        <v>717</v>
      </c>
      <c r="J151" s="25">
        <v>565.6</v>
      </c>
      <c r="K151" s="27" t="e">
        <f>J151/#REF!*100</f>
        <v>#REF!</v>
      </c>
      <c r="L151" s="27">
        <f>J151/H151*100</f>
        <v>467.43801652892563</v>
      </c>
      <c r="M151" s="57"/>
      <c r="N151" s="57"/>
      <c r="O151" s="24">
        <f t="shared" si="31"/>
        <v>78.88423988842399</v>
      </c>
      <c r="P151" s="27">
        <f aca="true" t="shared" si="56" ref="P151:P217">J151*100/E151</f>
        <v>332.70588235294116</v>
      </c>
      <c r="Q151" s="25">
        <f aca="true" t="shared" si="57" ref="Q151:Q217">J151*100/D151</f>
        <v>49.744942832014075</v>
      </c>
    </row>
    <row r="152" spans="1:17" ht="12.75">
      <c r="A152" s="19" t="s">
        <v>10</v>
      </c>
      <c r="B152" s="19"/>
      <c r="C152" s="35" t="s">
        <v>21</v>
      </c>
      <c r="D152" s="44">
        <f t="shared" si="55"/>
        <v>132</v>
      </c>
      <c r="E152" s="60">
        <f t="shared" si="54"/>
        <v>43</v>
      </c>
      <c r="F152" s="44">
        <v>43</v>
      </c>
      <c r="G152" s="44">
        <v>34</v>
      </c>
      <c r="H152" s="24">
        <v>17</v>
      </c>
      <c r="I152" s="25">
        <v>38</v>
      </c>
      <c r="J152" s="25">
        <v>28.8</v>
      </c>
      <c r="K152" s="27" t="e">
        <f>J152/#REF!*100</f>
        <v>#REF!</v>
      </c>
      <c r="L152" s="27">
        <f>J152/H152*100</f>
        <v>169.41176470588235</v>
      </c>
      <c r="M152" s="57"/>
      <c r="N152" s="57"/>
      <c r="O152" s="24">
        <f t="shared" si="31"/>
        <v>75.78947368421052</v>
      </c>
      <c r="P152" s="27">
        <f t="shared" si="56"/>
        <v>66.97674418604652</v>
      </c>
      <c r="Q152" s="25">
        <f t="shared" si="57"/>
        <v>21.818181818181817</v>
      </c>
    </row>
    <row r="153" spans="1:17" ht="24">
      <c r="A153" s="20" t="s">
        <v>11</v>
      </c>
      <c r="B153" s="20"/>
      <c r="C153" s="35" t="s">
        <v>17</v>
      </c>
      <c r="D153" s="44">
        <f t="shared" si="55"/>
        <v>160</v>
      </c>
      <c r="E153" s="60">
        <f t="shared" si="54"/>
        <v>39.5</v>
      </c>
      <c r="F153" s="44">
        <v>39.5</v>
      </c>
      <c r="G153" s="44">
        <v>37.5</v>
      </c>
      <c r="H153" s="24">
        <v>40.5</v>
      </c>
      <c r="I153" s="25">
        <v>42.5</v>
      </c>
      <c r="J153" s="25">
        <v>53.2</v>
      </c>
      <c r="K153" s="27" t="e">
        <f>J153/#REF!*100</f>
        <v>#REF!</v>
      </c>
      <c r="L153" s="27">
        <f>J153/H153*100</f>
        <v>131.35802469135803</v>
      </c>
      <c r="M153" s="57"/>
      <c r="N153" s="57"/>
      <c r="O153" s="24">
        <f t="shared" si="31"/>
        <v>125.17647058823529</v>
      </c>
      <c r="P153" s="27">
        <f t="shared" si="56"/>
        <v>134.68354430379748</v>
      </c>
      <c r="Q153" s="25">
        <f t="shared" si="57"/>
        <v>33.25</v>
      </c>
    </row>
    <row r="154" spans="1:17" ht="19.5" customHeight="1">
      <c r="A154" s="37" t="s">
        <v>42</v>
      </c>
      <c r="B154" s="37"/>
      <c r="C154" s="35" t="s">
        <v>43</v>
      </c>
      <c r="D154" s="44">
        <f t="shared" si="55"/>
        <v>0</v>
      </c>
      <c r="E154" s="60">
        <f t="shared" si="54"/>
        <v>0</v>
      </c>
      <c r="F154" s="44"/>
      <c r="G154" s="44"/>
      <c r="H154" s="24"/>
      <c r="I154" s="25"/>
      <c r="J154" s="25">
        <v>5.3</v>
      </c>
      <c r="K154" s="27"/>
      <c r="L154" s="27"/>
      <c r="M154" s="57"/>
      <c r="N154" s="57"/>
      <c r="O154" s="24" t="e">
        <f aca="true" t="shared" si="58" ref="O154:O220">J154*100/I154</f>
        <v>#DIV/0!</v>
      </c>
      <c r="P154" s="27"/>
      <c r="Q154" s="25"/>
    </row>
    <row r="155" spans="1:17" ht="19.5" customHeight="1">
      <c r="A155" s="36" t="s">
        <v>18</v>
      </c>
      <c r="B155" s="36"/>
      <c r="C155" s="35" t="s">
        <v>15</v>
      </c>
      <c r="D155" s="44">
        <f t="shared" si="55"/>
        <v>0</v>
      </c>
      <c r="E155" s="60">
        <f t="shared" si="54"/>
        <v>0</v>
      </c>
      <c r="F155" s="44"/>
      <c r="G155" s="44"/>
      <c r="H155" s="24"/>
      <c r="I155" s="25"/>
      <c r="J155" s="25"/>
      <c r="K155" s="27" t="e">
        <f>J155/#REF!*100</f>
        <v>#REF!</v>
      </c>
      <c r="L155" s="27" t="e">
        <f>J155/H155*100</f>
        <v>#DIV/0!</v>
      </c>
      <c r="M155" s="57"/>
      <c r="N155" s="57"/>
      <c r="O155" s="24" t="e">
        <f t="shared" si="58"/>
        <v>#DIV/0!</v>
      </c>
      <c r="P155" s="27"/>
      <c r="Q155" s="25"/>
    </row>
    <row r="156" spans="1:17" ht="17.25" customHeight="1">
      <c r="A156" s="28" t="s">
        <v>12</v>
      </c>
      <c r="B156" s="28"/>
      <c r="C156" s="35" t="s">
        <v>7</v>
      </c>
      <c r="D156" s="44">
        <f t="shared" si="55"/>
        <v>0</v>
      </c>
      <c r="E156" s="60">
        <f t="shared" si="54"/>
        <v>0</v>
      </c>
      <c r="F156" s="44"/>
      <c r="G156" s="44"/>
      <c r="H156" s="24"/>
      <c r="I156" s="25"/>
      <c r="J156" s="25"/>
      <c r="K156" s="27" t="e">
        <f>J156/#REF!*100</f>
        <v>#REF!</v>
      </c>
      <c r="L156" s="27"/>
      <c r="M156" s="57"/>
      <c r="N156" s="57"/>
      <c r="O156" s="24" t="e">
        <f t="shared" si="58"/>
        <v>#DIV/0!</v>
      </c>
      <c r="P156" s="27"/>
      <c r="Q156" s="25"/>
    </row>
    <row r="157" spans="1:17" ht="16.5" customHeight="1">
      <c r="A157" s="36" t="s">
        <v>39</v>
      </c>
      <c r="B157" s="82"/>
      <c r="C157" s="23" t="s">
        <v>40</v>
      </c>
      <c r="D157" s="44">
        <f t="shared" si="55"/>
        <v>0</v>
      </c>
      <c r="E157" s="60">
        <f t="shared" si="54"/>
        <v>0</v>
      </c>
      <c r="F157" s="44"/>
      <c r="G157" s="44"/>
      <c r="H157" s="24"/>
      <c r="I157" s="25"/>
      <c r="J157" s="25">
        <v>0</v>
      </c>
      <c r="K157" s="27"/>
      <c r="L157" s="27"/>
      <c r="M157" s="57"/>
      <c r="N157" s="57"/>
      <c r="O157" s="24" t="e">
        <f t="shared" si="58"/>
        <v>#DIV/0!</v>
      </c>
      <c r="P157" s="34"/>
      <c r="Q157" s="31"/>
    </row>
    <row r="158" spans="1:17" ht="12.75">
      <c r="A158" s="32" t="s">
        <v>1</v>
      </c>
      <c r="B158" s="32"/>
      <c r="C158" s="39" t="s">
        <v>0</v>
      </c>
      <c r="D158" s="40">
        <f>D159+D160</f>
        <v>35947.4</v>
      </c>
      <c r="E158" s="40">
        <f aca="true" t="shared" si="59" ref="E158:J158">E159+E160</f>
        <v>13880.5</v>
      </c>
      <c r="F158" s="40">
        <f t="shared" si="59"/>
        <v>13880.5</v>
      </c>
      <c r="G158" s="40">
        <f t="shared" si="59"/>
        <v>7023.2</v>
      </c>
      <c r="H158" s="40">
        <f t="shared" si="59"/>
        <v>8123.2</v>
      </c>
      <c r="I158" s="40">
        <f t="shared" si="59"/>
        <v>6920.5</v>
      </c>
      <c r="J158" s="40">
        <f t="shared" si="59"/>
        <v>5855.3</v>
      </c>
      <c r="K158" s="34" t="e">
        <f>J158/#REF!*100</f>
        <v>#REF!</v>
      </c>
      <c r="L158" s="34">
        <f>J158/H158*100</f>
        <v>72.08119952727989</v>
      </c>
      <c r="M158" s="57"/>
      <c r="N158" s="57"/>
      <c r="O158" s="43">
        <f t="shared" si="58"/>
        <v>84.60804855140525</v>
      </c>
      <c r="P158" s="34">
        <f t="shared" si="56"/>
        <v>42.183638917906414</v>
      </c>
      <c r="Q158" s="31">
        <f t="shared" si="57"/>
        <v>16.288521562060122</v>
      </c>
    </row>
    <row r="159" spans="1:17" ht="24">
      <c r="A159" s="21" t="s">
        <v>67</v>
      </c>
      <c r="B159" s="19"/>
      <c r="C159" s="41" t="s">
        <v>20</v>
      </c>
      <c r="D159" s="44">
        <f t="shared" si="55"/>
        <v>35947.4</v>
      </c>
      <c r="E159" s="60">
        <f t="shared" si="54"/>
        <v>13880.5</v>
      </c>
      <c r="F159" s="44">
        <f>13869.3+11.2</f>
        <v>13880.5</v>
      </c>
      <c r="G159" s="44">
        <v>7023.2</v>
      </c>
      <c r="H159" s="24">
        <v>8123.2</v>
      </c>
      <c r="I159" s="25">
        <v>6920.5</v>
      </c>
      <c r="J159" s="25">
        <v>5855.3</v>
      </c>
      <c r="K159" s="27" t="e">
        <f>J159/#REF!*100</f>
        <v>#REF!</v>
      </c>
      <c r="L159" s="27">
        <f>J159/H159*100</f>
        <v>72.08119952727989</v>
      </c>
      <c r="M159" s="57"/>
      <c r="N159" s="57"/>
      <c r="O159" s="24">
        <f t="shared" si="58"/>
        <v>84.60804855140525</v>
      </c>
      <c r="P159" s="27">
        <f t="shared" si="56"/>
        <v>42.183638917906414</v>
      </c>
      <c r="Q159" s="25">
        <f t="shared" si="57"/>
        <v>16.288521562060122</v>
      </c>
    </row>
    <row r="160" spans="1:17" ht="12.75" hidden="1">
      <c r="A160" s="21" t="s">
        <v>2</v>
      </c>
      <c r="B160" s="21"/>
      <c r="C160" s="42" t="s">
        <v>19</v>
      </c>
      <c r="D160" s="44">
        <f>F160+G160+H160+I160</f>
        <v>0</v>
      </c>
      <c r="E160" s="60">
        <f t="shared" si="54"/>
        <v>0</v>
      </c>
      <c r="F160" s="44"/>
      <c r="G160" s="44"/>
      <c r="H160" s="24"/>
      <c r="I160" s="25"/>
      <c r="J160" s="25"/>
      <c r="K160" s="27"/>
      <c r="L160" s="27"/>
      <c r="M160" s="57"/>
      <c r="N160" s="57"/>
      <c r="O160" s="24"/>
      <c r="P160" s="27"/>
      <c r="Q160" s="25"/>
    </row>
    <row r="161" spans="1:17" ht="12.75">
      <c r="A161" s="28"/>
      <c r="B161" s="29"/>
      <c r="C161" s="30" t="s">
        <v>4</v>
      </c>
      <c r="D161" s="31">
        <f aca="true" t="shared" si="60" ref="D161:J161">D158+D147</f>
        <v>54336.100000000006</v>
      </c>
      <c r="E161" s="31">
        <f t="shared" si="60"/>
        <v>18278.9</v>
      </c>
      <c r="F161" s="31">
        <f t="shared" si="60"/>
        <v>18278.9</v>
      </c>
      <c r="G161" s="31">
        <f t="shared" si="60"/>
        <v>12240.7</v>
      </c>
      <c r="H161" s="31">
        <f t="shared" si="60"/>
        <v>12413.7</v>
      </c>
      <c r="I161" s="31">
        <f t="shared" si="60"/>
        <v>11402.8</v>
      </c>
      <c r="J161" s="31">
        <f t="shared" si="60"/>
        <v>10872</v>
      </c>
      <c r="K161" s="34" t="e">
        <f>J161/#REF!*100</f>
        <v>#REF!</v>
      </c>
      <c r="L161" s="34">
        <f>J161/H161*100</f>
        <v>87.5806568549264</v>
      </c>
      <c r="M161" s="57"/>
      <c r="N161" s="58" t="e">
        <f>I161+#REF!+#REF!</f>
        <v>#REF!</v>
      </c>
      <c r="O161" s="43">
        <f t="shared" si="58"/>
        <v>95.3450029817238</v>
      </c>
      <c r="P161" s="34">
        <f t="shared" si="56"/>
        <v>59.478415003090994</v>
      </c>
      <c r="Q161" s="31">
        <f t="shared" si="57"/>
        <v>20.008797098061876</v>
      </c>
    </row>
    <row r="162" spans="1:17" ht="12.75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8"/>
      <c r="M162" s="57"/>
      <c r="N162" s="57"/>
      <c r="O162" s="56"/>
      <c r="P162" s="34"/>
      <c r="Q162" s="31"/>
    </row>
    <row r="163" spans="1:17" ht="12.75">
      <c r="A163" s="95" t="s">
        <v>33</v>
      </c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34"/>
      <c r="Q163" s="31"/>
    </row>
    <row r="164" spans="1:17" ht="12.75">
      <c r="A164" s="32" t="s">
        <v>3</v>
      </c>
      <c r="B164" s="32"/>
      <c r="C164" s="33" t="s">
        <v>68</v>
      </c>
      <c r="D164" s="34">
        <f>D165+D168+D169+D170+D172+D173+D174+D171+D166+D167</f>
        <v>6182.7</v>
      </c>
      <c r="E164" s="34">
        <f aca="true" t="shared" si="61" ref="E164:O164">E165+E168+E169+E170+E172+E173+E174+E171+E166+E167</f>
        <v>1325.8999999999999</v>
      </c>
      <c r="F164" s="34">
        <f t="shared" si="61"/>
        <v>1325.8999999999999</v>
      </c>
      <c r="G164" s="34">
        <f t="shared" si="61"/>
        <v>1608</v>
      </c>
      <c r="H164" s="34">
        <f t="shared" si="61"/>
        <v>1413</v>
      </c>
      <c r="I164" s="34">
        <f t="shared" si="61"/>
        <v>1835.8</v>
      </c>
      <c r="J164" s="34">
        <f t="shared" si="61"/>
        <v>1635.1</v>
      </c>
      <c r="K164" s="34" t="e">
        <f t="shared" si="61"/>
        <v>#REF!</v>
      </c>
      <c r="L164" s="34" t="e">
        <f t="shared" si="61"/>
        <v>#DIV/0!</v>
      </c>
      <c r="M164" s="34">
        <f t="shared" si="61"/>
        <v>0</v>
      </c>
      <c r="N164" s="34">
        <f t="shared" si="61"/>
        <v>0</v>
      </c>
      <c r="O164" s="34" t="e">
        <f t="shared" si="61"/>
        <v>#DIV/0!</v>
      </c>
      <c r="P164" s="34">
        <f t="shared" si="56"/>
        <v>123.3200090504563</v>
      </c>
      <c r="Q164" s="31">
        <f t="shared" si="57"/>
        <v>26.446374561275817</v>
      </c>
    </row>
    <row r="165" spans="1:17" ht="12.75">
      <c r="A165" s="28" t="s">
        <v>23</v>
      </c>
      <c r="B165" s="28"/>
      <c r="C165" s="35" t="s">
        <v>22</v>
      </c>
      <c r="D165" s="44">
        <f>F165+G165+H165+I165</f>
        <v>3305</v>
      </c>
      <c r="E165" s="60">
        <f aca="true" t="shared" si="62" ref="E165:E177">F165</f>
        <v>690</v>
      </c>
      <c r="F165" s="60">
        <v>690</v>
      </c>
      <c r="G165" s="60">
        <v>990</v>
      </c>
      <c r="H165" s="24">
        <v>740</v>
      </c>
      <c r="I165" s="25">
        <v>885</v>
      </c>
      <c r="J165" s="25">
        <v>708</v>
      </c>
      <c r="K165" s="27" t="e">
        <f>J165/#REF!*100</f>
        <v>#REF!</v>
      </c>
      <c r="L165" s="27">
        <f aca="true" t="shared" si="63" ref="L165:L173">J165/H165*100</f>
        <v>95.67567567567568</v>
      </c>
      <c r="M165" s="57"/>
      <c r="N165" s="57"/>
      <c r="O165" s="24">
        <f t="shared" si="58"/>
        <v>80</v>
      </c>
      <c r="P165" s="27">
        <f>J165*100/E165</f>
        <v>102.6086956521739</v>
      </c>
      <c r="Q165" s="25">
        <f>J165*100/D165</f>
        <v>21.422087745839637</v>
      </c>
    </row>
    <row r="166" spans="1:17" ht="12.75">
      <c r="A166" s="19" t="s">
        <v>70</v>
      </c>
      <c r="B166" s="19"/>
      <c r="C166" s="35" t="s">
        <v>71</v>
      </c>
      <c r="D166" s="44">
        <f>F166+G166+H166+I166</f>
        <v>2147.8</v>
      </c>
      <c r="E166" s="60">
        <f t="shared" si="62"/>
        <v>482</v>
      </c>
      <c r="F166" s="60">
        <v>482</v>
      </c>
      <c r="G166" s="60">
        <v>483</v>
      </c>
      <c r="H166" s="24">
        <v>543</v>
      </c>
      <c r="I166" s="25">
        <v>639.8</v>
      </c>
      <c r="J166" s="25">
        <v>552.2</v>
      </c>
      <c r="K166" s="27"/>
      <c r="L166" s="27"/>
      <c r="M166" s="57"/>
      <c r="N166" s="57"/>
      <c r="O166" s="24"/>
      <c r="P166" s="27">
        <f>J166*100/E166</f>
        <v>114.56431535269711</v>
      </c>
      <c r="Q166" s="25">
        <f>J166*100/D166</f>
        <v>25.710028866747372</v>
      </c>
    </row>
    <row r="167" spans="1:17" ht="15" customHeight="1">
      <c r="A167" s="19" t="s">
        <v>8</v>
      </c>
      <c r="B167" s="19"/>
      <c r="C167" s="35" t="s">
        <v>5</v>
      </c>
      <c r="D167" s="44">
        <f>F167+G167+H167+I167</f>
        <v>10.8</v>
      </c>
      <c r="E167" s="60">
        <f t="shared" si="62"/>
        <v>10.8</v>
      </c>
      <c r="F167" s="60">
        <v>10.8</v>
      </c>
      <c r="G167" s="60"/>
      <c r="H167" s="24"/>
      <c r="I167" s="25"/>
      <c r="J167" s="25">
        <v>10.9</v>
      </c>
      <c r="K167" s="27"/>
      <c r="L167" s="27"/>
      <c r="M167" s="57"/>
      <c r="N167" s="57"/>
      <c r="O167" s="24"/>
      <c r="P167" s="27"/>
      <c r="Q167" s="25"/>
    </row>
    <row r="168" spans="1:17" ht="12.75">
      <c r="A168" s="19" t="s">
        <v>9</v>
      </c>
      <c r="B168" s="19"/>
      <c r="C168" s="35" t="s">
        <v>6</v>
      </c>
      <c r="D168" s="44">
        <f>F168+G168+H168+I168</f>
        <v>502</v>
      </c>
      <c r="E168" s="60">
        <f t="shared" si="62"/>
        <v>90</v>
      </c>
      <c r="F168" s="60">
        <v>90</v>
      </c>
      <c r="G168" s="60">
        <v>90</v>
      </c>
      <c r="H168" s="24">
        <v>90</v>
      </c>
      <c r="I168" s="25">
        <v>232</v>
      </c>
      <c r="J168" s="25">
        <v>164.8</v>
      </c>
      <c r="K168" s="27" t="e">
        <f>J168/#REF!*100</f>
        <v>#REF!</v>
      </c>
      <c r="L168" s="27">
        <f t="shared" si="63"/>
        <v>183.11111111111111</v>
      </c>
      <c r="M168" s="57"/>
      <c r="N168" s="57"/>
      <c r="O168" s="24">
        <f t="shared" si="58"/>
        <v>71.03448275862068</v>
      </c>
      <c r="P168" s="27">
        <f t="shared" si="56"/>
        <v>183.11111111111111</v>
      </c>
      <c r="Q168" s="25">
        <f t="shared" si="57"/>
        <v>32.82868525896414</v>
      </c>
    </row>
    <row r="169" spans="1:17" ht="12.75">
      <c r="A169" s="19" t="s">
        <v>10</v>
      </c>
      <c r="B169" s="19"/>
      <c r="C169" s="35" t="s">
        <v>21</v>
      </c>
      <c r="D169" s="44">
        <f aca="true" t="shared" si="64" ref="D169:D176">F169+G169+H169+I169</f>
        <v>35</v>
      </c>
      <c r="E169" s="60">
        <f t="shared" si="62"/>
        <v>3</v>
      </c>
      <c r="F169" s="60">
        <v>3</v>
      </c>
      <c r="G169" s="60">
        <v>8</v>
      </c>
      <c r="H169" s="24">
        <v>8</v>
      </c>
      <c r="I169" s="25">
        <v>16</v>
      </c>
      <c r="J169" s="25">
        <v>4.7</v>
      </c>
      <c r="K169" s="27" t="e">
        <f>J169/#REF!*100</f>
        <v>#REF!</v>
      </c>
      <c r="L169" s="27">
        <f t="shared" si="63"/>
        <v>58.75</v>
      </c>
      <c r="M169" s="57"/>
      <c r="N169" s="57"/>
      <c r="O169" s="24">
        <f t="shared" si="58"/>
        <v>29.375</v>
      </c>
      <c r="P169" s="27">
        <f t="shared" si="56"/>
        <v>156.66666666666666</v>
      </c>
      <c r="Q169" s="25">
        <f t="shared" si="57"/>
        <v>13.428571428571429</v>
      </c>
    </row>
    <row r="170" spans="1:17" ht="24">
      <c r="A170" s="20" t="s">
        <v>11</v>
      </c>
      <c r="B170" s="20"/>
      <c r="C170" s="35" t="s">
        <v>17</v>
      </c>
      <c r="D170" s="44">
        <f t="shared" si="64"/>
        <v>79</v>
      </c>
      <c r="E170" s="60">
        <f t="shared" si="62"/>
        <v>22</v>
      </c>
      <c r="F170" s="60">
        <f>12+10</f>
        <v>22</v>
      </c>
      <c r="G170" s="60">
        <v>17</v>
      </c>
      <c r="H170" s="24">
        <v>12</v>
      </c>
      <c r="I170" s="25">
        <v>28</v>
      </c>
      <c r="J170" s="25">
        <v>155.6</v>
      </c>
      <c r="K170" s="27" t="e">
        <f>J170/#REF!*100</f>
        <v>#REF!</v>
      </c>
      <c r="L170" s="27">
        <f t="shared" si="63"/>
        <v>1296.6666666666667</v>
      </c>
      <c r="M170" s="57"/>
      <c r="N170" s="57"/>
      <c r="O170" s="24">
        <f t="shared" si="58"/>
        <v>555.7142857142857</v>
      </c>
      <c r="P170" s="27">
        <f t="shared" si="56"/>
        <v>707.2727272727273</v>
      </c>
      <c r="Q170" s="25">
        <f t="shared" si="57"/>
        <v>196.9620253164557</v>
      </c>
    </row>
    <row r="171" spans="1:17" ht="12.75">
      <c r="A171" s="37" t="s">
        <v>42</v>
      </c>
      <c r="B171" s="37"/>
      <c r="C171" s="35" t="s">
        <v>43</v>
      </c>
      <c r="D171" s="44">
        <f t="shared" si="64"/>
        <v>95</v>
      </c>
      <c r="E171" s="60">
        <f t="shared" si="62"/>
        <v>20</v>
      </c>
      <c r="F171" s="60">
        <v>20</v>
      </c>
      <c r="G171" s="60">
        <v>20</v>
      </c>
      <c r="H171" s="24">
        <v>20</v>
      </c>
      <c r="I171" s="25">
        <v>35</v>
      </c>
      <c r="J171" s="25">
        <v>30.8</v>
      </c>
      <c r="K171" s="27" t="e">
        <f>J171/#REF!*100</f>
        <v>#REF!</v>
      </c>
      <c r="L171" s="27">
        <f t="shared" si="63"/>
        <v>154</v>
      </c>
      <c r="M171" s="57"/>
      <c r="N171" s="57"/>
      <c r="O171" s="24">
        <f t="shared" si="58"/>
        <v>88</v>
      </c>
      <c r="P171" s="27">
        <f t="shared" si="56"/>
        <v>154</v>
      </c>
      <c r="Q171" s="25">
        <f t="shared" si="57"/>
        <v>32.421052631578945</v>
      </c>
    </row>
    <row r="172" spans="1:17" ht="12.75">
      <c r="A172" s="36" t="s">
        <v>18</v>
      </c>
      <c r="B172" s="36"/>
      <c r="C172" s="35" t="s">
        <v>15</v>
      </c>
      <c r="D172" s="44">
        <f t="shared" si="64"/>
        <v>0</v>
      </c>
      <c r="E172" s="60">
        <f t="shared" si="62"/>
        <v>0</v>
      </c>
      <c r="F172" s="60"/>
      <c r="G172" s="60"/>
      <c r="H172" s="24"/>
      <c r="I172" s="25"/>
      <c r="J172" s="25">
        <v>0</v>
      </c>
      <c r="K172" s="27" t="e">
        <f>J172/#REF!*100</f>
        <v>#REF!</v>
      </c>
      <c r="L172" s="27" t="e">
        <f t="shared" si="63"/>
        <v>#DIV/0!</v>
      </c>
      <c r="M172" s="57"/>
      <c r="N172" s="57"/>
      <c r="O172" s="24" t="e">
        <f t="shared" si="58"/>
        <v>#DIV/0!</v>
      </c>
      <c r="P172" s="27"/>
      <c r="Q172" s="25"/>
    </row>
    <row r="173" spans="1:17" ht="17.25" customHeight="1">
      <c r="A173" s="28" t="s">
        <v>12</v>
      </c>
      <c r="B173" s="28"/>
      <c r="C173" s="35" t="s">
        <v>7</v>
      </c>
      <c r="D173" s="44">
        <f t="shared" si="64"/>
        <v>8.1</v>
      </c>
      <c r="E173" s="60">
        <f t="shared" si="62"/>
        <v>8.1</v>
      </c>
      <c r="F173" s="60">
        <v>8.1</v>
      </c>
      <c r="G173" s="60"/>
      <c r="H173" s="24"/>
      <c r="I173" s="25"/>
      <c r="J173" s="25">
        <v>8.1</v>
      </c>
      <c r="K173" s="27"/>
      <c r="L173" s="27" t="e">
        <f t="shared" si="63"/>
        <v>#DIV/0!</v>
      </c>
      <c r="M173" s="57"/>
      <c r="N173" s="57"/>
      <c r="O173" s="24" t="e">
        <f t="shared" si="58"/>
        <v>#DIV/0!</v>
      </c>
      <c r="P173" s="34"/>
      <c r="Q173" s="31"/>
    </row>
    <row r="174" spans="1:17" ht="14.25" customHeight="1">
      <c r="A174" s="72" t="s">
        <v>39</v>
      </c>
      <c r="B174" s="68"/>
      <c r="C174" s="23" t="s">
        <v>40</v>
      </c>
      <c r="D174" s="44">
        <f t="shared" si="64"/>
        <v>0</v>
      </c>
      <c r="E174" s="60">
        <f t="shared" si="62"/>
        <v>0</v>
      </c>
      <c r="F174" s="60"/>
      <c r="G174" s="60"/>
      <c r="H174" s="24"/>
      <c r="I174" s="25"/>
      <c r="J174" s="25">
        <v>0</v>
      </c>
      <c r="K174" s="27"/>
      <c r="L174" s="27"/>
      <c r="M174" s="57"/>
      <c r="N174" s="57"/>
      <c r="O174" s="24" t="e">
        <f t="shared" si="58"/>
        <v>#DIV/0!</v>
      </c>
      <c r="P174" s="34"/>
      <c r="Q174" s="31"/>
    </row>
    <row r="175" spans="1:17" ht="12.75">
      <c r="A175" s="32" t="s">
        <v>1</v>
      </c>
      <c r="B175" s="32"/>
      <c r="C175" s="39" t="s">
        <v>0</v>
      </c>
      <c r="D175" s="40">
        <f aca="true" t="shared" si="65" ref="D175:J175">D176+D177</f>
        <v>48518.5</v>
      </c>
      <c r="E175" s="81">
        <f t="shared" si="65"/>
        <v>31444.9</v>
      </c>
      <c r="F175" s="81">
        <f t="shared" si="65"/>
        <v>31444.9</v>
      </c>
      <c r="G175" s="81">
        <f t="shared" si="65"/>
        <v>6905.7</v>
      </c>
      <c r="H175" s="40">
        <f t="shared" si="65"/>
        <v>7555.4</v>
      </c>
      <c r="I175" s="40">
        <f t="shared" si="65"/>
        <v>2612.5</v>
      </c>
      <c r="J175" s="40">
        <f t="shared" si="65"/>
        <v>8201.7</v>
      </c>
      <c r="K175" s="34" t="e">
        <f>J175/#REF!*100</f>
        <v>#REF!</v>
      </c>
      <c r="L175" s="34">
        <f>J175/H175*100</f>
        <v>108.55414670302036</v>
      </c>
      <c r="M175" s="57"/>
      <c r="N175" s="57"/>
      <c r="O175" s="43">
        <f t="shared" si="58"/>
        <v>313.94066985645935</v>
      </c>
      <c r="P175" s="34">
        <f t="shared" si="56"/>
        <v>26.082766998782</v>
      </c>
      <c r="Q175" s="31">
        <f t="shared" si="57"/>
        <v>16.904273627585358</v>
      </c>
    </row>
    <row r="176" spans="1:17" ht="24">
      <c r="A176" s="21" t="s">
        <v>67</v>
      </c>
      <c r="B176" s="19"/>
      <c r="C176" s="41" t="s">
        <v>20</v>
      </c>
      <c r="D176" s="44">
        <f t="shared" si="64"/>
        <v>28518.5</v>
      </c>
      <c r="E176" s="60">
        <f t="shared" si="62"/>
        <v>11444.900000000001</v>
      </c>
      <c r="F176" s="60">
        <f>11398.7+46.2</f>
        <v>11444.900000000001</v>
      </c>
      <c r="G176" s="60">
        <v>6905.7</v>
      </c>
      <c r="H176" s="24">
        <v>7555.4</v>
      </c>
      <c r="I176" s="25">
        <v>2612.5</v>
      </c>
      <c r="J176" s="25">
        <v>8201.7</v>
      </c>
      <c r="K176" s="27" t="e">
        <f>J176/#REF!*100</f>
        <v>#REF!</v>
      </c>
      <c r="L176" s="27">
        <f>J176/H176*100</f>
        <v>108.55414670302036</v>
      </c>
      <c r="M176" s="57"/>
      <c r="N176" s="57"/>
      <c r="O176" s="24">
        <f t="shared" si="58"/>
        <v>313.94066985645935</v>
      </c>
      <c r="P176" s="27">
        <f t="shared" si="56"/>
        <v>71.66248722138245</v>
      </c>
      <c r="Q176" s="25">
        <f t="shared" si="57"/>
        <v>28.759226467030178</v>
      </c>
    </row>
    <row r="177" spans="1:17" ht="15.75" customHeight="1">
      <c r="A177" s="21" t="s">
        <v>2</v>
      </c>
      <c r="B177" s="21"/>
      <c r="C177" s="42" t="s">
        <v>19</v>
      </c>
      <c r="D177" s="44">
        <f>F177+G177+H177+I177</f>
        <v>20000</v>
      </c>
      <c r="E177" s="60">
        <f t="shared" si="62"/>
        <v>20000</v>
      </c>
      <c r="F177" s="69">
        <v>20000</v>
      </c>
      <c r="G177" s="69"/>
      <c r="H177" s="24"/>
      <c r="I177" s="25"/>
      <c r="J177" s="25"/>
      <c r="K177" s="27" t="e">
        <f>J177/#REF!*100</f>
        <v>#REF!</v>
      </c>
      <c r="L177" s="27"/>
      <c r="M177" s="57"/>
      <c r="N177" s="57"/>
      <c r="O177" s="24" t="e">
        <f t="shared" si="58"/>
        <v>#DIV/0!</v>
      </c>
      <c r="P177" s="27"/>
      <c r="Q177" s="25"/>
    </row>
    <row r="178" spans="1:17" ht="12.75">
      <c r="A178" s="28"/>
      <c r="B178" s="29"/>
      <c r="C178" s="30" t="s">
        <v>4</v>
      </c>
      <c r="D178" s="31">
        <f aca="true" t="shared" si="66" ref="D178:J178">D175+D164</f>
        <v>54701.2</v>
      </c>
      <c r="E178" s="31">
        <f t="shared" si="66"/>
        <v>32770.8</v>
      </c>
      <c r="F178" s="31">
        <f t="shared" si="66"/>
        <v>32770.8</v>
      </c>
      <c r="G178" s="31">
        <f t="shared" si="66"/>
        <v>8513.7</v>
      </c>
      <c r="H178" s="31">
        <f t="shared" si="66"/>
        <v>8968.4</v>
      </c>
      <c r="I178" s="31">
        <f t="shared" si="66"/>
        <v>4448.3</v>
      </c>
      <c r="J178" s="31">
        <f t="shared" si="66"/>
        <v>9836.800000000001</v>
      </c>
      <c r="K178" s="34" t="e">
        <f>J178/#REF!*100</f>
        <v>#REF!</v>
      </c>
      <c r="L178" s="34">
        <f>J178/H178*100</f>
        <v>109.68288657954596</v>
      </c>
      <c r="M178" s="57"/>
      <c r="N178" s="58" t="e">
        <f>I178+#REF!+#REF!</f>
        <v>#REF!</v>
      </c>
      <c r="O178" s="43">
        <f t="shared" si="58"/>
        <v>221.13616437740262</v>
      </c>
      <c r="P178" s="34">
        <f t="shared" si="56"/>
        <v>30.016966323678396</v>
      </c>
      <c r="Q178" s="31">
        <f t="shared" si="57"/>
        <v>17.982786483660323</v>
      </c>
    </row>
    <row r="179" spans="1:17" ht="12.75">
      <c r="A179" s="96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8"/>
      <c r="M179" s="57"/>
      <c r="N179" s="57"/>
      <c r="O179" s="56"/>
      <c r="P179" s="34"/>
      <c r="Q179" s="31"/>
    </row>
    <row r="180" spans="1:17" ht="12.75">
      <c r="A180" s="95" t="s">
        <v>34</v>
      </c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34"/>
      <c r="Q180" s="31"/>
    </row>
    <row r="181" spans="1:17" ht="12.75">
      <c r="A181" s="32" t="s">
        <v>3</v>
      </c>
      <c r="B181" s="32"/>
      <c r="C181" s="33" t="s">
        <v>68</v>
      </c>
      <c r="D181" s="34">
        <f aca="true" t="shared" si="67" ref="D181:J181">D182+D184+D185+D186+D187+D189+D191+D190+D188+D183</f>
        <v>22444.4</v>
      </c>
      <c r="E181" s="34">
        <f t="shared" si="67"/>
        <v>5212</v>
      </c>
      <c r="F181" s="34">
        <f t="shared" si="67"/>
        <v>5212</v>
      </c>
      <c r="G181" s="34">
        <f t="shared" si="67"/>
        <v>5288</v>
      </c>
      <c r="H181" s="34">
        <f t="shared" si="67"/>
        <v>5284</v>
      </c>
      <c r="I181" s="34">
        <f t="shared" si="67"/>
        <v>6660.4</v>
      </c>
      <c r="J181" s="34">
        <f t="shared" si="67"/>
        <v>5980.900000000001</v>
      </c>
      <c r="K181" s="34" t="e">
        <f>J181/#REF!*100</f>
        <v>#REF!</v>
      </c>
      <c r="L181" s="34">
        <f>J181/H181*100</f>
        <v>113.18887206661621</v>
      </c>
      <c r="M181" s="57"/>
      <c r="N181" s="57"/>
      <c r="O181" s="34">
        <f t="shared" si="58"/>
        <v>89.79791003543332</v>
      </c>
      <c r="P181" s="34">
        <f t="shared" si="56"/>
        <v>114.75249424405219</v>
      </c>
      <c r="Q181" s="31">
        <f t="shared" si="57"/>
        <v>26.64762702500401</v>
      </c>
    </row>
    <row r="182" spans="1:17" ht="12.75">
      <c r="A182" s="28" t="s">
        <v>23</v>
      </c>
      <c r="B182" s="28"/>
      <c r="C182" s="35" t="s">
        <v>22</v>
      </c>
      <c r="D182" s="44">
        <f>F182+G182+H182+I182</f>
        <v>16400</v>
      </c>
      <c r="E182" s="60">
        <f aca="true" t="shared" si="68" ref="E182:E189">F182</f>
        <v>3760</v>
      </c>
      <c r="F182" s="44">
        <v>3760</v>
      </c>
      <c r="G182" s="44">
        <v>4165</v>
      </c>
      <c r="H182" s="24">
        <v>4175</v>
      </c>
      <c r="I182" s="25">
        <v>4300</v>
      </c>
      <c r="J182" s="25">
        <v>4382.3</v>
      </c>
      <c r="K182" s="27" t="e">
        <f>J182/#REF!*100</f>
        <v>#REF!</v>
      </c>
      <c r="L182" s="27">
        <f>J182/H182*100</f>
        <v>104.96526946107785</v>
      </c>
      <c r="M182" s="57"/>
      <c r="N182" s="57"/>
      <c r="O182" s="24">
        <f t="shared" si="58"/>
        <v>101.91395348837209</v>
      </c>
      <c r="P182" s="27">
        <f t="shared" si="56"/>
        <v>116.55053191489361</v>
      </c>
      <c r="Q182" s="25">
        <f t="shared" si="57"/>
        <v>26.721341463414635</v>
      </c>
    </row>
    <row r="183" spans="1:17" ht="12.75">
      <c r="A183" s="19" t="s">
        <v>70</v>
      </c>
      <c r="B183" s="19"/>
      <c r="C183" s="35" t="s">
        <v>71</v>
      </c>
      <c r="D183" s="44">
        <f>F183+G183+H183+I183</f>
        <v>2714.4</v>
      </c>
      <c r="E183" s="60">
        <f t="shared" si="68"/>
        <v>673</v>
      </c>
      <c r="F183" s="44">
        <v>673</v>
      </c>
      <c r="G183" s="44">
        <v>675</v>
      </c>
      <c r="H183" s="24">
        <v>675</v>
      </c>
      <c r="I183" s="25">
        <v>691.4</v>
      </c>
      <c r="J183" s="25">
        <v>697.9</v>
      </c>
      <c r="K183" s="27"/>
      <c r="L183" s="27"/>
      <c r="M183" s="57"/>
      <c r="N183" s="57"/>
      <c r="O183" s="24"/>
      <c r="P183" s="27">
        <f>J183*100/E183</f>
        <v>103.69985141158989</v>
      </c>
      <c r="Q183" s="25">
        <f>J183*100/D183</f>
        <v>25.711022693781313</v>
      </c>
    </row>
    <row r="184" spans="1:17" ht="13.5" customHeight="1" hidden="1">
      <c r="A184" s="19" t="s">
        <v>8</v>
      </c>
      <c r="B184" s="19"/>
      <c r="C184" s="35" t="s">
        <v>5</v>
      </c>
      <c r="D184" s="44">
        <f aca="true" t="shared" si="69" ref="D184:D193">F184+G184+H184+I184</f>
        <v>0</v>
      </c>
      <c r="E184" s="60">
        <f t="shared" si="68"/>
        <v>0</v>
      </c>
      <c r="F184" s="44"/>
      <c r="G184" s="44"/>
      <c r="H184" s="24"/>
      <c r="I184" s="25"/>
      <c r="J184" s="25"/>
      <c r="K184" s="27"/>
      <c r="L184" s="27"/>
      <c r="M184" s="57"/>
      <c r="N184" s="57"/>
      <c r="O184" s="24" t="e">
        <f t="shared" si="58"/>
        <v>#DIV/0!</v>
      </c>
      <c r="P184" s="27" t="e">
        <f>J184*100/E184</f>
        <v>#DIV/0!</v>
      </c>
      <c r="Q184" s="25" t="e">
        <f>J184*100/D184</f>
        <v>#DIV/0!</v>
      </c>
    </row>
    <row r="185" spans="1:17" ht="12.75">
      <c r="A185" s="19" t="s">
        <v>9</v>
      </c>
      <c r="B185" s="19"/>
      <c r="C185" s="35" t="s">
        <v>6</v>
      </c>
      <c r="D185" s="44">
        <f t="shared" si="69"/>
        <v>2320</v>
      </c>
      <c r="E185" s="60">
        <f t="shared" si="68"/>
        <v>532</v>
      </c>
      <c r="F185" s="44">
        <v>532</v>
      </c>
      <c r="G185" s="44">
        <v>265</v>
      </c>
      <c r="H185" s="24">
        <v>265</v>
      </c>
      <c r="I185" s="25">
        <v>1258</v>
      </c>
      <c r="J185" s="25">
        <v>569</v>
      </c>
      <c r="K185" s="27" t="e">
        <f>J185/#REF!*100</f>
        <v>#REF!</v>
      </c>
      <c r="L185" s="27">
        <f>J185/H185*100</f>
        <v>214.7169811320755</v>
      </c>
      <c r="M185" s="57"/>
      <c r="N185" s="57"/>
      <c r="O185" s="24">
        <f t="shared" si="58"/>
        <v>45.230524642289346</v>
      </c>
      <c r="P185" s="27">
        <f t="shared" si="56"/>
        <v>106.95488721804512</v>
      </c>
      <c r="Q185" s="25">
        <f t="shared" si="57"/>
        <v>24.525862068965516</v>
      </c>
    </row>
    <row r="186" spans="1:17" ht="12.75">
      <c r="A186" s="19" t="s">
        <v>10</v>
      </c>
      <c r="B186" s="19"/>
      <c r="C186" s="35" t="s">
        <v>21</v>
      </c>
      <c r="D186" s="44">
        <f t="shared" si="69"/>
        <v>156</v>
      </c>
      <c r="E186" s="60">
        <f t="shared" si="68"/>
        <v>42</v>
      </c>
      <c r="F186" s="44">
        <v>42</v>
      </c>
      <c r="G186" s="44">
        <v>42</v>
      </c>
      <c r="H186" s="24">
        <v>28</v>
      </c>
      <c r="I186" s="25">
        <v>44</v>
      </c>
      <c r="J186" s="25">
        <v>69.3</v>
      </c>
      <c r="K186" s="27" t="e">
        <f>J186/#REF!*100</f>
        <v>#REF!</v>
      </c>
      <c r="L186" s="27">
        <f>J186/H186*100</f>
        <v>247.5</v>
      </c>
      <c r="M186" s="57"/>
      <c r="N186" s="57"/>
      <c r="O186" s="24">
        <f t="shared" si="58"/>
        <v>157.5</v>
      </c>
      <c r="P186" s="27">
        <f t="shared" si="56"/>
        <v>165</v>
      </c>
      <c r="Q186" s="25">
        <f t="shared" si="57"/>
        <v>44.42307692307692</v>
      </c>
    </row>
    <row r="187" spans="1:17" ht="24">
      <c r="A187" s="20" t="s">
        <v>11</v>
      </c>
      <c r="B187" s="20"/>
      <c r="C187" s="35" t="s">
        <v>17</v>
      </c>
      <c r="D187" s="44">
        <f t="shared" si="69"/>
        <v>663.2</v>
      </c>
      <c r="E187" s="60">
        <f t="shared" si="68"/>
        <v>138.2</v>
      </c>
      <c r="F187" s="44">
        <f>169-30.8</f>
        <v>138.2</v>
      </c>
      <c r="G187" s="44">
        <v>105</v>
      </c>
      <c r="H187" s="24">
        <v>105</v>
      </c>
      <c r="I187" s="25">
        <v>315</v>
      </c>
      <c r="J187" s="25">
        <v>191.3</v>
      </c>
      <c r="K187" s="27" t="e">
        <f>J187/#REF!*100</f>
        <v>#REF!</v>
      </c>
      <c r="L187" s="27">
        <f>J187/H187*100</f>
        <v>182.1904761904762</v>
      </c>
      <c r="M187" s="57"/>
      <c r="N187" s="57"/>
      <c r="O187" s="24">
        <f t="shared" si="58"/>
        <v>60.73015873015873</v>
      </c>
      <c r="P187" s="27">
        <f t="shared" si="56"/>
        <v>138.42257597684517</v>
      </c>
      <c r="Q187" s="25">
        <f t="shared" si="57"/>
        <v>28.84499396863691</v>
      </c>
    </row>
    <row r="188" spans="1:17" ht="12.75">
      <c r="A188" s="36" t="s">
        <v>42</v>
      </c>
      <c r="B188" s="37"/>
      <c r="C188" s="35" t="s">
        <v>43</v>
      </c>
      <c r="D188" s="44">
        <f t="shared" si="69"/>
        <v>190.8</v>
      </c>
      <c r="E188" s="60">
        <f t="shared" si="68"/>
        <v>66.8</v>
      </c>
      <c r="F188" s="44">
        <f>36+30.8</f>
        <v>66.8</v>
      </c>
      <c r="G188" s="44">
        <v>36</v>
      </c>
      <c r="H188" s="24">
        <v>36</v>
      </c>
      <c r="I188" s="25">
        <v>52</v>
      </c>
      <c r="J188" s="25">
        <v>67.8</v>
      </c>
      <c r="K188" s="27" t="e">
        <f>J188/#REF!*100</f>
        <v>#REF!</v>
      </c>
      <c r="L188" s="27">
        <f>J188/H188*100</f>
        <v>188.33333333333334</v>
      </c>
      <c r="M188" s="57"/>
      <c r="N188" s="57"/>
      <c r="O188" s="24">
        <f t="shared" si="58"/>
        <v>130.3846153846154</v>
      </c>
      <c r="P188" s="27">
        <f t="shared" si="56"/>
        <v>101.49700598802396</v>
      </c>
      <c r="Q188" s="25">
        <f t="shared" si="57"/>
        <v>35.53459119496855</v>
      </c>
    </row>
    <row r="189" spans="1:17" ht="12.75" hidden="1">
      <c r="A189" s="36" t="s">
        <v>18</v>
      </c>
      <c r="B189" s="37"/>
      <c r="C189" s="35" t="s">
        <v>15</v>
      </c>
      <c r="D189" s="44">
        <f t="shared" si="69"/>
        <v>0</v>
      </c>
      <c r="E189" s="60">
        <f t="shared" si="68"/>
        <v>0</v>
      </c>
      <c r="F189" s="44"/>
      <c r="G189" s="44"/>
      <c r="H189" s="24"/>
      <c r="I189" s="25"/>
      <c r="J189" s="25">
        <v>0</v>
      </c>
      <c r="K189" s="27" t="e">
        <f>J189/#REF!*100</f>
        <v>#REF!</v>
      </c>
      <c r="L189" s="27" t="e">
        <f>J189/H189*100</f>
        <v>#DIV/0!</v>
      </c>
      <c r="M189" s="57"/>
      <c r="N189" s="57"/>
      <c r="O189" s="24" t="e">
        <f t="shared" si="58"/>
        <v>#DIV/0!</v>
      </c>
      <c r="P189" s="27"/>
      <c r="Q189" s="25"/>
    </row>
    <row r="190" spans="1:17" ht="12.75" hidden="1">
      <c r="A190" s="28" t="s">
        <v>12</v>
      </c>
      <c r="B190" s="28"/>
      <c r="C190" s="35" t="s">
        <v>7</v>
      </c>
      <c r="D190" s="44">
        <f t="shared" si="69"/>
        <v>0</v>
      </c>
      <c r="E190" s="60">
        <f>F190+G190</f>
        <v>0</v>
      </c>
      <c r="F190" s="44"/>
      <c r="G190" s="44"/>
      <c r="H190" s="24"/>
      <c r="I190" s="25"/>
      <c r="J190" s="25"/>
      <c r="K190" s="27" t="e">
        <f>J190/#REF!*100</f>
        <v>#REF!</v>
      </c>
      <c r="L190" s="27"/>
      <c r="M190" s="57"/>
      <c r="N190" s="57"/>
      <c r="O190" s="24" t="e">
        <f t="shared" si="58"/>
        <v>#DIV/0!</v>
      </c>
      <c r="P190" s="27"/>
      <c r="Q190" s="25"/>
    </row>
    <row r="191" spans="1:17" ht="15" customHeight="1">
      <c r="A191" s="72" t="s">
        <v>39</v>
      </c>
      <c r="B191" s="68"/>
      <c r="C191" s="23" t="s">
        <v>40</v>
      </c>
      <c r="D191" s="44">
        <f t="shared" si="69"/>
        <v>0</v>
      </c>
      <c r="E191" s="60">
        <f>F191+G191</f>
        <v>0</v>
      </c>
      <c r="F191" s="83"/>
      <c r="G191" s="83"/>
      <c r="H191" s="24"/>
      <c r="I191" s="25"/>
      <c r="J191" s="25">
        <v>3.3</v>
      </c>
      <c r="K191" s="27" t="e">
        <f>J191/#REF!*100</f>
        <v>#REF!</v>
      </c>
      <c r="L191" s="27"/>
      <c r="M191" s="57"/>
      <c r="N191" s="57"/>
      <c r="O191" s="24" t="e">
        <f t="shared" si="58"/>
        <v>#DIV/0!</v>
      </c>
      <c r="P191" s="34"/>
      <c r="Q191" s="31"/>
    </row>
    <row r="192" spans="1:17" ht="12.75">
      <c r="A192" s="62" t="s">
        <v>1</v>
      </c>
      <c r="B192" s="32"/>
      <c r="C192" s="39" t="s">
        <v>0</v>
      </c>
      <c r="D192" s="43">
        <f aca="true" t="shared" si="70" ref="D192:J192">D193</f>
        <v>37488.1</v>
      </c>
      <c r="E192" s="43">
        <f t="shared" si="70"/>
        <v>16568.3</v>
      </c>
      <c r="F192" s="43">
        <f t="shared" si="70"/>
        <v>16568.3</v>
      </c>
      <c r="G192" s="43">
        <f t="shared" si="70"/>
        <v>6697.9</v>
      </c>
      <c r="H192" s="43">
        <f t="shared" si="70"/>
        <v>7523.8</v>
      </c>
      <c r="I192" s="43">
        <f t="shared" si="70"/>
        <v>6698.1</v>
      </c>
      <c r="J192" s="43">
        <f t="shared" si="70"/>
        <v>6419.6</v>
      </c>
      <c r="K192" s="34" t="e">
        <f>J192/#REF!*100</f>
        <v>#REF!</v>
      </c>
      <c r="L192" s="34">
        <f>J192/H192*100</f>
        <v>85.32390547329807</v>
      </c>
      <c r="M192" s="57"/>
      <c r="N192" s="57"/>
      <c r="O192" s="43">
        <f t="shared" si="58"/>
        <v>95.8421044773891</v>
      </c>
      <c r="P192" s="34">
        <f t="shared" si="56"/>
        <v>38.74628054779308</v>
      </c>
      <c r="Q192" s="31">
        <f t="shared" si="57"/>
        <v>17.124367465942527</v>
      </c>
    </row>
    <row r="193" spans="1:17" ht="24">
      <c r="A193" s="84" t="s">
        <v>67</v>
      </c>
      <c r="B193" s="19"/>
      <c r="C193" s="41" t="s">
        <v>20</v>
      </c>
      <c r="D193" s="44">
        <f t="shared" si="69"/>
        <v>37488.1</v>
      </c>
      <c r="E193" s="60">
        <f>F193</f>
        <v>16568.3</v>
      </c>
      <c r="F193" s="44">
        <f>16161.6+406.7</f>
        <v>16568.3</v>
      </c>
      <c r="G193" s="44">
        <v>6697.9</v>
      </c>
      <c r="H193" s="24">
        <v>7523.8</v>
      </c>
      <c r="I193" s="25">
        <v>6698.1</v>
      </c>
      <c r="J193" s="25">
        <v>6419.6</v>
      </c>
      <c r="K193" s="27" t="e">
        <f>J193/#REF!*100</f>
        <v>#REF!</v>
      </c>
      <c r="L193" s="27">
        <f>J193/H193*100</f>
        <v>85.32390547329807</v>
      </c>
      <c r="M193" s="57"/>
      <c r="N193" s="57"/>
      <c r="O193" s="24">
        <f t="shared" si="58"/>
        <v>95.8421044773891</v>
      </c>
      <c r="P193" s="27">
        <f t="shared" si="56"/>
        <v>38.74628054779308</v>
      </c>
      <c r="Q193" s="25">
        <f t="shared" si="57"/>
        <v>17.124367465942527</v>
      </c>
    </row>
    <row r="194" spans="1:17" ht="12.75">
      <c r="A194" s="28"/>
      <c r="B194" s="29"/>
      <c r="C194" s="30" t="s">
        <v>4</v>
      </c>
      <c r="D194" s="31">
        <f aca="true" t="shared" si="71" ref="D194:J194">D192+D181</f>
        <v>59932.5</v>
      </c>
      <c r="E194" s="31">
        <f t="shared" si="71"/>
        <v>21780.3</v>
      </c>
      <c r="F194" s="31">
        <f t="shared" si="71"/>
        <v>21780.3</v>
      </c>
      <c r="G194" s="31">
        <f t="shared" si="71"/>
        <v>11985.9</v>
      </c>
      <c r="H194" s="31">
        <f t="shared" si="71"/>
        <v>12807.8</v>
      </c>
      <c r="I194" s="31">
        <f t="shared" si="71"/>
        <v>13358.5</v>
      </c>
      <c r="J194" s="31">
        <f t="shared" si="71"/>
        <v>12400.5</v>
      </c>
      <c r="K194" s="34" t="e">
        <f>J194/#REF!*100</f>
        <v>#REF!</v>
      </c>
      <c r="L194" s="34">
        <f>J194/H194*100</f>
        <v>96.81990661940381</v>
      </c>
      <c r="M194" s="57"/>
      <c r="N194" s="58" t="e">
        <f>I194+#REF!+#REF!</f>
        <v>#REF!</v>
      </c>
      <c r="O194" s="43">
        <f t="shared" si="58"/>
        <v>92.82853613803945</v>
      </c>
      <c r="P194" s="34">
        <f t="shared" si="56"/>
        <v>56.934477486536</v>
      </c>
      <c r="Q194" s="31">
        <f t="shared" si="57"/>
        <v>20.690777124264798</v>
      </c>
    </row>
    <row r="195" spans="1:17" ht="12.75">
      <c r="A195" s="96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8"/>
      <c r="M195" s="57"/>
      <c r="N195" s="57"/>
      <c r="O195" s="56"/>
      <c r="P195" s="34"/>
      <c r="Q195" s="31"/>
    </row>
    <row r="196" spans="1:17" ht="12.75">
      <c r="A196" s="95" t="s">
        <v>35</v>
      </c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34"/>
      <c r="Q196" s="31"/>
    </row>
    <row r="197" spans="1:17" ht="12.75">
      <c r="A197" s="32" t="s">
        <v>3</v>
      </c>
      <c r="B197" s="32"/>
      <c r="C197" s="33" t="s">
        <v>68</v>
      </c>
      <c r="D197" s="34">
        <f>D198+D201+D203+D204+D202+D205+D206+D200+D199</f>
        <v>4141.5</v>
      </c>
      <c r="E197" s="34">
        <f>E198+E201+E203+E204+E202+E205+E206+E200+E199</f>
        <v>855.2</v>
      </c>
      <c r="F197" s="34">
        <f aca="true" t="shared" si="72" ref="F197:O197">F198+F201+F203+F204+F202+F205+F206+F200+F199</f>
        <v>855.2</v>
      </c>
      <c r="G197" s="34">
        <f t="shared" si="72"/>
        <v>1082.4</v>
      </c>
      <c r="H197" s="34">
        <f t="shared" si="72"/>
        <v>1172.4</v>
      </c>
      <c r="I197" s="34">
        <f t="shared" si="72"/>
        <v>1031.5</v>
      </c>
      <c r="J197" s="34">
        <f t="shared" si="72"/>
        <v>1071.1</v>
      </c>
      <c r="K197" s="34" t="e">
        <f t="shared" si="72"/>
        <v>#REF!</v>
      </c>
      <c r="L197" s="34" t="e">
        <f t="shared" si="72"/>
        <v>#DIV/0!</v>
      </c>
      <c r="M197" s="34">
        <f t="shared" si="72"/>
        <v>0</v>
      </c>
      <c r="N197" s="34">
        <f t="shared" si="72"/>
        <v>0</v>
      </c>
      <c r="O197" s="34" t="e">
        <f t="shared" si="72"/>
        <v>#DIV/0!</v>
      </c>
      <c r="P197" s="34">
        <f t="shared" si="56"/>
        <v>125.24555659494852</v>
      </c>
      <c r="Q197" s="31">
        <f t="shared" si="57"/>
        <v>25.862610165399005</v>
      </c>
    </row>
    <row r="198" spans="1:17" ht="12.75">
      <c r="A198" s="28" t="s">
        <v>23</v>
      </c>
      <c r="B198" s="28"/>
      <c r="C198" s="35" t="s">
        <v>22</v>
      </c>
      <c r="D198" s="44">
        <f>F198+G198+H198+I198</f>
        <v>1055</v>
      </c>
      <c r="E198" s="60">
        <f aca="true" t="shared" si="73" ref="E198:E205">F198</f>
        <v>172</v>
      </c>
      <c r="F198" s="44">
        <v>172</v>
      </c>
      <c r="G198" s="44">
        <v>345</v>
      </c>
      <c r="H198" s="24">
        <v>250</v>
      </c>
      <c r="I198" s="24">
        <v>288</v>
      </c>
      <c r="J198" s="25">
        <v>213.2</v>
      </c>
      <c r="K198" s="27" t="e">
        <f>J198/#REF!*100</f>
        <v>#REF!</v>
      </c>
      <c r="L198" s="27">
        <f aca="true" t="shared" si="74" ref="L198:L204">J198/H198*100</f>
        <v>85.28</v>
      </c>
      <c r="M198" s="57"/>
      <c r="N198" s="57"/>
      <c r="O198" s="24">
        <f t="shared" si="58"/>
        <v>74.02777777777777</v>
      </c>
      <c r="P198" s="27">
        <f t="shared" si="56"/>
        <v>123.95348837209302</v>
      </c>
      <c r="Q198" s="25">
        <f t="shared" si="57"/>
        <v>20.208530805687204</v>
      </c>
    </row>
    <row r="199" spans="1:17" ht="12.75">
      <c r="A199" s="19" t="s">
        <v>70</v>
      </c>
      <c r="B199" s="19"/>
      <c r="C199" s="35" t="s">
        <v>71</v>
      </c>
      <c r="D199" s="44">
        <f>F199+G199+H199+I199</f>
        <v>2819.5</v>
      </c>
      <c r="E199" s="60">
        <f t="shared" si="73"/>
        <v>632.2</v>
      </c>
      <c r="F199" s="44">
        <v>632.2</v>
      </c>
      <c r="G199" s="44">
        <v>678.4</v>
      </c>
      <c r="H199" s="24">
        <v>849.4</v>
      </c>
      <c r="I199" s="24">
        <v>659.5</v>
      </c>
      <c r="J199" s="25">
        <v>724.9</v>
      </c>
      <c r="K199" s="27"/>
      <c r="L199" s="27"/>
      <c r="M199" s="57"/>
      <c r="N199" s="57"/>
      <c r="O199" s="24"/>
      <c r="P199" s="27">
        <f>J199*100/E199</f>
        <v>114.663081303385</v>
      </c>
      <c r="Q199" s="25">
        <f>J199*100/D199</f>
        <v>25.710232310693385</v>
      </c>
    </row>
    <row r="200" spans="1:17" ht="12.75">
      <c r="A200" s="19" t="s">
        <v>8</v>
      </c>
      <c r="B200" s="47" t="s">
        <v>55</v>
      </c>
      <c r="C200" s="35" t="s">
        <v>5</v>
      </c>
      <c r="D200" s="44">
        <f aca="true" t="shared" si="75" ref="D200:D208">F200+G200+H200+I200</f>
        <v>7</v>
      </c>
      <c r="E200" s="60">
        <f t="shared" si="73"/>
        <v>0</v>
      </c>
      <c r="F200" s="44"/>
      <c r="G200" s="44">
        <v>7</v>
      </c>
      <c r="H200" s="24"/>
      <c r="I200" s="24"/>
      <c r="J200" s="25">
        <v>24.1</v>
      </c>
      <c r="K200" s="27" t="e">
        <f>J200/#REF!*100</f>
        <v>#REF!</v>
      </c>
      <c r="L200" s="27"/>
      <c r="M200" s="57"/>
      <c r="N200" s="57"/>
      <c r="O200" s="24" t="e">
        <f t="shared" si="58"/>
        <v>#DIV/0!</v>
      </c>
      <c r="P200" s="27"/>
      <c r="Q200" s="25">
        <f t="shared" si="57"/>
        <v>344.2857142857143</v>
      </c>
    </row>
    <row r="201" spans="1:17" ht="12.75">
      <c r="A201" s="19" t="s">
        <v>9</v>
      </c>
      <c r="B201" s="19"/>
      <c r="C201" s="35" t="s">
        <v>6</v>
      </c>
      <c r="D201" s="44">
        <f t="shared" si="75"/>
        <v>178</v>
      </c>
      <c r="E201" s="60">
        <f t="shared" si="73"/>
        <v>31</v>
      </c>
      <c r="F201" s="44">
        <v>31</v>
      </c>
      <c r="G201" s="44">
        <v>31</v>
      </c>
      <c r="H201" s="24">
        <v>53</v>
      </c>
      <c r="I201" s="24">
        <v>63</v>
      </c>
      <c r="J201" s="25">
        <v>63.3</v>
      </c>
      <c r="K201" s="27" t="e">
        <f>J201/#REF!*100</f>
        <v>#REF!</v>
      </c>
      <c r="L201" s="27">
        <f t="shared" si="74"/>
        <v>119.43396226415092</v>
      </c>
      <c r="M201" s="57"/>
      <c r="N201" s="57"/>
      <c r="O201" s="24">
        <f t="shared" si="58"/>
        <v>100.47619047619048</v>
      </c>
      <c r="P201" s="27">
        <f t="shared" si="56"/>
        <v>204.19354838709677</v>
      </c>
      <c r="Q201" s="25">
        <f t="shared" si="57"/>
        <v>35.561797752808985</v>
      </c>
    </row>
    <row r="202" spans="1:17" ht="12.75">
      <c r="A202" s="19" t="s">
        <v>10</v>
      </c>
      <c r="B202" s="19"/>
      <c r="C202" s="35" t="s">
        <v>21</v>
      </c>
      <c r="D202" s="44">
        <f t="shared" si="75"/>
        <v>17</v>
      </c>
      <c r="E202" s="60">
        <f t="shared" si="73"/>
        <v>4</v>
      </c>
      <c r="F202" s="44">
        <v>4</v>
      </c>
      <c r="G202" s="44">
        <v>5</v>
      </c>
      <c r="H202" s="24">
        <v>4</v>
      </c>
      <c r="I202" s="24">
        <v>4</v>
      </c>
      <c r="J202" s="25">
        <v>6.3</v>
      </c>
      <c r="K202" s="27" t="e">
        <f>J202/#REF!*100</f>
        <v>#REF!</v>
      </c>
      <c r="L202" s="27">
        <f t="shared" si="74"/>
        <v>157.5</v>
      </c>
      <c r="M202" s="57"/>
      <c r="N202" s="57"/>
      <c r="O202" s="24">
        <f t="shared" si="58"/>
        <v>157.5</v>
      </c>
      <c r="P202" s="27">
        <f t="shared" si="56"/>
        <v>157.5</v>
      </c>
      <c r="Q202" s="25">
        <f t="shared" si="57"/>
        <v>37.05882352941177</v>
      </c>
    </row>
    <row r="203" spans="1:17" ht="24">
      <c r="A203" s="20" t="s">
        <v>11</v>
      </c>
      <c r="B203" s="20"/>
      <c r="C203" s="35" t="s">
        <v>17</v>
      </c>
      <c r="D203" s="44">
        <f t="shared" si="75"/>
        <v>65</v>
      </c>
      <c r="E203" s="60">
        <f t="shared" si="73"/>
        <v>16</v>
      </c>
      <c r="F203" s="44">
        <v>16</v>
      </c>
      <c r="G203" s="44">
        <v>16</v>
      </c>
      <c r="H203" s="24">
        <v>16</v>
      </c>
      <c r="I203" s="24">
        <v>17</v>
      </c>
      <c r="J203" s="25">
        <v>45.1</v>
      </c>
      <c r="K203" s="27" t="e">
        <f>J203/#REF!*100</f>
        <v>#REF!</v>
      </c>
      <c r="L203" s="27">
        <f t="shared" si="74"/>
        <v>281.875</v>
      </c>
      <c r="M203" s="57"/>
      <c r="N203" s="57"/>
      <c r="O203" s="24">
        <f t="shared" si="58"/>
        <v>265.29411764705884</v>
      </c>
      <c r="P203" s="27">
        <f t="shared" si="56"/>
        <v>281.875</v>
      </c>
      <c r="Q203" s="25">
        <f t="shared" si="57"/>
        <v>69.38461538461539</v>
      </c>
    </row>
    <row r="204" spans="1:17" ht="12.75" hidden="1">
      <c r="A204" s="36" t="s">
        <v>18</v>
      </c>
      <c r="B204" s="36"/>
      <c r="C204" s="35" t="s">
        <v>15</v>
      </c>
      <c r="D204" s="44">
        <f t="shared" si="75"/>
        <v>0</v>
      </c>
      <c r="E204" s="60">
        <f t="shared" si="73"/>
        <v>0</v>
      </c>
      <c r="F204" s="44"/>
      <c r="G204" s="44"/>
      <c r="H204" s="24"/>
      <c r="I204" s="24"/>
      <c r="J204" s="25"/>
      <c r="K204" s="27" t="e">
        <f>J204/#REF!*100</f>
        <v>#REF!</v>
      </c>
      <c r="L204" s="27" t="e">
        <f t="shared" si="74"/>
        <v>#DIV/0!</v>
      </c>
      <c r="M204" s="57"/>
      <c r="N204" s="57"/>
      <c r="O204" s="24" t="e">
        <f t="shared" si="58"/>
        <v>#DIV/0!</v>
      </c>
      <c r="P204" s="27"/>
      <c r="Q204" s="25"/>
    </row>
    <row r="205" spans="1:17" ht="15.75" customHeight="1" hidden="1">
      <c r="A205" s="36" t="s">
        <v>12</v>
      </c>
      <c r="B205" s="82"/>
      <c r="C205" s="35" t="s">
        <v>7</v>
      </c>
      <c r="D205" s="44">
        <f t="shared" si="75"/>
        <v>0</v>
      </c>
      <c r="E205" s="60">
        <f t="shared" si="73"/>
        <v>0</v>
      </c>
      <c r="F205" s="44"/>
      <c r="G205" s="44"/>
      <c r="H205" s="24"/>
      <c r="I205" s="24"/>
      <c r="J205" s="25"/>
      <c r="K205" s="27" t="e">
        <f>J205/#REF!*100</f>
        <v>#REF!</v>
      </c>
      <c r="L205" s="27"/>
      <c r="M205" s="57"/>
      <c r="N205" s="57"/>
      <c r="O205" s="24" t="e">
        <f t="shared" si="58"/>
        <v>#DIV/0!</v>
      </c>
      <c r="P205" s="27"/>
      <c r="Q205" s="25"/>
    </row>
    <row r="206" spans="1:17" ht="13.5" customHeight="1">
      <c r="A206" s="72" t="s">
        <v>39</v>
      </c>
      <c r="B206" s="68"/>
      <c r="C206" s="23" t="s">
        <v>40</v>
      </c>
      <c r="D206" s="44">
        <f t="shared" si="75"/>
        <v>0</v>
      </c>
      <c r="E206" s="60">
        <f>F206+G206</f>
        <v>0</v>
      </c>
      <c r="F206" s="44"/>
      <c r="G206" s="44"/>
      <c r="H206" s="24"/>
      <c r="I206" s="24"/>
      <c r="J206" s="25">
        <v>-5.8</v>
      </c>
      <c r="K206" s="27" t="e">
        <f>J206/#REF!*100</f>
        <v>#REF!</v>
      </c>
      <c r="L206" s="27"/>
      <c r="M206" s="57"/>
      <c r="N206" s="57"/>
      <c r="O206" s="24"/>
      <c r="P206" s="27"/>
      <c r="Q206" s="25"/>
    </row>
    <row r="207" spans="1:17" ht="12.75">
      <c r="A207" s="32" t="s">
        <v>1</v>
      </c>
      <c r="B207" s="32"/>
      <c r="C207" s="39" t="s">
        <v>0</v>
      </c>
      <c r="D207" s="40">
        <f aca="true" t="shared" si="76" ref="D207:J207">D208</f>
        <v>24537.899999999998</v>
      </c>
      <c r="E207" s="40">
        <f t="shared" si="76"/>
        <v>6687.4</v>
      </c>
      <c r="F207" s="40">
        <f t="shared" si="76"/>
        <v>6687.4</v>
      </c>
      <c r="G207" s="40">
        <f t="shared" si="76"/>
        <v>6142.9</v>
      </c>
      <c r="H207" s="40">
        <f t="shared" si="76"/>
        <v>6450.9</v>
      </c>
      <c r="I207" s="40">
        <f t="shared" si="76"/>
        <v>5256.7</v>
      </c>
      <c r="J207" s="40">
        <f t="shared" si="76"/>
        <v>4561.7</v>
      </c>
      <c r="K207" s="34" t="e">
        <f>J207/#REF!*100</f>
        <v>#REF!</v>
      </c>
      <c r="L207" s="34">
        <f>J207/H207*100</f>
        <v>70.71416391511262</v>
      </c>
      <c r="M207" s="57"/>
      <c r="N207" s="57"/>
      <c r="O207" s="43">
        <f t="shared" si="58"/>
        <v>86.7787775600662</v>
      </c>
      <c r="P207" s="34">
        <f t="shared" si="56"/>
        <v>68.21335646140503</v>
      </c>
      <c r="Q207" s="31">
        <f t="shared" si="57"/>
        <v>18.5904254235285</v>
      </c>
    </row>
    <row r="208" spans="1:17" ht="24">
      <c r="A208" s="21" t="s">
        <v>67</v>
      </c>
      <c r="B208" s="19"/>
      <c r="C208" s="41" t="s">
        <v>20</v>
      </c>
      <c r="D208" s="44">
        <f t="shared" si="75"/>
        <v>24537.899999999998</v>
      </c>
      <c r="E208" s="60">
        <f>F208</f>
        <v>6687.4</v>
      </c>
      <c r="F208" s="44">
        <f>6570+117.4</f>
        <v>6687.4</v>
      </c>
      <c r="G208" s="44">
        <v>6142.9</v>
      </c>
      <c r="H208" s="24">
        <v>6450.9</v>
      </c>
      <c r="I208" s="24">
        <v>5256.7</v>
      </c>
      <c r="J208" s="25">
        <v>4561.7</v>
      </c>
      <c r="K208" s="27" t="e">
        <f>J208/#REF!*100</f>
        <v>#REF!</v>
      </c>
      <c r="L208" s="27">
        <f>J208/H208*100</f>
        <v>70.71416391511262</v>
      </c>
      <c r="M208" s="57"/>
      <c r="N208" s="57"/>
      <c r="O208" s="24">
        <f t="shared" si="58"/>
        <v>86.7787775600662</v>
      </c>
      <c r="P208" s="27">
        <f t="shared" si="56"/>
        <v>68.21335646140503</v>
      </c>
      <c r="Q208" s="25">
        <f t="shared" si="57"/>
        <v>18.5904254235285</v>
      </c>
    </row>
    <row r="209" spans="1:17" ht="12.75">
      <c r="A209" s="28"/>
      <c r="B209" s="29"/>
      <c r="C209" s="30" t="s">
        <v>4</v>
      </c>
      <c r="D209" s="31">
        <f aca="true" t="shared" si="77" ref="D209:J209">D207+D197</f>
        <v>28679.399999999998</v>
      </c>
      <c r="E209" s="31">
        <f t="shared" si="77"/>
        <v>7542.599999999999</v>
      </c>
      <c r="F209" s="43">
        <f t="shared" si="77"/>
        <v>7542.599999999999</v>
      </c>
      <c r="G209" s="43">
        <f t="shared" si="77"/>
        <v>7225.299999999999</v>
      </c>
      <c r="H209" s="43">
        <f t="shared" si="77"/>
        <v>7623.299999999999</v>
      </c>
      <c r="I209" s="43">
        <f t="shared" si="77"/>
        <v>6288.2</v>
      </c>
      <c r="J209" s="31">
        <f t="shared" si="77"/>
        <v>5632.799999999999</v>
      </c>
      <c r="K209" s="34" t="e">
        <f>J209/#REF!*100</f>
        <v>#REF!</v>
      </c>
      <c r="L209" s="34">
        <f>J209/H209*100</f>
        <v>73.88926055645193</v>
      </c>
      <c r="M209" s="57"/>
      <c r="N209" s="58" t="e">
        <f>I209+#REF!+#REF!</f>
        <v>#REF!</v>
      </c>
      <c r="O209" s="43">
        <f t="shared" si="58"/>
        <v>89.57730352088036</v>
      </c>
      <c r="P209" s="34">
        <f t="shared" si="56"/>
        <v>74.67981863018056</v>
      </c>
      <c r="Q209" s="31">
        <f t="shared" si="57"/>
        <v>19.640578254775203</v>
      </c>
    </row>
    <row r="210" spans="1:17" ht="12.75">
      <c r="A210" s="96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8"/>
      <c r="M210" s="57"/>
      <c r="N210" s="57"/>
      <c r="O210" s="56"/>
      <c r="P210" s="34"/>
      <c r="Q210" s="31"/>
    </row>
    <row r="211" spans="1:17" ht="12.75">
      <c r="A211" s="86" t="s">
        <v>36</v>
      </c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8"/>
    </row>
    <row r="212" spans="1:17" ht="12.75">
      <c r="A212" s="32" t="s">
        <v>3</v>
      </c>
      <c r="B212" s="48"/>
      <c r="C212" s="33" t="s">
        <v>68</v>
      </c>
      <c r="D212" s="34">
        <f aca="true" t="shared" si="78" ref="D212:J212">D213+D215+D216+D217+D219+D220+D222+D224+D221+D218+D225+D223+D214</f>
        <v>939966.6000000001</v>
      </c>
      <c r="E212" s="34">
        <f t="shared" si="78"/>
        <v>219526.09999999995</v>
      </c>
      <c r="F212" s="34">
        <f t="shared" si="78"/>
        <v>219526.09999999995</v>
      </c>
      <c r="G212" s="34">
        <f t="shared" si="78"/>
        <v>253425.10000000006</v>
      </c>
      <c r="H212" s="34">
        <f t="shared" si="78"/>
        <v>219682.10000000003</v>
      </c>
      <c r="I212" s="34">
        <f t="shared" si="78"/>
        <v>247333.29999999996</v>
      </c>
      <c r="J212" s="34">
        <f t="shared" si="78"/>
        <v>262576.10000000003</v>
      </c>
      <c r="K212" s="34" t="e">
        <f>J212/#REF!*100</f>
        <v>#REF!</v>
      </c>
      <c r="L212" s="34">
        <f aca="true" t="shared" si="79" ref="L212:L223">J212/H212*100</f>
        <v>119.52548705606874</v>
      </c>
      <c r="M212" s="57"/>
      <c r="N212" s="57"/>
      <c r="O212" s="34">
        <f t="shared" si="58"/>
        <v>106.16285797343103</v>
      </c>
      <c r="P212" s="34">
        <f t="shared" si="56"/>
        <v>119.61042445522428</v>
      </c>
      <c r="Q212" s="31">
        <f t="shared" si="57"/>
        <v>27.934620230123073</v>
      </c>
    </row>
    <row r="213" spans="1:17" ht="12.75">
      <c r="A213" s="28" t="s">
        <v>23</v>
      </c>
      <c r="B213" s="49" t="s">
        <v>54</v>
      </c>
      <c r="C213" s="35" t="s">
        <v>22</v>
      </c>
      <c r="D213" s="44">
        <f>F213+G213+H213+I213</f>
        <v>685973.2</v>
      </c>
      <c r="E213" s="60">
        <f aca="true" t="shared" si="80" ref="E213:E229">F213</f>
        <v>159336</v>
      </c>
      <c r="F213" s="25">
        <f>F9+F31+F46+F64+F81+F99+F115+F132+F148+F165+F182+F198</f>
        <v>159336</v>
      </c>
      <c r="G213" s="25">
        <f>G9+G31+G46+G64+G81+G99+G115+G132+G148+G165+G182+G198</f>
        <v>189025.00000000003</v>
      </c>
      <c r="H213" s="25">
        <f>H9+H31+H46+H64+H81+H99+H115+H132+H148+H165+H182+H198</f>
        <v>157942.90000000002</v>
      </c>
      <c r="I213" s="25">
        <f>I9+I31+I46+I64+I81+I99+I115+I132+I148+I165+I182+I198</f>
        <v>179669.3</v>
      </c>
      <c r="J213" s="25">
        <f>J9+J31+J46+J64+J81+J99+J115+J132+J148+J165+J182+J198</f>
        <v>180940.7</v>
      </c>
      <c r="K213" s="27" t="e">
        <f>J213/#REF!*100</f>
        <v>#REF!</v>
      </c>
      <c r="L213" s="27">
        <f t="shared" si="79"/>
        <v>114.560831794275</v>
      </c>
      <c r="M213" s="57"/>
      <c r="N213" s="57"/>
      <c r="O213" s="24">
        <f t="shared" si="58"/>
        <v>100.7076334131652</v>
      </c>
      <c r="P213" s="27">
        <f t="shared" si="56"/>
        <v>113.55920821408847</v>
      </c>
      <c r="Q213" s="25">
        <f t="shared" si="57"/>
        <v>26.377225815819045</v>
      </c>
    </row>
    <row r="214" spans="1:17" ht="12.75">
      <c r="A214" s="19" t="s">
        <v>70</v>
      </c>
      <c r="B214" s="19"/>
      <c r="C214" s="35" t="s">
        <v>71</v>
      </c>
      <c r="D214" s="44">
        <f aca="true" t="shared" si="81" ref="D214:D229">F214+G214+H214+I214</f>
        <v>38564.4</v>
      </c>
      <c r="E214" s="60">
        <f t="shared" si="80"/>
        <v>9035.800000000001</v>
      </c>
      <c r="F214" s="25">
        <f>F10+F32+F47+F65+F82+F100+F117+F133+F149+F166+F183+F199</f>
        <v>9035.800000000001</v>
      </c>
      <c r="G214" s="25">
        <f>G10+G32+G47+G65+G82+G100+G117+G133+G149+G166+G183+G199</f>
        <v>9459.699999999999</v>
      </c>
      <c r="H214" s="25">
        <f>H10+H32+H47+H65+H82+H100+H117+H133+H149+H166+H183+H199</f>
        <v>10173.6</v>
      </c>
      <c r="I214" s="25">
        <f>I10+I32+I47+I65+I82+I100+I117+I133+I149+I166+I183+I199</f>
        <v>9895.300000000001</v>
      </c>
      <c r="J214" s="25">
        <f>J10+J32+J47+J65+J82+J100+J117+J133+J149+J166+J183+J199+0.1</f>
        <v>9915.300000000001</v>
      </c>
      <c r="K214" s="25">
        <f>K10</f>
        <v>0</v>
      </c>
      <c r="L214" s="25">
        <f>L10</f>
        <v>0</v>
      </c>
      <c r="M214" s="25">
        <f>M10</f>
        <v>0</v>
      </c>
      <c r="N214" s="25">
        <f>N10</f>
        <v>0</v>
      </c>
      <c r="O214" s="25">
        <f>O10</f>
        <v>0</v>
      </c>
      <c r="P214" s="27">
        <f t="shared" si="56"/>
        <v>109.7335045043051</v>
      </c>
      <c r="Q214" s="25">
        <f t="shared" si="57"/>
        <v>25.711018452251302</v>
      </c>
    </row>
    <row r="215" spans="1:17" ht="12.75">
      <c r="A215" s="19" t="s">
        <v>8</v>
      </c>
      <c r="B215" s="47" t="s">
        <v>55</v>
      </c>
      <c r="C215" s="35" t="s">
        <v>5</v>
      </c>
      <c r="D215" s="44">
        <f>F215+G215+H215+I215</f>
        <v>38566.8</v>
      </c>
      <c r="E215" s="60">
        <f t="shared" si="80"/>
        <v>8918.9</v>
      </c>
      <c r="F215" s="25">
        <f>F11+F48+F66+F200+F150+F116+F184+F83+F101+F167</f>
        <v>8918.9</v>
      </c>
      <c r="G215" s="25">
        <f>G11+G48+G66+G200+G150+G116+G184+G83+G101+G167</f>
        <v>12380.4</v>
      </c>
      <c r="H215" s="25">
        <f>H11+H48+H66+H200+H150+H116+H184+H83+H101+H167</f>
        <v>8838.1</v>
      </c>
      <c r="I215" s="25">
        <f>I11+I48+I66+I200+I150+I116+I184+I83+I101+I167</f>
        <v>8429.399999999998</v>
      </c>
      <c r="J215" s="25">
        <f>J11+J48+J66+J200+J150+J116+J184+J83+J101+J167+J118</f>
        <v>12545</v>
      </c>
      <c r="K215" s="27" t="e">
        <f>J215/#REF!*100</f>
        <v>#REF!</v>
      </c>
      <c r="L215" s="27">
        <f t="shared" si="79"/>
        <v>141.94227266041344</v>
      </c>
      <c r="M215" s="57"/>
      <c r="N215" s="57"/>
      <c r="O215" s="24">
        <f t="shared" si="58"/>
        <v>148.82435286022735</v>
      </c>
      <c r="P215" s="27">
        <f t="shared" si="56"/>
        <v>140.65635896803417</v>
      </c>
      <c r="Q215" s="25">
        <f t="shared" si="57"/>
        <v>32.527977431365834</v>
      </c>
    </row>
    <row r="216" spans="1:17" ht="12.75">
      <c r="A216" s="19" t="s">
        <v>9</v>
      </c>
      <c r="B216" s="47" t="s">
        <v>56</v>
      </c>
      <c r="C216" s="35" t="s">
        <v>6</v>
      </c>
      <c r="D216" s="44">
        <f t="shared" si="81"/>
        <v>20925.8</v>
      </c>
      <c r="E216" s="60">
        <f t="shared" si="80"/>
        <v>4495.5</v>
      </c>
      <c r="F216" s="25">
        <f>F12+F33+F49+F67+F84+F102+F119+F134+F151+F168+F185+F201</f>
        <v>4495.5</v>
      </c>
      <c r="G216" s="25">
        <f>G12+G33+G49+G67+G84+G102+G119+G134+G151+G168+G185+G201</f>
        <v>3459.6</v>
      </c>
      <c r="H216" s="25">
        <f>H12+H33+H49+H67+H84+H102+H119+H134+H151+H168+H185+H201</f>
        <v>3902.2</v>
      </c>
      <c r="I216" s="25">
        <f>I12+I33+I49+I67+I84+I102+I119+I134+I151+I168+I185+I201</f>
        <v>9068.5</v>
      </c>
      <c r="J216" s="25">
        <f>J12+J33+J49+J67+J84+J102+J119+J134+J151+J168+J185+J201</f>
        <v>3374.2000000000003</v>
      </c>
      <c r="K216" s="27" t="e">
        <f>J216/#REF!*100</f>
        <v>#REF!</v>
      </c>
      <c r="L216" s="27">
        <f t="shared" si="79"/>
        <v>86.46917123673826</v>
      </c>
      <c r="M216" s="57"/>
      <c r="N216" s="57"/>
      <c r="O216" s="24">
        <f t="shared" si="58"/>
        <v>37.20791751667861</v>
      </c>
      <c r="P216" s="27">
        <f t="shared" si="56"/>
        <v>75.05727950172394</v>
      </c>
      <c r="Q216" s="25">
        <f t="shared" si="57"/>
        <v>16.12459260816791</v>
      </c>
    </row>
    <row r="217" spans="1:17" ht="12.75">
      <c r="A217" s="19" t="s">
        <v>10</v>
      </c>
      <c r="B217" s="47" t="s">
        <v>49</v>
      </c>
      <c r="C217" s="35" t="s">
        <v>21</v>
      </c>
      <c r="D217" s="44">
        <f t="shared" si="81"/>
        <v>4252.400000000001</v>
      </c>
      <c r="E217" s="60">
        <f t="shared" si="80"/>
        <v>1064.8000000000002</v>
      </c>
      <c r="F217" s="25">
        <f>F13+F34+F68+F85+F103+F120+F135+F152+F169+F186+F202</f>
        <v>1064.8000000000002</v>
      </c>
      <c r="G217" s="25">
        <f>G13+G34+G68+G85+G103+G120+G135+G152+G169+G186+G202</f>
        <v>1071.1</v>
      </c>
      <c r="H217" s="25">
        <f>H13+H34+H68+H85+H103+H120+H135+H152+H169+H186+H202</f>
        <v>1038.8000000000002</v>
      </c>
      <c r="I217" s="25">
        <f>I13+I34+I68+I85+I103+I120+I135+I152+I169+I186+I202</f>
        <v>1077.7</v>
      </c>
      <c r="J217" s="25">
        <f>J13+J34+J50+J68+J85+J103+J120+J135+J152+J169+J186+J202-0.1</f>
        <v>1025</v>
      </c>
      <c r="K217" s="27" t="e">
        <f>J217/#REF!*100</f>
        <v>#REF!</v>
      </c>
      <c r="L217" s="27">
        <f t="shared" si="79"/>
        <v>98.67154408933384</v>
      </c>
      <c r="M217" s="57"/>
      <c r="N217" s="57"/>
      <c r="O217" s="24">
        <f t="shared" si="58"/>
        <v>95.10995638860535</v>
      </c>
      <c r="P217" s="27">
        <f t="shared" si="56"/>
        <v>96.26220886551464</v>
      </c>
      <c r="Q217" s="25">
        <f t="shared" si="57"/>
        <v>24.104035368262625</v>
      </c>
    </row>
    <row r="218" spans="1:17" ht="24" hidden="1">
      <c r="A218" s="19" t="s">
        <v>37</v>
      </c>
      <c r="B218" s="47" t="s">
        <v>57</v>
      </c>
      <c r="C218" s="35" t="s">
        <v>38</v>
      </c>
      <c r="D218" s="44">
        <f t="shared" si="81"/>
        <v>0</v>
      </c>
      <c r="E218" s="60">
        <f t="shared" si="80"/>
        <v>0</v>
      </c>
      <c r="F218" s="50">
        <f>F14</f>
        <v>0</v>
      </c>
      <c r="G218" s="50">
        <f>G14</f>
        <v>0</v>
      </c>
      <c r="H218" s="50">
        <f>H14</f>
        <v>0</v>
      </c>
      <c r="I218" s="50">
        <f>I14</f>
        <v>0</v>
      </c>
      <c r="J218" s="50">
        <f>J14</f>
        <v>0</v>
      </c>
      <c r="K218" s="27" t="e">
        <f>J218/#REF!*100</f>
        <v>#REF!</v>
      </c>
      <c r="L218" s="27"/>
      <c r="M218" s="57"/>
      <c r="N218" s="57"/>
      <c r="O218" s="24" t="e">
        <f t="shared" si="58"/>
        <v>#DIV/0!</v>
      </c>
      <c r="P218" s="27"/>
      <c r="Q218" s="25"/>
    </row>
    <row r="219" spans="1:17" ht="24">
      <c r="A219" s="20" t="s">
        <v>11</v>
      </c>
      <c r="B219" s="51" t="s">
        <v>48</v>
      </c>
      <c r="C219" s="35" t="s">
        <v>17</v>
      </c>
      <c r="D219" s="44">
        <f t="shared" si="81"/>
        <v>112296</v>
      </c>
      <c r="E219" s="60">
        <f t="shared" si="80"/>
        <v>27309.8</v>
      </c>
      <c r="F219" s="25">
        <f>F15+F35+F51+F69+F86+F104+F121+F136+F153+F170+F187+F203</f>
        <v>27309.8</v>
      </c>
      <c r="G219" s="25">
        <f>G15+G35+G51+G69+G86+G104+G121+G136+G153+G170+G187+G203</f>
        <v>27712.7</v>
      </c>
      <c r="H219" s="25">
        <f>H15+H35+H51+H69+H86+H104+H121+H136+H153+H170+H187+H203</f>
        <v>28063.500000000004</v>
      </c>
      <c r="I219" s="25">
        <f>I15+I35+I51+I69+I86+I104+I121+I136+I153+I170+I187+I203</f>
        <v>29210</v>
      </c>
      <c r="J219" s="25">
        <f>J15+J35+J51+J69+J86+J104+J121+J136+J153+J170+J187+J203+0.1</f>
        <v>29759.499999999996</v>
      </c>
      <c r="K219" s="27" t="e">
        <f>J219/#REF!*100</f>
        <v>#REF!</v>
      </c>
      <c r="L219" s="27">
        <f t="shared" si="79"/>
        <v>106.04343720491028</v>
      </c>
      <c r="M219" s="57"/>
      <c r="N219" s="57"/>
      <c r="O219" s="24">
        <f t="shared" si="58"/>
        <v>101.88120506675794</v>
      </c>
      <c r="P219" s="27">
        <f aca="true" t="shared" si="82" ref="P219:P230">J219*100/E219</f>
        <v>108.97004005887995</v>
      </c>
      <c r="Q219" s="25">
        <f aca="true" t="shared" si="83" ref="Q219:Q230">J219*100/D219</f>
        <v>26.500943933889005</v>
      </c>
    </row>
    <row r="220" spans="1:17" ht="12.75">
      <c r="A220" s="36" t="s">
        <v>14</v>
      </c>
      <c r="B220" s="52" t="s">
        <v>47</v>
      </c>
      <c r="C220" s="35" t="s">
        <v>13</v>
      </c>
      <c r="D220" s="44">
        <f t="shared" si="81"/>
        <v>5108.6</v>
      </c>
      <c r="E220" s="60">
        <f t="shared" si="80"/>
        <v>1277</v>
      </c>
      <c r="F220" s="25">
        <f>F16</f>
        <v>1277</v>
      </c>
      <c r="G220" s="25">
        <f>G16</f>
        <v>1277.1</v>
      </c>
      <c r="H220" s="25">
        <f>H16</f>
        <v>1277.1</v>
      </c>
      <c r="I220" s="25">
        <f>I16</f>
        <v>1277.4</v>
      </c>
      <c r="J220" s="25">
        <f>J16</f>
        <v>3585.2</v>
      </c>
      <c r="K220" s="27" t="e">
        <f>J220/#REF!*100</f>
        <v>#REF!</v>
      </c>
      <c r="L220" s="27">
        <f t="shared" si="79"/>
        <v>280.729778404197</v>
      </c>
      <c r="M220" s="57"/>
      <c r="N220" s="57"/>
      <c r="O220" s="24">
        <f t="shared" si="58"/>
        <v>280.6638484421481</v>
      </c>
      <c r="P220" s="27">
        <f t="shared" si="82"/>
        <v>280.7517619420517</v>
      </c>
      <c r="Q220" s="25">
        <f t="shared" si="83"/>
        <v>70.1796969815605</v>
      </c>
    </row>
    <row r="221" spans="1:17" ht="12.75">
      <c r="A221" s="37" t="s">
        <v>42</v>
      </c>
      <c r="B221" s="53" t="s">
        <v>58</v>
      </c>
      <c r="C221" s="35" t="s">
        <v>43</v>
      </c>
      <c r="D221" s="44">
        <f t="shared" si="81"/>
        <v>15859.9</v>
      </c>
      <c r="E221" s="60">
        <f t="shared" si="80"/>
        <v>3654.3</v>
      </c>
      <c r="F221" s="54">
        <f>F17+F87+F52+F105+F137+F154+F171+F188+F122+F70+F36</f>
        <v>3654.3</v>
      </c>
      <c r="G221" s="54">
        <f>G17+G87+G52+G105+G137+G154+G171+G188+G122+G70+G36</f>
        <v>4064.8999999999996</v>
      </c>
      <c r="H221" s="54">
        <f>H17+H87+H52+H105+H137+H154+H171+H188+H122+H70+H36</f>
        <v>3983.3</v>
      </c>
      <c r="I221" s="54">
        <f>I17+I87+I52+I105+I137+I154+I171+I188+I122+I70+I36</f>
        <v>4157.4</v>
      </c>
      <c r="J221" s="54">
        <f aca="true" t="shared" si="84" ref="J221:O221">J17+J87+J52+J105+J137+J154+J171+J188+J122+J70+J36</f>
        <v>4267.1</v>
      </c>
      <c r="K221" s="54" t="e">
        <f t="shared" si="84"/>
        <v>#REF!</v>
      </c>
      <c r="L221" s="54">
        <f t="shared" si="84"/>
        <v>1377.4461125415148</v>
      </c>
      <c r="M221" s="54">
        <f t="shared" si="84"/>
        <v>0</v>
      </c>
      <c r="N221" s="54">
        <f t="shared" si="84"/>
        <v>0</v>
      </c>
      <c r="O221" s="54" t="e">
        <f t="shared" si="84"/>
        <v>#DIV/0!</v>
      </c>
      <c r="P221" s="27">
        <f t="shared" si="82"/>
        <v>116.76928549927484</v>
      </c>
      <c r="Q221" s="25">
        <f t="shared" si="83"/>
        <v>26.904961569745083</v>
      </c>
    </row>
    <row r="222" spans="1:17" ht="12.75">
      <c r="A222" s="37" t="s">
        <v>18</v>
      </c>
      <c r="B222" s="53" t="s">
        <v>53</v>
      </c>
      <c r="C222" s="35" t="s">
        <v>15</v>
      </c>
      <c r="D222" s="44">
        <f t="shared" si="81"/>
        <v>13944</v>
      </c>
      <c r="E222" s="60">
        <f t="shared" si="80"/>
        <v>3314.9</v>
      </c>
      <c r="F222" s="25">
        <f>F18+F37+F53+F71+F88+F106+F123+F155+F172+F189+F204+F138</f>
        <v>3314.9</v>
      </c>
      <c r="G222" s="25">
        <f>G18+G37+G53+G71+G88+G106+G123+G155+G172+G189+G204+G138</f>
        <v>3859.9</v>
      </c>
      <c r="H222" s="25">
        <f>H18+H37+H53+H71+H88+H106+H123+H155+H172+H189+H204+H138</f>
        <v>3348.9</v>
      </c>
      <c r="I222" s="25">
        <f>I18+I37+I53+I71+I88+I106+I123+I155+I172+I189+I204+I138</f>
        <v>3420.3</v>
      </c>
      <c r="J222" s="25">
        <f>J18+J37+J53+J71+J88+J123+J155+J172+J189+J204+J138+0.1</f>
        <v>5327.6</v>
      </c>
      <c r="K222" s="27" t="e">
        <f>J222/#REF!*100</f>
        <v>#REF!</v>
      </c>
      <c r="L222" s="27">
        <f t="shared" si="79"/>
        <v>159.08507271044223</v>
      </c>
      <c r="M222" s="57"/>
      <c r="N222" s="57"/>
      <c r="O222" s="24">
        <f aca="true" t="shared" si="85" ref="O222:O230">J222*100/I222</f>
        <v>155.7641142589831</v>
      </c>
      <c r="P222" s="27">
        <f t="shared" si="82"/>
        <v>160.71676370327913</v>
      </c>
      <c r="Q222" s="25">
        <f t="shared" si="83"/>
        <v>38.20711417096959</v>
      </c>
    </row>
    <row r="223" spans="1:17" ht="12.75">
      <c r="A223" s="37" t="s">
        <v>60</v>
      </c>
      <c r="B223" s="37"/>
      <c r="C223" s="35" t="s">
        <v>61</v>
      </c>
      <c r="D223" s="44">
        <f t="shared" si="81"/>
        <v>6</v>
      </c>
      <c r="E223" s="60">
        <f t="shared" si="80"/>
        <v>1</v>
      </c>
      <c r="F223" s="25">
        <f>F19</f>
        <v>1</v>
      </c>
      <c r="G223" s="25">
        <f>G19</f>
        <v>2</v>
      </c>
      <c r="H223" s="25">
        <f>H19</f>
        <v>1</v>
      </c>
      <c r="I223" s="25">
        <f>I19</f>
        <v>2</v>
      </c>
      <c r="J223" s="25">
        <f>J19</f>
        <v>6</v>
      </c>
      <c r="K223" s="27" t="e">
        <f>J223/#REF!*100</f>
        <v>#REF!</v>
      </c>
      <c r="L223" s="27">
        <f t="shared" si="79"/>
        <v>600</v>
      </c>
      <c r="M223" s="57"/>
      <c r="N223" s="57"/>
      <c r="O223" s="24">
        <f t="shared" si="85"/>
        <v>300</v>
      </c>
      <c r="P223" s="27">
        <f t="shared" si="82"/>
        <v>600</v>
      </c>
      <c r="Q223" s="25">
        <f t="shared" si="83"/>
        <v>100</v>
      </c>
    </row>
    <row r="224" spans="1:17" ht="12.75">
      <c r="A224" s="28" t="s">
        <v>12</v>
      </c>
      <c r="B224" s="49" t="s">
        <v>50</v>
      </c>
      <c r="C224" s="35" t="s">
        <v>7</v>
      </c>
      <c r="D224" s="44">
        <f t="shared" si="81"/>
        <v>4469.5</v>
      </c>
      <c r="E224" s="60">
        <f t="shared" si="80"/>
        <v>1118.1</v>
      </c>
      <c r="F224" s="25">
        <f>F20+F190+F205+F72+F139+F54+F156+F89+F173</f>
        <v>1118.1</v>
      </c>
      <c r="G224" s="25">
        <f aca="true" t="shared" si="86" ref="G224:O224">G20+G190+G205+G72+G139+G54+G156+G89</f>
        <v>1112.7</v>
      </c>
      <c r="H224" s="25">
        <f t="shared" si="86"/>
        <v>1112.7</v>
      </c>
      <c r="I224" s="25">
        <f t="shared" si="86"/>
        <v>1126</v>
      </c>
      <c r="J224" s="25">
        <f>J20+J190+J205+J72+J139+J54+J156+J89+J173+J106</f>
        <v>11614.2</v>
      </c>
      <c r="K224" s="25" t="e">
        <f t="shared" si="86"/>
        <v>#REF!</v>
      </c>
      <c r="L224" s="25">
        <f t="shared" si="86"/>
        <v>1037.6651388514424</v>
      </c>
      <c r="M224" s="25">
        <f t="shared" si="86"/>
        <v>0</v>
      </c>
      <c r="N224" s="25">
        <f t="shared" si="86"/>
        <v>0</v>
      </c>
      <c r="O224" s="25" t="e">
        <f t="shared" si="86"/>
        <v>#DIV/0!</v>
      </c>
      <c r="P224" s="27">
        <f t="shared" si="82"/>
        <v>1038.744298363295</v>
      </c>
      <c r="Q224" s="25">
        <f t="shared" si="83"/>
        <v>259.8545698624007</v>
      </c>
    </row>
    <row r="225" spans="1:17" ht="12.75">
      <c r="A225" s="38" t="s">
        <v>39</v>
      </c>
      <c r="B225" s="55" t="s">
        <v>57</v>
      </c>
      <c r="C225" s="23" t="s">
        <v>40</v>
      </c>
      <c r="D225" s="44">
        <v>0</v>
      </c>
      <c r="E225" s="60">
        <f t="shared" si="80"/>
        <v>0</v>
      </c>
      <c r="F225" s="25">
        <v>0</v>
      </c>
      <c r="G225" s="25">
        <f>G21+G38+G55+G73+G90+G107+G125+G140+G157+G174+G191+G206</f>
        <v>0</v>
      </c>
      <c r="H225" s="25">
        <f>H21+H38+H55+H73+H90+H107+H125+H140+H157+H174+H191+H206</f>
        <v>0</v>
      </c>
      <c r="I225" s="25">
        <f>I21+I38+I55+I73+I90+I107+I125+I140+I157+I174+I191+I206</f>
        <v>0</v>
      </c>
      <c r="J225" s="25">
        <f>J21+J38+J55+J73+J90+J107+J125+J140+J157+J174+J191+J206-0.1</f>
        <v>216.3</v>
      </c>
      <c r="K225" s="27"/>
      <c r="L225" s="27"/>
      <c r="M225" s="57"/>
      <c r="N225" s="57"/>
      <c r="O225" s="24" t="e">
        <f t="shared" si="85"/>
        <v>#DIV/0!</v>
      </c>
      <c r="P225" s="27"/>
      <c r="Q225" s="25"/>
    </row>
    <row r="226" spans="1:17" ht="12.75">
      <c r="A226" s="32" t="s">
        <v>1</v>
      </c>
      <c r="B226" s="48"/>
      <c r="C226" s="39" t="s">
        <v>0</v>
      </c>
      <c r="D226" s="40">
        <f aca="true" t="shared" si="87" ref="D226:I226">D227+D228+D229</f>
        <v>2447068.7</v>
      </c>
      <c r="E226" s="40">
        <f t="shared" si="87"/>
        <v>614589</v>
      </c>
      <c r="F226" s="40">
        <f t="shared" si="87"/>
        <v>614589</v>
      </c>
      <c r="G226" s="40">
        <f t="shared" si="87"/>
        <v>697793.4</v>
      </c>
      <c r="H226" s="40">
        <f t="shared" si="87"/>
        <v>524527.6</v>
      </c>
      <c r="I226" s="40">
        <f t="shared" si="87"/>
        <v>610158.7</v>
      </c>
      <c r="J226" s="40">
        <f>J227+J228+J229+0.1</f>
        <v>502746.39999999997</v>
      </c>
      <c r="K226" s="34" t="e">
        <f>J226/#REF!*100</f>
        <v>#REF!</v>
      </c>
      <c r="L226" s="34">
        <f>J226/H226*100</f>
        <v>95.84746350811663</v>
      </c>
      <c r="M226" s="57"/>
      <c r="N226" s="57"/>
      <c r="O226" s="43">
        <f t="shared" si="85"/>
        <v>82.39600615380884</v>
      </c>
      <c r="P226" s="34">
        <f t="shared" si="82"/>
        <v>81.80204982516771</v>
      </c>
      <c r="Q226" s="31">
        <f t="shared" si="83"/>
        <v>20.544842079832083</v>
      </c>
    </row>
    <row r="227" spans="1:17" ht="24">
      <c r="A227" s="21" t="s">
        <v>67</v>
      </c>
      <c r="B227" s="47" t="s">
        <v>51</v>
      </c>
      <c r="C227" s="41" t="s">
        <v>20</v>
      </c>
      <c r="D227" s="44">
        <f t="shared" si="81"/>
        <v>2421397</v>
      </c>
      <c r="E227" s="60">
        <f>F227</f>
        <v>596417.3</v>
      </c>
      <c r="F227" s="24">
        <f>F23-366.1</f>
        <v>596417.3</v>
      </c>
      <c r="G227" s="24">
        <f>G23</f>
        <v>695293.4</v>
      </c>
      <c r="H227" s="24">
        <f>H23</f>
        <v>522027.6</v>
      </c>
      <c r="I227" s="24">
        <f>I23</f>
        <v>607658.7</v>
      </c>
      <c r="J227" s="24">
        <f>J23-14</f>
        <v>502193.7</v>
      </c>
      <c r="K227" s="27" t="e">
        <f>J227/#REF!*100</f>
        <v>#REF!</v>
      </c>
      <c r="L227" s="27">
        <f>J227/H227*100</f>
        <v>96.20060318649818</v>
      </c>
      <c r="M227" s="57"/>
      <c r="N227" s="57"/>
      <c r="O227" s="24">
        <f t="shared" si="85"/>
        <v>82.64404014951157</v>
      </c>
      <c r="P227" s="27">
        <f t="shared" si="82"/>
        <v>84.20173257885041</v>
      </c>
      <c r="Q227" s="25">
        <f t="shared" si="83"/>
        <v>20.73983324502343</v>
      </c>
    </row>
    <row r="228" spans="1:17" ht="12.75">
      <c r="A228" s="21" t="s">
        <v>2</v>
      </c>
      <c r="B228" s="21" t="s">
        <v>52</v>
      </c>
      <c r="C228" s="42" t="s">
        <v>19</v>
      </c>
      <c r="D228" s="44">
        <f t="shared" si="81"/>
        <v>30060</v>
      </c>
      <c r="E228" s="60">
        <f t="shared" si="80"/>
        <v>22560</v>
      </c>
      <c r="F228" s="25">
        <f>F24+F94+F177</f>
        <v>22560</v>
      </c>
      <c r="G228" s="25">
        <f>G24+G94+G110+G177+G143+G58+G41+G160</f>
        <v>2500</v>
      </c>
      <c r="H228" s="25">
        <f>H24+H94+H110+H177+H143+H58+H41+H160</f>
        <v>2500</v>
      </c>
      <c r="I228" s="25">
        <f>I24+I94+I110+I177+I143+I58+I41+I160</f>
        <v>2500</v>
      </c>
      <c r="J228" s="25">
        <f>J24+J94+J177</f>
        <v>4873.1</v>
      </c>
      <c r="K228" s="27" t="e">
        <f>J228/#REF!*100</f>
        <v>#REF!</v>
      </c>
      <c r="L228" s="27">
        <f>J228/H228*100</f>
        <v>194.924</v>
      </c>
      <c r="M228" s="57"/>
      <c r="N228" s="57"/>
      <c r="O228" s="24">
        <f t="shared" si="85"/>
        <v>194.92400000000004</v>
      </c>
      <c r="P228" s="27">
        <f t="shared" si="82"/>
        <v>21.600620567375888</v>
      </c>
      <c r="Q228" s="25">
        <f t="shared" si="83"/>
        <v>16.21124417831005</v>
      </c>
    </row>
    <row r="229" spans="1:17" ht="24">
      <c r="A229" s="21" t="s">
        <v>66</v>
      </c>
      <c r="B229" s="22"/>
      <c r="C229" s="26" t="s">
        <v>63</v>
      </c>
      <c r="D229" s="44">
        <f t="shared" si="81"/>
        <v>-4388.3</v>
      </c>
      <c r="E229" s="60">
        <f t="shared" si="80"/>
        <v>-4388.3</v>
      </c>
      <c r="F229" s="25">
        <f>F26+F41</f>
        <v>-4388.3</v>
      </c>
      <c r="G229" s="25">
        <f>G26</f>
        <v>0</v>
      </c>
      <c r="H229" s="25">
        <f>H26</f>
        <v>0</v>
      </c>
      <c r="I229" s="25">
        <f>I26</f>
        <v>0</v>
      </c>
      <c r="J229" s="25">
        <f>J26</f>
        <v>-4320.5</v>
      </c>
      <c r="K229" s="27" t="e">
        <f>J229/#REF!*100</f>
        <v>#REF!</v>
      </c>
      <c r="L229" s="27"/>
      <c r="M229" s="57"/>
      <c r="N229" s="57"/>
      <c r="O229" s="24" t="e">
        <f t="shared" si="85"/>
        <v>#DIV/0!</v>
      </c>
      <c r="P229" s="27">
        <f>J229*100/E229</f>
        <v>98.45498256728118</v>
      </c>
      <c r="Q229" s="25">
        <f>J229*100/D229</f>
        <v>98.45498256728118</v>
      </c>
    </row>
    <row r="230" spans="1:17" ht="12.75">
      <c r="A230" s="28"/>
      <c r="B230" s="29"/>
      <c r="C230" s="30" t="s">
        <v>4</v>
      </c>
      <c r="D230" s="31">
        <f aca="true" t="shared" si="88" ref="D230:J230">D226+D212</f>
        <v>3387035.3000000003</v>
      </c>
      <c r="E230" s="31">
        <f t="shared" si="88"/>
        <v>834115.1</v>
      </c>
      <c r="F230" s="31">
        <f t="shared" si="88"/>
        <v>834115.1</v>
      </c>
      <c r="G230" s="31">
        <f t="shared" si="88"/>
        <v>951218.5000000001</v>
      </c>
      <c r="H230" s="31">
        <f t="shared" si="88"/>
        <v>744209.7</v>
      </c>
      <c r="I230" s="31">
        <f t="shared" si="88"/>
        <v>857491.9999999999</v>
      </c>
      <c r="J230" s="31">
        <f t="shared" si="88"/>
        <v>765322.5</v>
      </c>
      <c r="K230" s="34" t="e">
        <f>J230/#REF!*100</f>
        <v>#REF!</v>
      </c>
      <c r="L230" s="34">
        <f>J230/H230*100</f>
        <v>102.83694232956115</v>
      </c>
      <c r="M230" s="57"/>
      <c r="N230" s="58" t="e">
        <f>I230+#REF!+#REF!</f>
        <v>#REF!</v>
      </c>
      <c r="O230" s="43">
        <f t="shared" si="85"/>
        <v>89.25126998269373</v>
      </c>
      <c r="P230" s="34">
        <f t="shared" si="82"/>
        <v>91.7526250274093</v>
      </c>
      <c r="Q230" s="31">
        <f t="shared" si="83"/>
        <v>22.595645814497413</v>
      </c>
    </row>
    <row r="231" spans="3:8" ht="12.75">
      <c r="C231" s="8"/>
      <c r="D231" s="8"/>
      <c r="E231" s="8"/>
      <c r="F231" s="8"/>
      <c r="G231" s="8"/>
      <c r="H231" s="2"/>
    </row>
    <row r="232" spans="3:11" ht="12.75">
      <c r="C232" s="9" t="s">
        <v>59</v>
      </c>
      <c r="D232" s="9"/>
      <c r="E232" s="9"/>
      <c r="F232" s="9"/>
      <c r="G232" s="9"/>
      <c r="H232" s="3"/>
      <c r="I232" s="3"/>
      <c r="J232" s="5"/>
      <c r="K232" s="5"/>
    </row>
    <row r="233" spans="3:12" ht="12.75" hidden="1">
      <c r="C233" s="9"/>
      <c r="D233" s="9"/>
      <c r="E233" s="9"/>
      <c r="F233" s="9"/>
      <c r="G233" s="9"/>
      <c r="H233" s="3" t="s">
        <v>62</v>
      </c>
      <c r="I233" s="3">
        <f>I232-I212</f>
        <v>-247333.29999999996</v>
      </c>
      <c r="J233" s="4"/>
      <c r="K233" s="5"/>
      <c r="L233" s="2" t="e">
        <f>N27+N42+N60+N77+N95+N111+N128+N144+N161+N178+N194+N209-#REF!-#REF!-#REF!-#REF!-#REF!-#REF!-#REF!-#REF!-#REF!-#REF!-#REF!-#REF!-5301.3-7951.9-535.1-7243.1</f>
        <v>#REF!</v>
      </c>
    </row>
    <row r="234" spans="1:12" ht="12.75" hidden="1">
      <c r="A234" s="2"/>
      <c r="C234" s="9"/>
      <c r="D234" s="9"/>
      <c r="E234" s="9"/>
      <c r="F234" s="9"/>
      <c r="G234" s="9"/>
      <c r="H234" s="6"/>
      <c r="I234" s="3"/>
      <c r="J234" s="5"/>
      <c r="K234" s="5"/>
      <c r="L234" s="2" t="e">
        <f>N230-L233</f>
        <v>#REF!</v>
      </c>
    </row>
    <row r="235" spans="3:11" ht="12.75" hidden="1">
      <c r="C235" s="10"/>
      <c r="D235" s="10"/>
      <c r="E235" s="10"/>
      <c r="F235" s="10"/>
      <c r="G235" s="10"/>
      <c r="H235" s="3"/>
      <c r="I235" s="3">
        <f>I234-I226</f>
        <v>-610158.7</v>
      </c>
      <c r="J235" s="5"/>
      <c r="K235" s="5"/>
    </row>
    <row r="236" spans="3:11" ht="12.75" hidden="1">
      <c r="C236" s="10"/>
      <c r="D236" s="10"/>
      <c r="E236" s="10"/>
      <c r="F236" s="10"/>
      <c r="G236" s="10"/>
      <c r="H236" s="6"/>
      <c r="I236" s="3" t="e">
        <f>#REF!+#REF!+#REF!+#REF!+#REF!+#REF!+#REF!+#REF!+#REF!+#REF!</f>
        <v>#REF!</v>
      </c>
      <c r="J236" s="5"/>
      <c r="K236" s="5"/>
    </row>
    <row r="237" spans="1:11" ht="12.75" hidden="1">
      <c r="A237" s="2">
        <f>I212+I226</f>
        <v>857491.9999999999</v>
      </c>
      <c r="C237" s="18"/>
      <c r="D237" s="18"/>
      <c r="E237" s="18"/>
      <c r="F237" s="18"/>
      <c r="G237" s="18"/>
      <c r="H237" s="6"/>
      <c r="I237" s="3" t="e">
        <f>I236-#REF!</f>
        <v>#REF!</v>
      </c>
      <c r="J237" s="5"/>
      <c r="K237" s="5"/>
    </row>
    <row r="238" spans="1:11" ht="12.75" hidden="1">
      <c r="A238" s="2" t="e">
        <f>#REF!+#REF!</f>
        <v>#REF!</v>
      </c>
      <c r="C238" s="10"/>
      <c r="D238" s="10"/>
      <c r="E238" s="10"/>
      <c r="F238" s="10"/>
      <c r="G238" s="10"/>
      <c r="H238" s="6"/>
      <c r="I238" s="3" t="e">
        <f>I232+I234+I236</f>
        <v>#REF!</v>
      </c>
      <c r="J238" s="5"/>
      <c r="K238" s="5"/>
    </row>
    <row r="239" spans="1:11" ht="12.75" hidden="1">
      <c r="A239" s="2" t="e">
        <f>I212+#REF!</f>
        <v>#REF!</v>
      </c>
      <c r="C239" s="9"/>
      <c r="D239" s="9"/>
      <c r="E239" s="9"/>
      <c r="F239" s="9"/>
      <c r="G239" s="9"/>
      <c r="H239" s="6"/>
      <c r="I239" s="3">
        <f>I27+I42+I60+I77+I95+I111+I128+I144+I161+I178+I194+I209-I207-I192-I175-I158-I141-I126-I108-I92-I74-I39-I56</f>
        <v>857492</v>
      </c>
      <c r="J239" s="5"/>
      <c r="K239" s="5"/>
    </row>
    <row r="240" spans="1:11" ht="12.75" hidden="1">
      <c r="A240" s="2" t="e">
        <f>I226+#REF!</f>
        <v>#REF!</v>
      </c>
      <c r="C240" s="9"/>
      <c r="D240" s="9"/>
      <c r="E240" s="9"/>
      <c r="F240" s="9"/>
      <c r="G240" s="9"/>
      <c r="H240" s="6"/>
      <c r="I240" s="3">
        <f>I239-I230</f>
        <v>0</v>
      </c>
      <c r="J240" s="5"/>
      <c r="K240" s="5"/>
    </row>
    <row r="241" spans="3:11" ht="12.75" hidden="1">
      <c r="C241" s="9"/>
      <c r="D241" s="9"/>
      <c r="E241" s="9"/>
      <c r="F241" s="9"/>
      <c r="G241" s="9"/>
      <c r="H241" s="6"/>
      <c r="I241" s="3"/>
      <c r="J241" s="5"/>
      <c r="K241" s="5"/>
    </row>
    <row r="242" spans="3:11" ht="12.75" hidden="1">
      <c r="C242" s="8"/>
      <c r="D242" s="8"/>
      <c r="E242" s="8"/>
      <c r="F242" s="8"/>
      <c r="G242" s="8"/>
      <c r="H242" s="5"/>
      <c r="I242" s="4"/>
      <c r="J242" s="5"/>
      <c r="K242" s="5"/>
    </row>
    <row r="243" spans="3:11" ht="12.75">
      <c r="C243" s="8"/>
      <c r="D243" s="8"/>
      <c r="E243" s="8"/>
      <c r="F243" s="61">
        <f>F8+F30+F45+F63+F80+F98+F114+F131+F147+F164+F181+F197</f>
        <v>219526.09999999998</v>
      </c>
      <c r="G243" s="61">
        <f>G8+G30+G45+G63+G80+G98+G114+G131+G147+G164+G181+G197</f>
        <v>253425.10000000003</v>
      </c>
      <c r="H243" s="61">
        <f>H8+H30+H45+H63+H80+H98+H114+H131+H147+H164+H181+H197</f>
        <v>219682.1</v>
      </c>
      <c r="I243" s="61">
        <f>I8+I30+I45+I63+I80+I98+I114+I131+I147+I164+I181+I197</f>
        <v>247333.2999999999</v>
      </c>
      <c r="J243" s="61"/>
      <c r="K243" s="5"/>
    </row>
    <row r="244" spans="3:11" ht="12.75">
      <c r="C244" s="8"/>
      <c r="D244" s="8"/>
      <c r="E244" s="8"/>
      <c r="F244" s="8"/>
      <c r="G244" s="8"/>
      <c r="H244" s="5"/>
      <c r="I244" s="4"/>
      <c r="J244" s="5"/>
      <c r="K244" s="5"/>
    </row>
    <row r="245" spans="3:11" ht="12.75">
      <c r="C245" s="8"/>
      <c r="D245" s="61"/>
      <c r="E245" s="8"/>
      <c r="F245" s="61"/>
      <c r="G245" s="61"/>
      <c r="H245" s="61"/>
      <c r="I245" s="61"/>
      <c r="J245" s="61"/>
      <c r="K245" s="5"/>
    </row>
    <row r="246" spans="8:11" ht="12.75">
      <c r="H246" s="5"/>
      <c r="I246" s="4"/>
      <c r="J246" s="5"/>
      <c r="K246" s="5"/>
    </row>
    <row r="247" spans="8:11" ht="12.75">
      <c r="H247" s="5"/>
      <c r="I247" s="4"/>
      <c r="J247" s="5"/>
      <c r="K247" s="5"/>
    </row>
    <row r="248" spans="8:11" ht="12.75">
      <c r="H248" s="5"/>
      <c r="I248" s="4"/>
      <c r="J248" s="5"/>
      <c r="K248" s="5"/>
    </row>
    <row r="249" spans="3:11" ht="12.75">
      <c r="C249" s="8"/>
      <c r="D249" s="8"/>
      <c r="E249" s="8"/>
      <c r="F249" s="8"/>
      <c r="G249" s="8"/>
      <c r="H249" s="5"/>
      <c r="I249" s="4"/>
      <c r="J249" s="5"/>
      <c r="K249" s="5"/>
    </row>
    <row r="250" spans="3:11" ht="12.75">
      <c r="C250" s="8"/>
      <c r="D250" s="8"/>
      <c r="E250" s="8"/>
      <c r="F250" s="8"/>
      <c r="G250" s="8"/>
      <c r="H250" s="5"/>
      <c r="I250" s="4"/>
      <c r="J250" s="5"/>
      <c r="K250" s="5"/>
    </row>
    <row r="251" spans="3:11" ht="12.75">
      <c r="C251" s="8"/>
      <c r="D251" s="8"/>
      <c r="E251" s="8"/>
      <c r="F251" s="8"/>
      <c r="G251" s="8"/>
      <c r="H251" s="5"/>
      <c r="I251" s="4"/>
      <c r="J251" s="5"/>
      <c r="K251" s="5"/>
    </row>
    <row r="252" spans="3:11" ht="12.75">
      <c r="C252" s="8"/>
      <c r="D252" s="8"/>
      <c r="E252" s="8"/>
      <c r="F252" s="8"/>
      <c r="G252" s="8"/>
      <c r="H252" s="5"/>
      <c r="I252" s="4"/>
      <c r="J252" s="5"/>
      <c r="K252" s="5"/>
    </row>
    <row r="253" spans="3:11" ht="12.75">
      <c r="C253" s="8"/>
      <c r="D253" s="8"/>
      <c r="E253" s="8"/>
      <c r="F253" s="8"/>
      <c r="G253" s="8"/>
      <c r="H253" s="4"/>
      <c r="I253" s="4"/>
      <c r="J253" s="4"/>
      <c r="K253" s="5"/>
    </row>
    <row r="254" spans="3:11" ht="12.75">
      <c r="C254" s="8"/>
      <c r="D254" s="8"/>
      <c r="E254" s="8"/>
      <c r="F254" s="8"/>
      <c r="G254" s="8"/>
      <c r="H254" s="5"/>
      <c r="I254" s="5"/>
      <c r="J254" s="5"/>
      <c r="K254" s="5"/>
    </row>
    <row r="255" spans="3:11" ht="12.75">
      <c r="C255" s="8"/>
      <c r="D255" s="8"/>
      <c r="E255" s="8"/>
      <c r="F255" s="8"/>
      <c r="G255" s="8"/>
      <c r="H255" s="7"/>
      <c r="I255" s="4"/>
      <c r="J255" s="5"/>
      <c r="K255" s="5"/>
    </row>
  </sheetData>
  <sheetProtection/>
  <mergeCells count="41">
    <mergeCell ref="A210:L210"/>
    <mergeCell ref="A195:L195"/>
    <mergeCell ref="A162:L162"/>
    <mergeCell ref="A179:L179"/>
    <mergeCell ref="A180:O180"/>
    <mergeCell ref="A2:L2"/>
    <mergeCell ref="A96:L96"/>
    <mergeCell ref="A112:L112"/>
    <mergeCell ref="A29:O29"/>
    <mergeCell ref="A44:O44"/>
    <mergeCell ref="C43:L43"/>
    <mergeCell ref="A28:L28"/>
    <mergeCell ref="A145:L145"/>
    <mergeCell ref="A129:L129"/>
    <mergeCell ref="A61:L61"/>
    <mergeCell ref="A7:O7"/>
    <mergeCell ref="A163:O163"/>
    <mergeCell ref="A196:O196"/>
    <mergeCell ref="A62:O62"/>
    <mergeCell ref="A79:O79"/>
    <mergeCell ref="A97:O97"/>
    <mergeCell ref="A113:O113"/>
    <mergeCell ref="A130:O130"/>
    <mergeCell ref="A146:O146"/>
    <mergeCell ref="A78:L78"/>
    <mergeCell ref="E4:E6"/>
    <mergeCell ref="F4:F6"/>
    <mergeCell ref="G4:G6"/>
    <mergeCell ref="H4:H6"/>
    <mergeCell ref="I4:I6"/>
    <mergeCell ref="Q4:Q6"/>
    <mergeCell ref="A1:Q1"/>
    <mergeCell ref="A211:Q211"/>
    <mergeCell ref="P4:P6"/>
    <mergeCell ref="J4:J6"/>
    <mergeCell ref="K4:K6"/>
    <mergeCell ref="L4:L6"/>
    <mergeCell ref="M4:M6"/>
    <mergeCell ref="N4:N6"/>
    <mergeCell ref="O4:O6"/>
    <mergeCell ref="D4:D6"/>
  </mergeCells>
  <printOptions/>
  <pageMargins left="0" right="0" top="0.15748031496062992" bottom="0.15748031496062992" header="0.15748031496062992" footer="0.1968503937007874"/>
  <pageSetup fitToHeight="7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PageLayoutView="0" workbookViewId="0" topLeftCell="A94">
      <selection activeCell="B11" sqref="B11"/>
    </sheetView>
  </sheetViews>
  <sheetFormatPr defaultColWidth="9.00390625" defaultRowHeight="12.75"/>
  <cols>
    <col min="2" max="2" width="53.25390625" style="0" customWidth="1"/>
    <col min="3" max="3" width="14.25390625" style="0" customWidth="1"/>
    <col min="4" max="4" width="13.00390625" style="0" customWidth="1"/>
    <col min="6" max="7" width="12.375" style="0" customWidth="1"/>
    <col min="9" max="9" width="14.875" style="0" customWidth="1"/>
    <col min="10" max="10" width="13.00390625" style="0" customWidth="1"/>
  </cols>
  <sheetData>
    <row r="1" spans="1:11" ht="15.75">
      <c r="A1" s="106" t="s">
        <v>87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thickBot="1">
      <c r="A2" s="107"/>
      <c r="B2" s="108"/>
      <c r="C2" s="109"/>
      <c r="D2" s="110"/>
      <c r="E2" s="111"/>
      <c r="F2" s="112"/>
      <c r="G2" s="113"/>
      <c r="H2" s="113"/>
      <c r="I2" s="114"/>
      <c r="J2" s="115"/>
      <c r="K2" s="115"/>
    </row>
    <row r="3" spans="1:11" ht="15">
      <c r="A3" s="116" t="s">
        <v>88</v>
      </c>
      <c r="B3" s="117" t="s">
        <v>89</v>
      </c>
      <c r="C3" s="118" t="s">
        <v>90</v>
      </c>
      <c r="D3" s="118"/>
      <c r="E3" s="118"/>
      <c r="F3" s="119" t="s">
        <v>91</v>
      </c>
      <c r="G3" s="119"/>
      <c r="H3" s="119"/>
      <c r="I3" s="120" t="s">
        <v>92</v>
      </c>
      <c r="J3" s="120"/>
      <c r="K3" s="121"/>
    </row>
    <row r="4" spans="1:11" ht="12.75">
      <c r="A4" s="122"/>
      <c r="B4" s="123"/>
      <c r="C4" s="124" t="s">
        <v>93</v>
      </c>
      <c r="D4" s="124" t="s">
        <v>94</v>
      </c>
      <c r="E4" s="124" t="s">
        <v>95</v>
      </c>
      <c r="F4" s="124" t="s">
        <v>93</v>
      </c>
      <c r="G4" s="125" t="s">
        <v>94</v>
      </c>
      <c r="H4" s="125" t="s">
        <v>95</v>
      </c>
      <c r="I4" s="126" t="s">
        <v>93</v>
      </c>
      <c r="J4" s="127" t="s">
        <v>96</v>
      </c>
      <c r="K4" s="128" t="s">
        <v>95</v>
      </c>
    </row>
    <row r="5" spans="1:11" ht="12.75">
      <c r="A5" s="122"/>
      <c r="B5" s="123"/>
      <c r="C5" s="129"/>
      <c r="D5" s="124"/>
      <c r="E5" s="130"/>
      <c r="F5" s="129"/>
      <c r="G5" s="125"/>
      <c r="H5" s="129"/>
      <c r="I5" s="131"/>
      <c r="J5" s="127"/>
      <c r="K5" s="132"/>
    </row>
    <row r="6" spans="1:11" ht="12.75">
      <c r="A6" s="122"/>
      <c r="B6" s="133" t="s">
        <v>97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1:11" ht="12.75">
      <c r="A7" s="122"/>
      <c r="B7" s="133"/>
      <c r="C7" s="133"/>
      <c r="D7" s="133"/>
      <c r="E7" s="133"/>
      <c r="F7" s="133"/>
      <c r="G7" s="133"/>
      <c r="H7" s="133"/>
      <c r="I7" s="133"/>
      <c r="J7" s="133"/>
      <c r="K7" s="134"/>
    </row>
    <row r="8" spans="1:11" ht="12.75">
      <c r="A8" s="122"/>
      <c r="B8" s="133"/>
      <c r="C8" s="133"/>
      <c r="D8" s="133"/>
      <c r="E8" s="133"/>
      <c r="F8" s="133"/>
      <c r="G8" s="133"/>
      <c r="H8" s="133"/>
      <c r="I8" s="133"/>
      <c r="J8" s="133"/>
      <c r="K8" s="134"/>
    </row>
    <row r="9" spans="1:11" ht="15">
      <c r="A9" s="135" t="s">
        <v>98</v>
      </c>
      <c r="B9" s="136" t="s">
        <v>99</v>
      </c>
      <c r="C9" s="137">
        <f>SUM(C10:C17)</f>
        <v>250630.89999999997</v>
      </c>
      <c r="D9" s="137">
        <f>SUM(D10:D17)</f>
        <v>66524.2</v>
      </c>
      <c r="E9" s="137">
        <f>D9/C9*100</f>
        <v>26.542696850228765</v>
      </c>
      <c r="F9" s="137">
        <f>F10+F11+F12+F13+F14+F16+F17+F15</f>
        <v>213259.40000000002</v>
      </c>
      <c r="G9" s="137">
        <f>SUM(G10:G17)</f>
        <v>55444.59999999999</v>
      </c>
      <c r="H9" s="138">
        <f>G9/F9*100</f>
        <v>25.99866641282869</v>
      </c>
      <c r="I9" s="137">
        <f>SUM(I10:I17)</f>
        <v>463454.19999999995</v>
      </c>
      <c r="J9" s="137">
        <f>SUM(J10:J17)</f>
        <v>121954.79999999999</v>
      </c>
      <c r="K9" s="139">
        <f>J9/I9*100</f>
        <v>26.31431541671216</v>
      </c>
    </row>
    <row r="10" spans="1:11" ht="15">
      <c r="A10" s="140" t="s">
        <v>100</v>
      </c>
      <c r="B10" s="141" t="s">
        <v>101</v>
      </c>
      <c r="C10" s="142">
        <v>4263</v>
      </c>
      <c r="D10" s="142">
        <v>912.7</v>
      </c>
      <c r="E10" s="142">
        <f>D10/C10*100</f>
        <v>21.409805301430918</v>
      </c>
      <c r="F10" s="143">
        <v>42094.5</v>
      </c>
      <c r="G10" s="143">
        <v>11374.2</v>
      </c>
      <c r="H10" s="143">
        <f>G10/F10*100</f>
        <v>27.020632149093117</v>
      </c>
      <c r="I10" s="144">
        <f aca="true" t="shared" si="0" ref="I10:J74">C10+F10</f>
        <v>46357.5</v>
      </c>
      <c r="J10" s="145">
        <f t="shared" si="0"/>
        <v>12286.900000000001</v>
      </c>
      <c r="K10" s="146">
        <f aca="true" t="shared" si="1" ref="K10:K76">J10/I10*100</f>
        <v>26.504664833090658</v>
      </c>
    </row>
    <row r="11" spans="1:11" ht="30">
      <c r="A11" s="140" t="s">
        <v>102</v>
      </c>
      <c r="B11" s="141" t="s">
        <v>103</v>
      </c>
      <c r="C11" s="142">
        <v>6913.8</v>
      </c>
      <c r="D11" s="142">
        <v>2871.3</v>
      </c>
      <c r="E11" s="142">
        <f aca="true" t="shared" si="2" ref="E11:E19">D11/C11*100</f>
        <v>41.52998351123839</v>
      </c>
      <c r="F11" s="143">
        <v>0</v>
      </c>
      <c r="G11" s="143"/>
      <c r="H11" s="143">
        <v>0</v>
      </c>
      <c r="I11" s="144">
        <f t="shared" si="0"/>
        <v>6913.8</v>
      </c>
      <c r="J11" s="145">
        <f t="shared" si="0"/>
        <v>2871.3</v>
      </c>
      <c r="K11" s="146">
        <f t="shared" si="1"/>
        <v>41.52998351123839</v>
      </c>
    </row>
    <row r="12" spans="1:11" ht="15">
      <c r="A12" s="140" t="s">
        <v>104</v>
      </c>
      <c r="B12" s="141" t="s">
        <v>105</v>
      </c>
      <c r="C12" s="142">
        <v>144380</v>
      </c>
      <c r="D12" s="142">
        <v>39386.6</v>
      </c>
      <c r="E12" s="142">
        <f t="shared" si="2"/>
        <v>27.27981714918964</v>
      </c>
      <c r="F12" s="143">
        <v>126590</v>
      </c>
      <c r="G12" s="143">
        <v>33086.5</v>
      </c>
      <c r="H12" s="143">
        <f>G12/F12*100</f>
        <v>26.13674065881981</v>
      </c>
      <c r="I12" s="144">
        <f t="shared" si="0"/>
        <v>270970</v>
      </c>
      <c r="J12" s="145">
        <f t="shared" si="0"/>
        <v>72473.1</v>
      </c>
      <c r="K12" s="146">
        <f t="shared" si="1"/>
        <v>26.74580211831568</v>
      </c>
    </row>
    <row r="13" spans="1:11" ht="15">
      <c r="A13" s="140" t="s">
        <v>106</v>
      </c>
      <c r="B13" s="141" t="s">
        <v>107</v>
      </c>
      <c r="C13" s="142">
        <v>70.8</v>
      </c>
      <c r="D13" s="142">
        <v>0</v>
      </c>
      <c r="E13" s="142">
        <f t="shared" si="2"/>
        <v>0</v>
      </c>
      <c r="F13" s="143">
        <v>0</v>
      </c>
      <c r="G13" s="143"/>
      <c r="H13" s="143">
        <v>0</v>
      </c>
      <c r="I13" s="144">
        <f t="shared" si="0"/>
        <v>70.8</v>
      </c>
      <c r="J13" s="145">
        <f t="shared" si="0"/>
        <v>0</v>
      </c>
      <c r="K13" s="146">
        <f t="shared" si="1"/>
        <v>0</v>
      </c>
    </row>
    <row r="14" spans="1:11" ht="15">
      <c r="A14" s="140" t="s">
        <v>108</v>
      </c>
      <c r="B14" s="141" t="s">
        <v>109</v>
      </c>
      <c r="C14" s="142">
        <v>26821.6</v>
      </c>
      <c r="D14" s="142">
        <v>9116.7</v>
      </c>
      <c r="E14" s="142">
        <f t="shared" si="2"/>
        <v>33.9901422733916</v>
      </c>
      <c r="F14" s="143">
        <v>0</v>
      </c>
      <c r="G14" s="143"/>
      <c r="H14" s="143">
        <v>0</v>
      </c>
      <c r="I14" s="144">
        <f>C14+F14</f>
        <v>26821.6</v>
      </c>
      <c r="J14" s="145">
        <f>D14+G14</f>
        <v>9116.7</v>
      </c>
      <c r="K14" s="146">
        <f t="shared" si="1"/>
        <v>33.9901422733916</v>
      </c>
    </row>
    <row r="15" spans="1:11" ht="15">
      <c r="A15" s="140" t="s">
        <v>110</v>
      </c>
      <c r="B15" s="141" t="s">
        <v>111</v>
      </c>
      <c r="C15" s="142"/>
      <c r="D15" s="142"/>
      <c r="E15" s="142"/>
      <c r="F15" s="143">
        <v>7900</v>
      </c>
      <c r="G15" s="143">
        <v>50.2</v>
      </c>
      <c r="H15" s="143">
        <f>G15/F15*100</f>
        <v>0.6354430379746836</v>
      </c>
      <c r="I15" s="144">
        <f>C15+F15</f>
        <v>7900</v>
      </c>
      <c r="J15" s="145">
        <f>D15+G15</f>
        <v>50.2</v>
      </c>
      <c r="K15" s="146">
        <f t="shared" si="1"/>
        <v>0.6354430379746836</v>
      </c>
    </row>
    <row r="16" spans="1:11" ht="15">
      <c r="A16" s="147" t="s">
        <v>112</v>
      </c>
      <c r="B16" s="141" t="s">
        <v>113</v>
      </c>
      <c r="C16" s="142">
        <v>4036</v>
      </c>
      <c r="D16" s="142"/>
      <c r="E16" s="142">
        <f t="shared" si="2"/>
        <v>0</v>
      </c>
      <c r="F16" s="143">
        <v>951.7</v>
      </c>
      <c r="G16" s="143"/>
      <c r="H16" s="143">
        <f>G16/F16*100</f>
        <v>0</v>
      </c>
      <c r="I16" s="144">
        <f t="shared" si="0"/>
        <v>4987.7</v>
      </c>
      <c r="J16" s="145">
        <f t="shared" si="0"/>
        <v>0</v>
      </c>
      <c r="K16" s="146">
        <f t="shared" si="1"/>
        <v>0</v>
      </c>
    </row>
    <row r="17" spans="1:11" ht="15">
      <c r="A17" s="140" t="s">
        <v>114</v>
      </c>
      <c r="B17" s="141" t="s">
        <v>115</v>
      </c>
      <c r="C17" s="142">
        <v>64145.7</v>
      </c>
      <c r="D17" s="142">
        <v>14236.9</v>
      </c>
      <c r="E17" s="142">
        <f t="shared" si="2"/>
        <v>22.19462879039437</v>
      </c>
      <c r="F17" s="143">
        <v>35723.2</v>
      </c>
      <c r="G17" s="143">
        <v>10933.7</v>
      </c>
      <c r="H17" s="143">
        <f>G17/F17*100</f>
        <v>30.60672056254759</v>
      </c>
      <c r="I17" s="144">
        <f>C17+F17-366.1-70</f>
        <v>99432.79999999999</v>
      </c>
      <c r="J17" s="145">
        <f>D17+G17-14</f>
        <v>25156.6</v>
      </c>
      <c r="K17" s="146">
        <f t="shared" si="1"/>
        <v>25.30010217956248</v>
      </c>
    </row>
    <row r="18" spans="1:11" ht="15">
      <c r="A18" s="135" t="s">
        <v>116</v>
      </c>
      <c r="B18" s="136" t="s">
        <v>117</v>
      </c>
      <c r="C18" s="137">
        <f aca="true" t="shared" si="3" ref="C18:J18">C19</f>
        <v>3597.2</v>
      </c>
      <c r="D18" s="137">
        <f t="shared" si="3"/>
        <v>576.8</v>
      </c>
      <c r="E18" s="137">
        <f t="shared" si="3"/>
        <v>16.034693650617147</v>
      </c>
      <c r="F18" s="137">
        <f t="shared" si="3"/>
        <v>3597.2</v>
      </c>
      <c r="G18" s="137">
        <f t="shared" si="3"/>
        <v>576.8</v>
      </c>
      <c r="H18" s="148">
        <f t="shared" si="3"/>
        <v>16.034693650617147</v>
      </c>
      <c r="I18" s="137">
        <f t="shared" si="3"/>
        <v>3597.2</v>
      </c>
      <c r="J18" s="137">
        <f t="shared" si="3"/>
        <v>576.8</v>
      </c>
      <c r="K18" s="149">
        <f t="shared" si="1"/>
        <v>16.034693650617147</v>
      </c>
    </row>
    <row r="19" spans="1:11" ht="15">
      <c r="A19" s="140" t="s">
        <v>118</v>
      </c>
      <c r="B19" s="141" t="s">
        <v>119</v>
      </c>
      <c r="C19" s="142">
        <v>3597.2</v>
      </c>
      <c r="D19" s="142">
        <v>576.8</v>
      </c>
      <c r="E19" s="142">
        <f t="shared" si="2"/>
        <v>16.034693650617147</v>
      </c>
      <c r="F19" s="143">
        <v>3597.2</v>
      </c>
      <c r="G19" s="143">
        <v>576.8</v>
      </c>
      <c r="H19" s="143">
        <f>G19/F19*100</f>
        <v>16.034693650617147</v>
      </c>
      <c r="I19" s="144">
        <f>C19+F19-3597.2</f>
        <v>3597.2</v>
      </c>
      <c r="J19" s="145">
        <f>D19+G19-576.8</f>
        <v>576.8</v>
      </c>
      <c r="K19" s="146">
        <f t="shared" si="1"/>
        <v>16.034693650617147</v>
      </c>
    </row>
    <row r="20" spans="1:11" ht="12.75">
      <c r="A20" s="150" t="s">
        <v>120</v>
      </c>
      <c r="B20" s="151" t="s">
        <v>121</v>
      </c>
      <c r="C20" s="152">
        <f>C23+C24+C22</f>
        <v>14682.5</v>
      </c>
      <c r="D20" s="152">
        <f>D23+D24+D22</f>
        <v>2998.3</v>
      </c>
      <c r="E20" s="152">
        <f>D20/C20*100</f>
        <v>20.420909245700667</v>
      </c>
      <c r="F20" s="152">
        <f>F23+F24+F22</f>
        <v>4623</v>
      </c>
      <c r="G20" s="152">
        <f>G23+G24+G22</f>
        <v>606.8</v>
      </c>
      <c r="H20" s="152">
        <f>G20/F20*100</f>
        <v>13.125675967986156</v>
      </c>
      <c r="I20" s="152">
        <f>I23+I24+I22</f>
        <v>17872.3</v>
      </c>
      <c r="J20" s="152">
        <f>SUM(J22:J24)</f>
        <v>3491.6000000000004</v>
      </c>
      <c r="K20" s="152">
        <f>J20/I20*100</f>
        <v>19.536377522758684</v>
      </c>
    </row>
    <row r="21" spans="1:11" ht="12.75">
      <c r="A21" s="150"/>
      <c r="B21" s="151"/>
      <c r="C21" s="152"/>
      <c r="D21" s="152"/>
      <c r="E21" s="152"/>
      <c r="F21" s="152"/>
      <c r="G21" s="152"/>
      <c r="H21" s="152"/>
      <c r="I21" s="152"/>
      <c r="J21" s="152"/>
      <c r="K21" s="152"/>
    </row>
    <row r="22" spans="1:11" ht="15">
      <c r="A22" s="147" t="s">
        <v>122</v>
      </c>
      <c r="B22" s="141" t="s">
        <v>123</v>
      </c>
      <c r="C22" s="142">
        <v>6354.2</v>
      </c>
      <c r="D22" s="142">
        <v>927.2</v>
      </c>
      <c r="E22" s="142">
        <f aca="true" t="shared" si="4" ref="E22:E86">D22/C22*100</f>
        <v>14.591923452204842</v>
      </c>
      <c r="F22" s="143">
        <v>821</v>
      </c>
      <c r="G22" s="143">
        <v>113.5</v>
      </c>
      <c r="H22" s="143">
        <f>G22/F22*100</f>
        <v>13.824604141291108</v>
      </c>
      <c r="I22" s="144">
        <f>C22+F22-821</f>
        <v>6354.2</v>
      </c>
      <c r="J22" s="145">
        <f>D22+G22-113.5</f>
        <v>927.2</v>
      </c>
      <c r="K22" s="146">
        <f>J22/I22*100</f>
        <v>14.591923452204842</v>
      </c>
    </row>
    <row r="23" spans="1:11" ht="15">
      <c r="A23" s="140" t="s">
        <v>124</v>
      </c>
      <c r="B23" s="141" t="s">
        <v>125</v>
      </c>
      <c r="C23" s="142">
        <v>7783.2</v>
      </c>
      <c r="D23" s="142">
        <v>2071.1</v>
      </c>
      <c r="E23" s="142">
        <f t="shared" si="4"/>
        <v>26.60987768527084</v>
      </c>
      <c r="F23" s="143">
        <v>3498.8</v>
      </c>
      <c r="G23" s="143">
        <v>493.3</v>
      </c>
      <c r="H23" s="143">
        <f>G23/F23*100</f>
        <v>14.099119698182234</v>
      </c>
      <c r="I23" s="144">
        <f>C23+F23-400</f>
        <v>10882</v>
      </c>
      <c r="J23" s="145">
        <f>D23+G23</f>
        <v>2564.4</v>
      </c>
      <c r="K23" s="146">
        <f>J23/I23*100</f>
        <v>23.56552104392575</v>
      </c>
    </row>
    <row r="24" spans="1:11" ht="30">
      <c r="A24" s="147" t="s">
        <v>126</v>
      </c>
      <c r="B24" s="141" t="s">
        <v>127</v>
      </c>
      <c r="C24" s="142">
        <v>545.1</v>
      </c>
      <c r="D24" s="142">
        <v>0</v>
      </c>
      <c r="E24" s="142">
        <f t="shared" si="4"/>
        <v>0</v>
      </c>
      <c r="F24" s="143">
        <v>303.2</v>
      </c>
      <c r="G24" s="143">
        <v>0</v>
      </c>
      <c r="H24" s="143">
        <f>G24/F24*100</f>
        <v>0</v>
      </c>
      <c r="I24" s="144">
        <f>C24+F24-212.2</f>
        <v>636.0999999999999</v>
      </c>
      <c r="J24" s="144">
        <f>D24+G24</f>
        <v>0</v>
      </c>
      <c r="K24" s="146">
        <f>J24/I24*100</f>
        <v>0</v>
      </c>
    </row>
    <row r="25" spans="1:11" ht="15">
      <c r="A25" s="135" t="s">
        <v>128</v>
      </c>
      <c r="B25" s="136" t="s">
        <v>129</v>
      </c>
      <c r="C25" s="137">
        <f>SUM(C26:C43)</f>
        <v>290375.5</v>
      </c>
      <c r="D25" s="137">
        <f>SUM(D26:D43)</f>
        <v>34063.700000000004</v>
      </c>
      <c r="E25" s="137">
        <f>D25/C25*100</f>
        <v>11.73091393729843</v>
      </c>
      <c r="F25" s="137">
        <f>SUM(F26:F44)</f>
        <v>97244.3</v>
      </c>
      <c r="G25" s="137">
        <f>SUM(G26:G44)</f>
        <v>12723.3</v>
      </c>
      <c r="H25" s="138">
        <f>G25/F25*100</f>
        <v>13.083851701333652</v>
      </c>
      <c r="I25" s="137">
        <f>SUM(I26:I44)</f>
        <v>371599.8</v>
      </c>
      <c r="J25" s="137">
        <f>SUM(J26:J44)</f>
        <v>44654.9</v>
      </c>
      <c r="K25" s="139">
        <f t="shared" si="1"/>
        <v>12.016933270685291</v>
      </c>
    </row>
    <row r="26" spans="1:11" ht="45">
      <c r="A26" s="147" t="s">
        <v>130</v>
      </c>
      <c r="B26" s="153" t="s">
        <v>131</v>
      </c>
      <c r="C26" s="142">
        <v>10498.6</v>
      </c>
      <c r="D26" s="142">
        <v>972.9</v>
      </c>
      <c r="E26" s="142">
        <f t="shared" si="4"/>
        <v>9.26694987903149</v>
      </c>
      <c r="F26" s="142">
        <v>6297.5</v>
      </c>
      <c r="G26" s="143">
        <v>2485.5</v>
      </c>
      <c r="H26" s="143">
        <f>G26/F26*100</f>
        <v>39.46804287415641</v>
      </c>
      <c r="I26" s="144">
        <f>C26+F26-951.1</f>
        <v>15844.999999999998</v>
      </c>
      <c r="J26" s="144">
        <f>D26+G26-951.1</f>
        <v>2507.3</v>
      </c>
      <c r="K26" s="146">
        <f t="shared" si="1"/>
        <v>15.823919217418748</v>
      </c>
    </row>
    <row r="27" spans="1:11" ht="15">
      <c r="A27" s="140" t="s">
        <v>132</v>
      </c>
      <c r="B27" s="141" t="s">
        <v>133</v>
      </c>
      <c r="C27" s="142">
        <v>50354</v>
      </c>
      <c r="D27" s="142">
        <v>17788.7</v>
      </c>
      <c r="E27" s="142">
        <f t="shared" si="4"/>
        <v>35.327282837510424</v>
      </c>
      <c r="F27" s="143">
        <v>0</v>
      </c>
      <c r="G27" s="143">
        <v>0</v>
      </c>
      <c r="H27" s="143">
        <v>0</v>
      </c>
      <c r="I27" s="154">
        <f>C27+F27</f>
        <v>50354</v>
      </c>
      <c r="J27" s="145">
        <f t="shared" si="0"/>
        <v>17788.7</v>
      </c>
      <c r="K27" s="146">
        <f t="shared" si="1"/>
        <v>35.327282837510424</v>
      </c>
    </row>
    <row r="28" spans="1:11" ht="15">
      <c r="A28" s="140" t="s">
        <v>134</v>
      </c>
      <c r="B28" s="141" t="s">
        <v>135</v>
      </c>
      <c r="C28" s="142">
        <v>9000</v>
      </c>
      <c r="D28" s="142">
        <v>925.2</v>
      </c>
      <c r="E28" s="142">
        <f t="shared" si="4"/>
        <v>10.280000000000001</v>
      </c>
      <c r="F28" s="143">
        <v>0</v>
      </c>
      <c r="G28" s="143">
        <v>0</v>
      </c>
      <c r="H28" s="143">
        <v>0</v>
      </c>
      <c r="I28" s="144">
        <f t="shared" si="0"/>
        <v>9000</v>
      </c>
      <c r="J28" s="145">
        <f t="shared" si="0"/>
        <v>925.2</v>
      </c>
      <c r="K28" s="146">
        <f t="shared" si="1"/>
        <v>10.280000000000001</v>
      </c>
    </row>
    <row r="29" spans="1:11" ht="30">
      <c r="A29" s="140" t="s">
        <v>134</v>
      </c>
      <c r="B29" s="141" t="s">
        <v>136</v>
      </c>
      <c r="C29" s="142">
        <v>18099.3</v>
      </c>
      <c r="D29" s="142">
        <v>5516.2</v>
      </c>
      <c r="E29" s="142">
        <f t="shared" si="4"/>
        <v>30.477421778742826</v>
      </c>
      <c r="F29" s="143">
        <v>13705.4</v>
      </c>
      <c r="G29" s="143">
        <v>2585.5</v>
      </c>
      <c r="H29" s="143">
        <f>G29/F29*100</f>
        <v>18.864827002495367</v>
      </c>
      <c r="I29" s="144">
        <f t="shared" si="0"/>
        <v>31804.699999999997</v>
      </c>
      <c r="J29" s="145">
        <f t="shared" si="0"/>
        <v>8101.7</v>
      </c>
      <c r="K29" s="146">
        <f t="shared" si="1"/>
        <v>25.473279106547146</v>
      </c>
    </row>
    <row r="30" spans="1:11" ht="15">
      <c r="A30" s="140" t="s">
        <v>134</v>
      </c>
      <c r="B30" s="141" t="s">
        <v>137</v>
      </c>
      <c r="C30" s="142">
        <v>12500</v>
      </c>
      <c r="D30" s="142">
        <v>0</v>
      </c>
      <c r="E30" s="142">
        <f t="shared" si="4"/>
        <v>0</v>
      </c>
      <c r="F30" s="143">
        <v>0</v>
      </c>
      <c r="G30" s="143">
        <v>0</v>
      </c>
      <c r="H30" s="143">
        <v>0</v>
      </c>
      <c r="I30" s="144">
        <f t="shared" si="0"/>
        <v>12500</v>
      </c>
      <c r="J30" s="145">
        <f t="shared" si="0"/>
        <v>0</v>
      </c>
      <c r="K30" s="146">
        <f t="shared" si="1"/>
        <v>0</v>
      </c>
    </row>
    <row r="31" spans="1:11" ht="45">
      <c r="A31" s="140" t="s">
        <v>138</v>
      </c>
      <c r="B31" s="155" t="s">
        <v>139</v>
      </c>
      <c r="C31" s="142">
        <v>2589.1</v>
      </c>
      <c r="D31" s="142">
        <v>301.6</v>
      </c>
      <c r="E31" s="142">
        <f t="shared" si="4"/>
        <v>11.648835502684332</v>
      </c>
      <c r="F31" s="143">
        <v>743.9</v>
      </c>
      <c r="G31" s="143">
        <v>0</v>
      </c>
      <c r="H31" s="143">
        <f aca="true" t="shared" si="5" ref="H31:H37">G31/F31*100</f>
        <v>0</v>
      </c>
      <c r="I31" s="144">
        <f t="shared" si="0"/>
        <v>3333</v>
      </c>
      <c r="J31" s="145">
        <f t="shared" si="0"/>
        <v>301.6</v>
      </c>
      <c r="K31" s="146">
        <f t="shared" si="1"/>
        <v>9.04890489048905</v>
      </c>
    </row>
    <row r="32" spans="1:11" ht="60">
      <c r="A32" s="147" t="s">
        <v>138</v>
      </c>
      <c r="B32" s="155" t="s">
        <v>140</v>
      </c>
      <c r="C32" s="142">
        <v>120013.8</v>
      </c>
      <c r="D32" s="142">
        <v>0</v>
      </c>
      <c r="E32" s="142">
        <f t="shared" si="4"/>
        <v>0</v>
      </c>
      <c r="F32" s="143">
        <f>10387.9+743.9</f>
        <v>11131.8</v>
      </c>
      <c r="G32" s="143">
        <v>0</v>
      </c>
      <c r="H32" s="143">
        <f t="shared" si="5"/>
        <v>0</v>
      </c>
      <c r="I32" s="144">
        <f>C32+F32-10387.9</f>
        <v>120757.70000000001</v>
      </c>
      <c r="J32" s="145">
        <f>D32+G32</f>
        <v>0</v>
      </c>
      <c r="K32" s="146">
        <f>J32/I32*100</f>
        <v>0</v>
      </c>
    </row>
    <row r="33" spans="1:11" ht="105">
      <c r="A33" s="147" t="s">
        <v>138</v>
      </c>
      <c r="B33" s="141" t="s">
        <v>141</v>
      </c>
      <c r="C33" s="142">
        <v>3500</v>
      </c>
      <c r="D33" s="142">
        <v>0</v>
      </c>
      <c r="E33" s="142">
        <f t="shared" si="4"/>
        <v>0</v>
      </c>
      <c r="F33" s="143">
        <v>3500</v>
      </c>
      <c r="G33" s="143">
        <v>0</v>
      </c>
      <c r="H33" s="143">
        <f t="shared" si="5"/>
        <v>0</v>
      </c>
      <c r="I33" s="144">
        <f>C33+F33-3500</f>
        <v>3500</v>
      </c>
      <c r="J33" s="145">
        <f>D33+G33</f>
        <v>0</v>
      </c>
      <c r="K33" s="146">
        <f>J33/I33*100</f>
        <v>0</v>
      </c>
    </row>
    <row r="34" spans="1:11" ht="30">
      <c r="A34" s="147" t="s">
        <v>138</v>
      </c>
      <c r="B34" s="141" t="s">
        <v>142</v>
      </c>
      <c r="C34" s="142">
        <v>3187.2</v>
      </c>
      <c r="D34" s="142">
        <v>674</v>
      </c>
      <c r="E34" s="142">
        <f t="shared" si="4"/>
        <v>21.147088353413658</v>
      </c>
      <c r="F34" s="143"/>
      <c r="G34" s="143"/>
      <c r="H34" s="143"/>
      <c r="I34" s="144">
        <f>C34+F34</f>
        <v>3187.2</v>
      </c>
      <c r="J34" s="145">
        <f>D34+G34</f>
        <v>674</v>
      </c>
      <c r="K34" s="146">
        <f>J34/I34*100</f>
        <v>21.147088353413658</v>
      </c>
    </row>
    <row r="35" spans="1:11" ht="45">
      <c r="A35" s="147" t="s">
        <v>138</v>
      </c>
      <c r="B35" s="141" t="s">
        <v>143</v>
      </c>
      <c r="C35" s="142"/>
      <c r="D35" s="142"/>
      <c r="E35" s="142"/>
      <c r="F35" s="143">
        <v>56335</v>
      </c>
      <c r="G35" s="143">
        <v>6548.5</v>
      </c>
      <c r="H35" s="143">
        <f t="shared" si="5"/>
        <v>11.6242123014112</v>
      </c>
      <c r="I35" s="144">
        <f>C35+F35</f>
        <v>56335</v>
      </c>
      <c r="J35" s="145">
        <f t="shared" si="0"/>
        <v>6548.5</v>
      </c>
      <c r="K35" s="146">
        <f t="shared" si="1"/>
        <v>11.6242123014112</v>
      </c>
    </row>
    <row r="36" spans="1:11" ht="15">
      <c r="A36" s="140" t="s">
        <v>144</v>
      </c>
      <c r="B36" s="141" t="s">
        <v>145</v>
      </c>
      <c r="C36" s="142">
        <v>5263.8</v>
      </c>
      <c r="D36" s="142">
        <v>783.6</v>
      </c>
      <c r="E36" s="142">
        <f t="shared" si="4"/>
        <v>14.886583836771914</v>
      </c>
      <c r="F36" s="143">
        <v>4087.7</v>
      </c>
      <c r="G36" s="143">
        <v>1103.8</v>
      </c>
      <c r="H36" s="156">
        <f t="shared" si="5"/>
        <v>27.00296009981163</v>
      </c>
      <c r="I36" s="144">
        <f t="shared" si="0"/>
        <v>9351.5</v>
      </c>
      <c r="J36" s="145">
        <f t="shared" si="0"/>
        <v>1887.4</v>
      </c>
      <c r="K36" s="146">
        <f t="shared" si="1"/>
        <v>20.182858364968187</v>
      </c>
    </row>
    <row r="37" spans="1:11" ht="60">
      <c r="A37" s="140" t="s">
        <v>146</v>
      </c>
      <c r="B37" s="155" t="s">
        <v>147</v>
      </c>
      <c r="C37" s="142">
        <v>3500</v>
      </c>
      <c r="D37" s="142">
        <f>1181+244</f>
        <v>1425</v>
      </c>
      <c r="E37" s="157">
        <f t="shared" si="4"/>
        <v>40.714285714285715</v>
      </c>
      <c r="F37" s="143">
        <v>1181</v>
      </c>
      <c r="G37" s="143">
        <v>0</v>
      </c>
      <c r="H37" s="156">
        <f t="shared" si="5"/>
        <v>0</v>
      </c>
      <c r="I37" s="144">
        <f>C37+F37-1181</f>
        <v>3500</v>
      </c>
      <c r="J37" s="145">
        <f>D37+G37-1181</f>
        <v>244</v>
      </c>
      <c r="K37" s="146">
        <f t="shared" si="1"/>
        <v>6.9714285714285715</v>
      </c>
    </row>
    <row r="38" spans="1:11" ht="15">
      <c r="A38" s="140" t="s">
        <v>146</v>
      </c>
      <c r="B38" s="155" t="s">
        <v>148</v>
      </c>
      <c r="C38" s="142">
        <v>1500</v>
      </c>
      <c r="D38" s="142"/>
      <c r="E38" s="157"/>
      <c r="F38" s="143"/>
      <c r="G38" s="143"/>
      <c r="H38" s="156"/>
      <c r="I38" s="144">
        <f t="shared" si="0"/>
        <v>1500</v>
      </c>
      <c r="J38" s="145"/>
      <c r="K38" s="146"/>
    </row>
    <row r="39" spans="1:11" ht="60">
      <c r="A39" s="140" t="s">
        <v>146</v>
      </c>
      <c r="B39" s="155" t="s">
        <v>149</v>
      </c>
      <c r="C39" s="142">
        <v>4000</v>
      </c>
      <c r="D39" s="143"/>
      <c r="E39" s="142">
        <f t="shared" si="4"/>
        <v>0</v>
      </c>
      <c r="F39" s="143">
        <v>0</v>
      </c>
      <c r="G39" s="143">
        <v>0</v>
      </c>
      <c r="H39" s="156">
        <v>0</v>
      </c>
      <c r="I39" s="144">
        <f t="shared" si="0"/>
        <v>4000</v>
      </c>
      <c r="J39" s="145">
        <f t="shared" si="0"/>
        <v>0</v>
      </c>
      <c r="K39" s="146">
        <f t="shared" si="1"/>
        <v>0</v>
      </c>
    </row>
    <row r="40" spans="1:11" ht="120">
      <c r="A40" s="140" t="s">
        <v>146</v>
      </c>
      <c r="B40" s="155" t="s">
        <v>150</v>
      </c>
      <c r="C40" s="142">
        <v>33561.6</v>
      </c>
      <c r="D40" s="143">
        <v>5314.7</v>
      </c>
      <c r="E40" s="157">
        <f t="shared" si="4"/>
        <v>15.835657418001524</v>
      </c>
      <c r="F40" s="143"/>
      <c r="G40" s="143"/>
      <c r="H40" s="156"/>
      <c r="I40" s="144">
        <f t="shared" si="0"/>
        <v>33561.6</v>
      </c>
      <c r="J40" s="145">
        <f t="shared" si="0"/>
        <v>5314.7</v>
      </c>
      <c r="K40" s="146">
        <f t="shared" si="1"/>
        <v>15.835657418001524</v>
      </c>
    </row>
    <row r="41" spans="1:11" ht="75">
      <c r="A41" s="147" t="s">
        <v>146</v>
      </c>
      <c r="B41" s="155" t="s">
        <v>151</v>
      </c>
      <c r="C41" s="142">
        <v>10972</v>
      </c>
      <c r="D41" s="143"/>
      <c r="E41" s="157">
        <f t="shared" si="4"/>
        <v>0</v>
      </c>
      <c r="F41" s="143"/>
      <c r="G41" s="143"/>
      <c r="H41" s="156"/>
      <c r="I41" s="144">
        <f t="shared" si="0"/>
        <v>10972</v>
      </c>
      <c r="J41" s="145">
        <f t="shared" si="0"/>
        <v>0</v>
      </c>
      <c r="K41" s="146">
        <f t="shared" si="1"/>
        <v>0</v>
      </c>
    </row>
    <row r="42" spans="1:11" ht="30">
      <c r="A42" s="147" t="s">
        <v>146</v>
      </c>
      <c r="B42" s="155" t="s">
        <v>152</v>
      </c>
      <c r="C42" s="142">
        <v>1825.6</v>
      </c>
      <c r="D42" s="143">
        <v>361.8</v>
      </c>
      <c r="E42" s="157">
        <f t="shared" si="4"/>
        <v>19.81814198071867</v>
      </c>
      <c r="F42" s="143">
        <v>0</v>
      </c>
      <c r="G42" s="143">
        <v>0</v>
      </c>
      <c r="H42" s="156">
        <v>0</v>
      </c>
      <c r="I42" s="144">
        <f t="shared" si="0"/>
        <v>1825.6</v>
      </c>
      <c r="J42" s="145">
        <f t="shared" si="0"/>
        <v>361.8</v>
      </c>
      <c r="K42" s="146">
        <f t="shared" si="1"/>
        <v>19.81814198071867</v>
      </c>
    </row>
    <row r="43" spans="1:11" ht="45">
      <c r="A43" s="147" t="s">
        <v>146</v>
      </c>
      <c r="B43" s="155" t="s">
        <v>153</v>
      </c>
      <c r="C43" s="142">
        <v>10.5</v>
      </c>
      <c r="D43" s="143">
        <v>0</v>
      </c>
      <c r="E43" s="157">
        <f t="shared" si="4"/>
        <v>0</v>
      </c>
      <c r="F43" s="143"/>
      <c r="G43" s="143"/>
      <c r="H43" s="156">
        <v>0</v>
      </c>
      <c r="I43" s="144">
        <f t="shared" si="0"/>
        <v>10.5</v>
      </c>
      <c r="J43" s="145">
        <f t="shared" si="0"/>
        <v>0</v>
      </c>
      <c r="K43" s="146">
        <f t="shared" si="1"/>
        <v>0</v>
      </c>
    </row>
    <row r="44" spans="1:11" ht="15">
      <c r="A44" s="147" t="s">
        <v>146</v>
      </c>
      <c r="B44" s="155" t="s">
        <v>154</v>
      </c>
      <c r="C44" s="142"/>
      <c r="D44" s="143"/>
      <c r="E44" s="157"/>
      <c r="F44" s="143">
        <v>262</v>
      </c>
      <c r="G44" s="143">
        <v>0</v>
      </c>
      <c r="H44" s="156">
        <f>G44/F44*100</f>
        <v>0</v>
      </c>
      <c r="I44" s="144">
        <f>C44+F44</f>
        <v>262</v>
      </c>
      <c r="J44" s="145">
        <f>D44+G44</f>
        <v>0</v>
      </c>
      <c r="K44" s="146">
        <f>J44/I44*100</f>
        <v>0</v>
      </c>
    </row>
    <row r="45" spans="1:11" ht="14.25">
      <c r="A45" s="135" t="s">
        <v>155</v>
      </c>
      <c r="B45" s="136" t="s">
        <v>156</v>
      </c>
      <c r="C45" s="158">
        <f>SUM(C46:C63)</f>
        <v>208871.7</v>
      </c>
      <c r="D45" s="158">
        <f>SUM(D46:D63)</f>
        <v>56643.6</v>
      </c>
      <c r="E45" s="137">
        <f t="shared" si="4"/>
        <v>27.118848556314713</v>
      </c>
      <c r="F45" s="159">
        <f>SUM(F46:F63)</f>
        <v>133816.40000000002</v>
      </c>
      <c r="G45" s="159">
        <f>SUM(G46:G63)</f>
        <v>15713.599999999999</v>
      </c>
      <c r="H45" s="159">
        <f>G45/F45*100</f>
        <v>11.742656356022128</v>
      </c>
      <c r="I45" s="158">
        <f>SUM(I46:I63)</f>
        <v>292212.10000000003</v>
      </c>
      <c r="J45" s="158">
        <f>SUM(J46:J63)</f>
        <v>72007.2</v>
      </c>
      <c r="K45" s="139">
        <f t="shared" si="1"/>
        <v>24.64210072067515</v>
      </c>
    </row>
    <row r="46" spans="1:11" ht="90">
      <c r="A46" s="140" t="s">
        <v>157</v>
      </c>
      <c r="B46" s="141" t="s">
        <v>158</v>
      </c>
      <c r="C46" s="142">
        <f>30644.1+45665.6</f>
        <v>76309.7</v>
      </c>
      <c r="D46" s="142">
        <v>43532.2</v>
      </c>
      <c r="E46" s="142">
        <f t="shared" si="4"/>
        <v>57.04674504027666</v>
      </c>
      <c r="F46" s="143">
        <v>0</v>
      </c>
      <c r="G46" s="143">
        <v>0</v>
      </c>
      <c r="H46" s="143">
        <v>0</v>
      </c>
      <c r="I46" s="144">
        <f t="shared" si="0"/>
        <v>76309.7</v>
      </c>
      <c r="J46" s="145">
        <f t="shared" si="0"/>
        <v>43532.2</v>
      </c>
      <c r="K46" s="146">
        <f t="shared" si="1"/>
        <v>57.04674504027666</v>
      </c>
    </row>
    <row r="47" spans="1:11" ht="45">
      <c r="A47" s="140" t="s">
        <v>157</v>
      </c>
      <c r="B47" s="141" t="s">
        <v>159</v>
      </c>
      <c r="C47" s="142">
        <v>1700</v>
      </c>
      <c r="D47" s="142">
        <v>476.1</v>
      </c>
      <c r="E47" s="142">
        <f t="shared" si="4"/>
        <v>28.005882352941182</v>
      </c>
      <c r="F47" s="143"/>
      <c r="G47" s="143"/>
      <c r="H47" s="143"/>
      <c r="I47" s="144">
        <f t="shared" si="0"/>
        <v>1700</v>
      </c>
      <c r="J47" s="145">
        <f t="shared" si="0"/>
        <v>476.1</v>
      </c>
      <c r="K47" s="146">
        <f t="shared" si="1"/>
        <v>28.005882352941182</v>
      </c>
    </row>
    <row r="48" spans="1:11" ht="30">
      <c r="A48" s="147" t="s">
        <v>157</v>
      </c>
      <c r="B48" s="141" t="s">
        <v>160</v>
      </c>
      <c r="C48" s="142"/>
      <c r="D48" s="142"/>
      <c r="E48" s="142"/>
      <c r="F48" s="143">
        <v>18238.8</v>
      </c>
      <c r="G48" s="143">
        <v>571.7</v>
      </c>
      <c r="H48" s="143">
        <f>G48/F48*100</f>
        <v>3.134526394280326</v>
      </c>
      <c r="I48" s="144">
        <f t="shared" si="0"/>
        <v>18238.8</v>
      </c>
      <c r="J48" s="145">
        <f t="shared" si="0"/>
        <v>571.7</v>
      </c>
      <c r="K48" s="146">
        <f t="shared" si="1"/>
        <v>3.134526394280326</v>
      </c>
    </row>
    <row r="49" spans="1:11" ht="120">
      <c r="A49" s="140" t="s">
        <v>161</v>
      </c>
      <c r="B49" s="141" t="s">
        <v>162</v>
      </c>
      <c r="C49" s="142">
        <v>7886.6</v>
      </c>
      <c r="D49" s="157">
        <v>1229.5</v>
      </c>
      <c r="E49" s="142">
        <f t="shared" si="4"/>
        <v>15.589734486343925</v>
      </c>
      <c r="F49" s="143"/>
      <c r="G49" s="143"/>
      <c r="H49" s="143"/>
      <c r="I49" s="144">
        <f t="shared" si="0"/>
        <v>7886.6</v>
      </c>
      <c r="J49" s="145">
        <f t="shared" si="0"/>
        <v>1229.5</v>
      </c>
      <c r="K49" s="146">
        <f t="shared" si="1"/>
        <v>15.589734486343925</v>
      </c>
    </row>
    <row r="50" spans="1:11" ht="120">
      <c r="A50" s="140" t="s">
        <v>161</v>
      </c>
      <c r="B50" s="141" t="s">
        <v>163</v>
      </c>
      <c r="C50" s="142">
        <v>13994.9</v>
      </c>
      <c r="D50" s="142">
        <v>1854.4</v>
      </c>
      <c r="E50" s="142">
        <f t="shared" si="4"/>
        <v>13.250541268604993</v>
      </c>
      <c r="F50" s="143"/>
      <c r="G50" s="143"/>
      <c r="H50" s="143"/>
      <c r="I50" s="144">
        <f t="shared" si="0"/>
        <v>13994.9</v>
      </c>
      <c r="J50" s="145">
        <f t="shared" si="0"/>
        <v>1854.4</v>
      </c>
      <c r="K50" s="146">
        <f t="shared" si="1"/>
        <v>13.250541268604993</v>
      </c>
    </row>
    <row r="51" spans="1:11" ht="120">
      <c r="A51" s="147" t="s">
        <v>161</v>
      </c>
      <c r="B51" s="141" t="s">
        <v>164</v>
      </c>
      <c r="C51" s="142">
        <v>4334.1</v>
      </c>
      <c r="D51" s="142">
        <v>1816.4</v>
      </c>
      <c r="E51" s="142">
        <f t="shared" si="4"/>
        <v>41.90950831775916</v>
      </c>
      <c r="F51" s="143"/>
      <c r="G51" s="143"/>
      <c r="H51" s="143"/>
      <c r="I51" s="144">
        <f t="shared" si="0"/>
        <v>4334.1</v>
      </c>
      <c r="J51" s="145">
        <f t="shared" si="0"/>
        <v>1816.4</v>
      </c>
      <c r="K51" s="146">
        <f t="shared" si="1"/>
        <v>41.90950831775916</v>
      </c>
    </row>
    <row r="52" spans="1:11" ht="120">
      <c r="A52" s="147" t="s">
        <v>161</v>
      </c>
      <c r="B52" s="141" t="s">
        <v>165</v>
      </c>
      <c r="C52" s="142">
        <v>6501.1</v>
      </c>
      <c r="D52" s="142">
        <v>0</v>
      </c>
      <c r="E52" s="142">
        <f t="shared" si="4"/>
        <v>0</v>
      </c>
      <c r="F52" s="143"/>
      <c r="G52" s="143"/>
      <c r="H52" s="143"/>
      <c r="I52" s="144">
        <f t="shared" si="0"/>
        <v>6501.1</v>
      </c>
      <c r="J52" s="145">
        <f t="shared" si="0"/>
        <v>0</v>
      </c>
      <c r="K52" s="146">
        <f t="shared" si="1"/>
        <v>0</v>
      </c>
    </row>
    <row r="53" spans="1:11" ht="153">
      <c r="A53" s="140" t="s">
        <v>161</v>
      </c>
      <c r="B53" s="160" t="s">
        <v>166</v>
      </c>
      <c r="C53" s="142">
        <v>40704.6</v>
      </c>
      <c r="D53" s="142">
        <v>7385</v>
      </c>
      <c r="E53" s="142">
        <f>D53/C53*100</f>
        <v>18.142912594645324</v>
      </c>
      <c r="F53" s="143"/>
      <c r="G53" s="143"/>
      <c r="H53" s="143"/>
      <c r="I53" s="144">
        <f>C53+F53</f>
        <v>40704.6</v>
      </c>
      <c r="J53" s="145">
        <f>D53+G53</f>
        <v>7385</v>
      </c>
      <c r="K53" s="146">
        <f>J53/I53*100</f>
        <v>18.142912594645324</v>
      </c>
    </row>
    <row r="54" spans="1:11" ht="150">
      <c r="A54" s="147" t="s">
        <v>161</v>
      </c>
      <c r="B54" s="155" t="s">
        <v>167</v>
      </c>
      <c r="C54" s="142">
        <f>41067.3+2401.6+4004.2</f>
        <v>47473.1</v>
      </c>
      <c r="D54" s="142"/>
      <c r="E54" s="142">
        <f t="shared" si="4"/>
        <v>0</v>
      </c>
      <c r="F54" s="143">
        <f>41067.5+1133.7</f>
        <v>42201.2</v>
      </c>
      <c r="G54" s="143"/>
      <c r="H54" s="143">
        <f>G54/F54*100</f>
        <v>0</v>
      </c>
      <c r="I54" s="144">
        <f>C54+F54-41067.3</f>
        <v>48606.999999999985</v>
      </c>
      <c r="J54" s="145">
        <f>D54+G54</f>
        <v>0</v>
      </c>
      <c r="K54" s="146">
        <f t="shared" si="1"/>
        <v>0</v>
      </c>
    </row>
    <row r="55" spans="1:11" ht="60">
      <c r="A55" s="147" t="s">
        <v>161</v>
      </c>
      <c r="B55" s="155" t="s">
        <v>168</v>
      </c>
      <c r="C55" s="142"/>
      <c r="D55" s="142"/>
      <c r="E55" s="142"/>
      <c r="F55" s="143">
        <v>6781</v>
      </c>
      <c r="G55" s="143">
        <v>5448.9</v>
      </c>
      <c r="H55" s="143">
        <f aca="true" t="shared" si="6" ref="H55:H62">G55/F55*100</f>
        <v>80.3554048075505</v>
      </c>
      <c r="I55" s="144">
        <f t="shared" si="0"/>
        <v>6781</v>
      </c>
      <c r="J55" s="145">
        <f>D55+G55</f>
        <v>5448.9</v>
      </c>
      <c r="K55" s="161">
        <f t="shared" si="1"/>
        <v>80.3554048075505</v>
      </c>
    </row>
    <row r="56" spans="1:11" ht="15">
      <c r="A56" s="147" t="s">
        <v>161</v>
      </c>
      <c r="B56" s="155" t="s">
        <v>169</v>
      </c>
      <c r="C56" s="142"/>
      <c r="D56" s="142"/>
      <c r="E56" s="142"/>
      <c r="F56" s="143">
        <v>8401.2</v>
      </c>
      <c r="G56" s="143">
        <v>940</v>
      </c>
      <c r="H56" s="143">
        <f t="shared" si="6"/>
        <v>11.188877779364852</v>
      </c>
      <c r="I56" s="144">
        <f t="shared" si="0"/>
        <v>8401.2</v>
      </c>
      <c r="J56" s="145">
        <f>D56+G56</f>
        <v>940</v>
      </c>
      <c r="K56" s="146">
        <f t="shared" si="1"/>
        <v>11.188877779364852</v>
      </c>
    </row>
    <row r="57" spans="1:11" ht="75">
      <c r="A57" s="147" t="s">
        <v>170</v>
      </c>
      <c r="B57" s="141" t="s">
        <v>171</v>
      </c>
      <c r="C57" s="142">
        <v>500</v>
      </c>
      <c r="D57" s="142">
        <v>0</v>
      </c>
      <c r="E57" s="142">
        <f t="shared" si="4"/>
        <v>0</v>
      </c>
      <c r="F57" s="142">
        <v>500</v>
      </c>
      <c r="G57" s="143"/>
      <c r="H57" s="143">
        <f t="shared" si="6"/>
        <v>0</v>
      </c>
      <c r="I57" s="144">
        <f>C57+F57-500</f>
        <v>500</v>
      </c>
      <c r="J57" s="145">
        <f>D57+G57</f>
        <v>0</v>
      </c>
      <c r="K57" s="146">
        <f t="shared" si="1"/>
        <v>0</v>
      </c>
    </row>
    <row r="58" spans="1:11" ht="45">
      <c r="A58" s="147" t="s">
        <v>170</v>
      </c>
      <c r="B58" s="141" t="s">
        <v>172</v>
      </c>
      <c r="C58" s="142">
        <v>700</v>
      </c>
      <c r="D58" s="142">
        <v>350</v>
      </c>
      <c r="E58" s="142">
        <f t="shared" si="4"/>
        <v>50</v>
      </c>
      <c r="F58" s="142">
        <v>700</v>
      </c>
      <c r="G58" s="143"/>
      <c r="H58" s="143">
        <f t="shared" si="6"/>
        <v>0</v>
      </c>
      <c r="I58" s="144">
        <f>C58+F58-700</f>
        <v>700</v>
      </c>
      <c r="J58" s="144">
        <f>D58+G58-350</f>
        <v>0</v>
      </c>
      <c r="K58" s="146">
        <f t="shared" si="1"/>
        <v>0</v>
      </c>
    </row>
    <row r="59" spans="1:11" ht="30">
      <c r="A59" s="147"/>
      <c r="B59" s="141" t="s">
        <v>173</v>
      </c>
      <c r="C59" s="142">
        <v>100</v>
      </c>
      <c r="D59" s="142"/>
      <c r="E59" s="142">
        <f t="shared" si="4"/>
        <v>0</v>
      </c>
      <c r="F59" s="142"/>
      <c r="G59" s="143"/>
      <c r="H59" s="143"/>
      <c r="I59" s="144">
        <f>C59+F59</f>
        <v>100</v>
      </c>
      <c r="J59" s="144"/>
      <c r="K59" s="146"/>
    </row>
    <row r="60" spans="1:11" ht="75">
      <c r="A60" s="147" t="s">
        <v>170</v>
      </c>
      <c r="B60" s="141" t="s">
        <v>174</v>
      </c>
      <c r="C60" s="142"/>
      <c r="D60" s="142"/>
      <c r="E60" s="142" t="e">
        <f t="shared" si="4"/>
        <v>#DIV/0!</v>
      </c>
      <c r="F60" s="142">
        <v>1314.1</v>
      </c>
      <c r="G60" s="143"/>
      <c r="H60" s="143">
        <f t="shared" si="6"/>
        <v>0</v>
      </c>
      <c r="I60" s="144">
        <f>C60+F60</f>
        <v>1314.1</v>
      </c>
      <c r="J60" s="145">
        <f>D60+G60</f>
        <v>0</v>
      </c>
      <c r="K60" s="146">
        <f t="shared" si="1"/>
        <v>0</v>
      </c>
    </row>
    <row r="61" spans="1:11" ht="30">
      <c r="A61" s="147" t="s">
        <v>170</v>
      </c>
      <c r="B61" s="141" t="s">
        <v>175</v>
      </c>
      <c r="C61" s="142">
        <f>8208.7+432</f>
        <v>8640.7</v>
      </c>
      <c r="D61" s="142">
        <v>0</v>
      </c>
      <c r="E61" s="142">
        <f t="shared" si="4"/>
        <v>0</v>
      </c>
      <c r="F61" s="142">
        <f>8208.7+1706.1</f>
        <v>9914.800000000001</v>
      </c>
      <c r="G61" s="143"/>
      <c r="H61" s="143">
        <f t="shared" si="6"/>
        <v>0</v>
      </c>
      <c r="I61" s="144">
        <f>C61+F61-5746.1-2462.6</f>
        <v>10346.8</v>
      </c>
      <c r="J61" s="145">
        <f>D61+G61</f>
        <v>0</v>
      </c>
      <c r="K61" s="146">
        <f t="shared" si="1"/>
        <v>0</v>
      </c>
    </row>
    <row r="62" spans="1:11" ht="15">
      <c r="A62" s="140" t="s">
        <v>170</v>
      </c>
      <c r="B62" s="141" t="s">
        <v>176</v>
      </c>
      <c r="C62" s="142">
        <v>0</v>
      </c>
      <c r="D62" s="142"/>
      <c r="E62" s="157">
        <v>0</v>
      </c>
      <c r="F62" s="142">
        <v>45765.3</v>
      </c>
      <c r="G62" s="143">
        <v>8753</v>
      </c>
      <c r="H62" s="143">
        <f t="shared" si="6"/>
        <v>19.125844253178716</v>
      </c>
      <c r="I62" s="144">
        <f>C62+F62</f>
        <v>45765.3</v>
      </c>
      <c r="J62" s="145">
        <f>D62+G62</f>
        <v>8753</v>
      </c>
      <c r="K62" s="146">
        <f t="shared" si="1"/>
        <v>19.125844253178716</v>
      </c>
    </row>
    <row r="63" spans="1:11" ht="15">
      <c r="A63" s="147" t="s">
        <v>177</v>
      </c>
      <c r="B63" s="141" t="s">
        <v>178</v>
      </c>
      <c r="C63" s="142">
        <v>26.9</v>
      </c>
      <c r="D63" s="142">
        <v>0</v>
      </c>
      <c r="E63" s="142">
        <f>D63/C63*100</f>
        <v>0</v>
      </c>
      <c r="F63" s="142">
        <v>0</v>
      </c>
      <c r="G63" s="143">
        <v>0</v>
      </c>
      <c r="H63" s="143">
        <v>0</v>
      </c>
      <c r="I63" s="144">
        <f>C63+F63</f>
        <v>26.9</v>
      </c>
      <c r="J63" s="145">
        <f>D63+G63</f>
        <v>0</v>
      </c>
      <c r="K63" s="162">
        <f t="shared" si="1"/>
        <v>0</v>
      </c>
    </row>
    <row r="64" spans="1:11" ht="15">
      <c r="A64" s="163" t="s">
        <v>179</v>
      </c>
      <c r="B64" s="164" t="s">
        <v>180</v>
      </c>
      <c r="C64" s="159">
        <f aca="true" t="shared" si="7" ref="C64:H64">C65</f>
        <v>108.1</v>
      </c>
      <c r="D64" s="159">
        <f t="shared" si="7"/>
        <v>108.1</v>
      </c>
      <c r="E64" s="165">
        <f t="shared" si="4"/>
        <v>100</v>
      </c>
      <c r="F64" s="159">
        <f t="shared" si="7"/>
        <v>0</v>
      </c>
      <c r="G64" s="159">
        <f t="shared" si="7"/>
        <v>0</v>
      </c>
      <c r="H64" s="138">
        <f t="shared" si="7"/>
        <v>0</v>
      </c>
      <c r="I64" s="159">
        <f t="shared" si="0"/>
        <v>108.1</v>
      </c>
      <c r="J64" s="159">
        <f t="shared" si="0"/>
        <v>108.1</v>
      </c>
      <c r="K64" s="139">
        <v>0</v>
      </c>
    </row>
    <row r="65" spans="1:11" ht="15">
      <c r="A65" s="147" t="s">
        <v>181</v>
      </c>
      <c r="B65" s="166" t="s">
        <v>182</v>
      </c>
      <c r="C65" s="143">
        <v>108.1</v>
      </c>
      <c r="D65" s="143">
        <v>108.1</v>
      </c>
      <c r="E65" s="142">
        <f t="shared" si="4"/>
        <v>100</v>
      </c>
      <c r="F65" s="143">
        <v>0</v>
      </c>
      <c r="G65" s="143">
        <v>0</v>
      </c>
      <c r="H65" s="143">
        <v>0</v>
      </c>
      <c r="I65" s="144">
        <f t="shared" si="0"/>
        <v>108.1</v>
      </c>
      <c r="J65" s="145">
        <f t="shared" si="0"/>
        <v>108.1</v>
      </c>
      <c r="K65" s="146">
        <f t="shared" si="1"/>
        <v>100</v>
      </c>
    </row>
    <row r="66" spans="1:11" ht="15">
      <c r="A66" s="135" t="s">
        <v>183</v>
      </c>
      <c r="B66" s="136" t="s">
        <v>184</v>
      </c>
      <c r="C66" s="137">
        <f>SUM(C67:C74)</f>
        <v>1965222.9</v>
      </c>
      <c r="D66" s="137">
        <f>SUM(D67:D74)</f>
        <v>451613.99999999994</v>
      </c>
      <c r="E66" s="137">
        <f>D66/C66*100</f>
        <v>22.980293991078568</v>
      </c>
      <c r="F66" s="159">
        <f>F67+F69+F70+F73+F74</f>
        <v>0</v>
      </c>
      <c r="G66" s="159">
        <f>SUM(G67:G74)</f>
        <v>0</v>
      </c>
      <c r="H66" s="138">
        <v>0</v>
      </c>
      <c r="I66" s="137">
        <f>SUM(I67:I74)</f>
        <v>1965222.9</v>
      </c>
      <c r="J66" s="137">
        <f>SUM(J67:J74)</f>
        <v>451613.99999999994</v>
      </c>
      <c r="K66" s="139">
        <f t="shared" si="1"/>
        <v>22.980293991078568</v>
      </c>
    </row>
    <row r="67" spans="1:11" ht="15">
      <c r="A67" s="140" t="s">
        <v>185</v>
      </c>
      <c r="B67" s="141" t="s">
        <v>186</v>
      </c>
      <c r="C67" s="142">
        <f>466034.1-C68</f>
        <v>391853.5</v>
      </c>
      <c r="D67" s="142">
        <f>107318.5-D68</f>
        <v>107133.6</v>
      </c>
      <c r="E67" s="142">
        <f t="shared" si="4"/>
        <v>27.340217708914178</v>
      </c>
      <c r="F67" s="143">
        <v>0</v>
      </c>
      <c r="G67" s="143">
        <v>0</v>
      </c>
      <c r="H67" s="143">
        <v>0</v>
      </c>
      <c r="I67" s="144">
        <f t="shared" si="0"/>
        <v>391853.5</v>
      </c>
      <c r="J67" s="145">
        <f t="shared" si="0"/>
        <v>107133.6</v>
      </c>
      <c r="K67" s="146">
        <f t="shared" si="1"/>
        <v>27.340217708914178</v>
      </c>
    </row>
    <row r="68" spans="1:11" ht="105">
      <c r="A68" s="140" t="s">
        <v>185</v>
      </c>
      <c r="B68" s="141" t="s">
        <v>187</v>
      </c>
      <c r="C68" s="142">
        <f>59782.1+14398.5</f>
        <v>74180.6</v>
      </c>
      <c r="D68" s="142">
        <v>184.9</v>
      </c>
      <c r="E68" s="142">
        <f t="shared" si="4"/>
        <v>0.249256544163838</v>
      </c>
      <c r="F68" s="143"/>
      <c r="G68" s="143"/>
      <c r="H68" s="143"/>
      <c r="I68" s="144">
        <f t="shared" si="0"/>
        <v>74180.6</v>
      </c>
      <c r="J68" s="145">
        <f t="shared" si="0"/>
        <v>184.9</v>
      </c>
      <c r="K68" s="146">
        <f t="shared" si="1"/>
        <v>0.249256544163838</v>
      </c>
    </row>
    <row r="69" spans="1:11" ht="15">
      <c r="A69" s="140" t="s">
        <v>188</v>
      </c>
      <c r="B69" s="141" t="s">
        <v>189</v>
      </c>
      <c r="C69" s="142">
        <f>1229574.8-C70-C71</f>
        <v>1069426.8</v>
      </c>
      <c r="D69" s="142">
        <f>272021.3-D70-D71</f>
        <v>235217.40000000002</v>
      </c>
      <c r="E69" s="142">
        <f t="shared" si="4"/>
        <v>21.994717169983026</v>
      </c>
      <c r="F69" s="143">
        <v>0</v>
      </c>
      <c r="G69" s="143">
        <v>0</v>
      </c>
      <c r="H69" s="143">
        <v>0</v>
      </c>
      <c r="I69" s="144">
        <f t="shared" si="0"/>
        <v>1069426.8</v>
      </c>
      <c r="J69" s="145">
        <f t="shared" si="0"/>
        <v>235217.40000000002</v>
      </c>
      <c r="K69" s="146">
        <f t="shared" si="1"/>
        <v>21.994717169983026</v>
      </c>
    </row>
    <row r="70" spans="1:11" ht="15">
      <c r="A70" s="140" t="s">
        <v>188</v>
      </c>
      <c r="B70" s="141" t="s">
        <v>190</v>
      </c>
      <c r="C70" s="142">
        <f>30825+20887.7+242</f>
        <v>51954.7</v>
      </c>
      <c r="D70" s="142">
        <v>8024.6</v>
      </c>
      <c r="E70" s="142">
        <f t="shared" si="4"/>
        <v>15.445378377702115</v>
      </c>
      <c r="F70" s="143">
        <v>0</v>
      </c>
      <c r="G70" s="143">
        <v>0</v>
      </c>
      <c r="H70" s="143">
        <v>0</v>
      </c>
      <c r="I70" s="144">
        <f t="shared" si="0"/>
        <v>51954.7</v>
      </c>
      <c r="J70" s="145">
        <f t="shared" si="0"/>
        <v>8024.6</v>
      </c>
      <c r="K70" s="146">
        <f t="shared" si="1"/>
        <v>15.445378377702115</v>
      </c>
    </row>
    <row r="71" spans="1:11" ht="105">
      <c r="A71" s="140" t="s">
        <v>188</v>
      </c>
      <c r="B71" s="141" t="s">
        <v>191</v>
      </c>
      <c r="C71" s="142">
        <f>97374+10819.3</f>
        <v>108193.3</v>
      </c>
      <c r="D71" s="142">
        <v>28779.3</v>
      </c>
      <c r="E71" s="142">
        <f t="shared" si="4"/>
        <v>26.59989112079953</v>
      </c>
      <c r="F71" s="143">
        <v>0</v>
      </c>
      <c r="G71" s="143">
        <v>0</v>
      </c>
      <c r="H71" s="143">
        <v>0</v>
      </c>
      <c r="I71" s="144">
        <f t="shared" si="0"/>
        <v>108193.3</v>
      </c>
      <c r="J71" s="145">
        <f t="shared" si="0"/>
        <v>28779.3</v>
      </c>
      <c r="K71" s="146">
        <f t="shared" si="1"/>
        <v>26.59989112079953</v>
      </c>
    </row>
    <row r="72" spans="1:11" ht="15">
      <c r="A72" s="140" t="s">
        <v>192</v>
      </c>
      <c r="B72" s="141" t="s">
        <v>193</v>
      </c>
      <c r="C72" s="142">
        <v>195304.6</v>
      </c>
      <c r="D72" s="157">
        <v>58272.1</v>
      </c>
      <c r="E72" s="142">
        <f t="shared" si="4"/>
        <v>29.83652202764297</v>
      </c>
      <c r="F72" s="143"/>
      <c r="G72" s="143"/>
      <c r="H72" s="143"/>
      <c r="I72" s="144">
        <f t="shared" si="0"/>
        <v>195304.6</v>
      </c>
      <c r="J72" s="145">
        <f t="shared" si="0"/>
        <v>58272.1</v>
      </c>
      <c r="K72" s="146">
        <f t="shared" si="1"/>
        <v>29.83652202764297</v>
      </c>
    </row>
    <row r="73" spans="1:11" ht="15">
      <c r="A73" s="140" t="s">
        <v>194</v>
      </c>
      <c r="B73" s="141" t="s">
        <v>195</v>
      </c>
      <c r="C73" s="142">
        <v>26447.2</v>
      </c>
      <c r="D73" s="142">
        <v>1354.8</v>
      </c>
      <c r="E73" s="142">
        <f t="shared" si="4"/>
        <v>5.122659487582807</v>
      </c>
      <c r="F73" s="143"/>
      <c r="G73" s="143"/>
      <c r="H73" s="143"/>
      <c r="I73" s="144">
        <f>C73+F73</f>
        <v>26447.2</v>
      </c>
      <c r="J73" s="145">
        <f>D73+G73</f>
        <v>1354.8</v>
      </c>
      <c r="K73" s="146">
        <f t="shared" si="1"/>
        <v>5.122659487582807</v>
      </c>
    </row>
    <row r="74" spans="1:11" ht="15">
      <c r="A74" s="140" t="s">
        <v>196</v>
      </c>
      <c r="B74" s="141" t="s">
        <v>197</v>
      </c>
      <c r="C74" s="142">
        <v>47862.2</v>
      </c>
      <c r="D74" s="142">
        <v>12647.3</v>
      </c>
      <c r="E74" s="142">
        <f t="shared" si="4"/>
        <v>26.424401719937656</v>
      </c>
      <c r="F74" s="143">
        <v>0</v>
      </c>
      <c r="G74" s="143"/>
      <c r="H74" s="143">
        <v>0</v>
      </c>
      <c r="I74" s="144">
        <f t="shared" si="0"/>
        <v>47862.2</v>
      </c>
      <c r="J74" s="145">
        <f>D74+G74</f>
        <v>12647.3</v>
      </c>
      <c r="K74" s="146">
        <f t="shared" si="1"/>
        <v>26.424401719937656</v>
      </c>
    </row>
    <row r="75" spans="1:11" ht="15">
      <c r="A75" s="135" t="s">
        <v>198</v>
      </c>
      <c r="B75" s="136" t="s">
        <v>199</v>
      </c>
      <c r="C75" s="137">
        <f>SUM(C76:C79)</f>
        <v>65963.7</v>
      </c>
      <c r="D75" s="137">
        <f>SUM(D76:D79)</f>
        <v>18317.500000000004</v>
      </c>
      <c r="E75" s="137">
        <f>D75/C75*100</f>
        <v>27.76906086226213</v>
      </c>
      <c r="F75" s="159">
        <f>SUM(F76:F79)</f>
        <v>107917.2</v>
      </c>
      <c r="G75" s="159">
        <f>SUM(G76:G79)</f>
        <v>19677</v>
      </c>
      <c r="H75" s="138">
        <f>G75/F75*100</f>
        <v>18.233423402386276</v>
      </c>
      <c r="I75" s="159">
        <f>SUM(I76:I79)</f>
        <v>173082.8</v>
      </c>
      <c r="J75" s="159">
        <f>SUM(J76:J79)</f>
        <v>37694.5</v>
      </c>
      <c r="K75" s="139">
        <f t="shared" si="1"/>
        <v>21.77830495000081</v>
      </c>
    </row>
    <row r="76" spans="1:11" ht="15">
      <c r="A76" s="140" t="s">
        <v>200</v>
      </c>
      <c r="B76" s="141" t="s">
        <v>201</v>
      </c>
      <c r="C76" s="142">
        <f>63096.6-C77</f>
        <v>62267.2</v>
      </c>
      <c r="D76" s="142">
        <f>17679.9-D77</f>
        <v>17679.9</v>
      </c>
      <c r="E76" s="142">
        <f t="shared" si="4"/>
        <v>28.39360048307938</v>
      </c>
      <c r="F76" s="143">
        <f>107557.2-F77</f>
        <v>107414.2</v>
      </c>
      <c r="G76" s="143">
        <f>19657.1-G77</f>
        <v>19657.1</v>
      </c>
      <c r="H76" s="143">
        <f>G76/F76*100</f>
        <v>18.30028059604782</v>
      </c>
      <c r="I76" s="144">
        <f>C76+F76-655.1</f>
        <v>169026.3</v>
      </c>
      <c r="J76" s="145">
        <f>D76+G76-300</f>
        <v>37037</v>
      </c>
      <c r="K76" s="146">
        <f t="shared" si="1"/>
        <v>21.91197464536584</v>
      </c>
    </row>
    <row r="77" spans="1:11" ht="30">
      <c r="A77" s="167" t="s">
        <v>200</v>
      </c>
      <c r="B77" s="168" t="s">
        <v>202</v>
      </c>
      <c r="C77" s="142">
        <f>587+103.7+117.9+20.8</f>
        <v>829.4</v>
      </c>
      <c r="D77" s="142">
        <v>0</v>
      </c>
      <c r="E77" s="142">
        <f t="shared" si="4"/>
        <v>0</v>
      </c>
      <c r="F77" s="143">
        <f>128+15</f>
        <v>143</v>
      </c>
      <c r="G77" s="143">
        <v>0</v>
      </c>
      <c r="H77" s="143">
        <f>G77/F77*100</f>
        <v>0</v>
      </c>
      <c r="I77" s="144">
        <f>C77+F77-143</f>
        <v>829.4</v>
      </c>
      <c r="J77" s="145">
        <f>D77+G77</f>
        <v>0</v>
      </c>
      <c r="K77" s="146">
        <f>J77/I77*100</f>
        <v>0</v>
      </c>
    </row>
    <row r="78" spans="1:11" ht="15">
      <c r="A78" s="140" t="s">
        <v>203</v>
      </c>
      <c r="B78" s="141" t="s">
        <v>204</v>
      </c>
      <c r="C78" s="142">
        <v>150</v>
      </c>
      <c r="D78" s="142">
        <v>16.2</v>
      </c>
      <c r="E78" s="142">
        <f t="shared" si="4"/>
        <v>10.8</v>
      </c>
      <c r="F78" s="143">
        <v>360</v>
      </c>
      <c r="G78" s="143">
        <v>19.9</v>
      </c>
      <c r="H78" s="143">
        <f>G78/F78*100</f>
        <v>5.527777777777778</v>
      </c>
      <c r="I78" s="144">
        <f aca="true" t="shared" si="8" ref="I78:J87">C78+F78</f>
        <v>510</v>
      </c>
      <c r="J78" s="145">
        <f t="shared" si="8"/>
        <v>36.099999999999994</v>
      </c>
      <c r="K78" s="146">
        <f aca="true" t="shared" si="9" ref="K78:K101">J78/I78*100</f>
        <v>7.078431372549018</v>
      </c>
    </row>
    <row r="79" spans="1:11" ht="15">
      <c r="A79" s="140" t="s">
        <v>205</v>
      </c>
      <c r="B79" s="141" t="s">
        <v>206</v>
      </c>
      <c r="C79" s="142">
        <v>2717.1</v>
      </c>
      <c r="D79" s="142">
        <v>621.4</v>
      </c>
      <c r="E79" s="142">
        <f t="shared" si="4"/>
        <v>22.869971660962054</v>
      </c>
      <c r="F79" s="143"/>
      <c r="G79" s="143">
        <v>0</v>
      </c>
      <c r="H79" s="143"/>
      <c r="I79" s="144">
        <f>C79+F79</f>
        <v>2717.1</v>
      </c>
      <c r="J79" s="145">
        <f>D79+G79</f>
        <v>621.4</v>
      </c>
      <c r="K79" s="146">
        <f t="shared" si="9"/>
        <v>22.869971660962054</v>
      </c>
    </row>
    <row r="80" spans="1:11" ht="15">
      <c r="A80" s="135" t="s">
        <v>207</v>
      </c>
      <c r="B80" s="136" t="s">
        <v>208</v>
      </c>
      <c r="C80" s="137">
        <f>C81</f>
        <v>5212.1</v>
      </c>
      <c r="D80" s="137">
        <f>D81</f>
        <v>0</v>
      </c>
      <c r="E80" s="137">
        <f>D80/C80*100</f>
        <v>0</v>
      </c>
      <c r="F80" s="159">
        <v>0</v>
      </c>
      <c r="G80" s="159">
        <v>0</v>
      </c>
      <c r="H80" s="138"/>
      <c r="I80" s="159">
        <f>C80+F80</f>
        <v>5212.1</v>
      </c>
      <c r="J80" s="159">
        <f t="shared" si="8"/>
        <v>0</v>
      </c>
      <c r="K80" s="139">
        <f t="shared" si="9"/>
        <v>0</v>
      </c>
    </row>
    <row r="81" spans="1:11" ht="45">
      <c r="A81" s="147" t="s">
        <v>209</v>
      </c>
      <c r="B81" s="168" t="s">
        <v>210</v>
      </c>
      <c r="C81" s="142">
        <v>5212.1</v>
      </c>
      <c r="D81" s="143">
        <v>0</v>
      </c>
      <c r="E81" s="142">
        <f t="shared" si="4"/>
        <v>0</v>
      </c>
      <c r="F81" s="143">
        <v>0</v>
      </c>
      <c r="G81" s="143">
        <v>0</v>
      </c>
      <c r="H81" s="143">
        <v>0</v>
      </c>
      <c r="I81" s="144">
        <f t="shared" si="8"/>
        <v>5212.1</v>
      </c>
      <c r="J81" s="145">
        <f t="shared" si="8"/>
        <v>0</v>
      </c>
      <c r="K81" s="146">
        <f t="shared" si="9"/>
        <v>0</v>
      </c>
    </row>
    <row r="82" spans="1:11" ht="15">
      <c r="A82" s="135">
        <v>10</v>
      </c>
      <c r="B82" s="136" t="s">
        <v>211</v>
      </c>
      <c r="C82" s="137">
        <f>SUM(C83:C89)</f>
        <v>139050.1</v>
      </c>
      <c r="D82" s="137">
        <f>SUM(D83:D89)</f>
        <v>16415</v>
      </c>
      <c r="E82" s="137">
        <f>D82/C82*100</f>
        <v>11.805097587128667</v>
      </c>
      <c r="F82" s="137">
        <f>SUM(F83:F87)</f>
        <v>492.9</v>
      </c>
      <c r="G82" s="137">
        <f>SUM(G83:G87)</f>
        <v>110</v>
      </c>
      <c r="H82" s="138">
        <f>G82/F82*100</f>
        <v>22.31689997971191</v>
      </c>
      <c r="I82" s="137">
        <f>SUM(I83:I89)</f>
        <v>139543</v>
      </c>
      <c r="J82" s="137">
        <f>SUM(J83:J89)</f>
        <v>16525</v>
      </c>
      <c r="K82" s="139">
        <f t="shared" si="9"/>
        <v>11.84222784374709</v>
      </c>
    </row>
    <row r="83" spans="1:11" ht="15">
      <c r="A83" s="147">
        <v>1001</v>
      </c>
      <c r="B83" s="141" t="s">
        <v>212</v>
      </c>
      <c r="C83" s="142">
        <v>4063</v>
      </c>
      <c r="D83" s="142">
        <v>925.3</v>
      </c>
      <c r="E83" s="142">
        <f t="shared" si="4"/>
        <v>22.773812453851832</v>
      </c>
      <c r="F83" s="143">
        <v>492.9</v>
      </c>
      <c r="G83" s="143">
        <v>110</v>
      </c>
      <c r="H83" s="143">
        <f>G83/F83*100</f>
        <v>22.31689997971191</v>
      </c>
      <c r="I83" s="144">
        <f t="shared" si="8"/>
        <v>4555.9</v>
      </c>
      <c r="J83" s="145">
        <f t="shared" si="8"/>
        <v>1035.3</v>
      </c>
      <c r="K83" s="146">
        <f t="shared" si="9"/>
        <v>22.724379376193507</v>
      </c>
    </row>
    <row r="84" spans="1:11" ht="60">
      <c r="A84" s="147">
        <v>1003</v>
      </c>
      <c r="B84" s="141" t="s">
        <v>213</v>
      </c>
      <c r="C84" s="142">
        <v>4756.3</v>
      </c>
      <c r="D84" s="142">
        <v>0</v>
      </c>
      <c r="E84" s="142">
        <f t="shared" si="4"/>
        <v>0</v>
      </c>
      <c r="F84" s="143">
        <v>0</v>
      </c>
      <c r="G84" s="143">
        <v>0</v>
      </c>
      <c r="H84" s="143">
        <v>0</v>
      </c>
      <c r="I84" s="144">
        <f t="shared" si="8"/>
        <v>4756.3</v>
      </c>
      <c r="J84" s="145">
        <f t="shared" si="8"/>
        <v>0</v>
      </c>
      <c r="K84" s="146">
        <f t="shared" si="9"/>
        <v>0</v>
      </c>
    </row>
    <row r="85" spans="1:11" ht="165">
      <c r="A85" s="147" t="s">
        <v>214</v>
      </c>
      <c r="B85" s="141" t="s">
        <v>215</v>
      </c>
      <c r="C85" s="142">
        <f>2548.1+134.1</f>
        <v>2682.2</v>
      </c>
      <c r="D85" s="142">
        <v>0</v>
      </c>
      <c r="E85" s="142">
        <f t="shared" si="4"/>
        <v>0</v>
      </c>
      <c r="F85" s="143"/>
      <c r="G85" s="143"/>
      <c r="H85" s="143"/>
      <c r="I85" s="144">
        <f t="shared" si="8"/>
        <v>2682.2</v>
      </c>
      <c r="J85" s="145">
        <f t="shared" si="8"/>
        <v>0</v>
      </c>
      <c r="K85" s="146">
        <f t="shared" si="9"/>
        <v>0</v>
      </c>
    </row>
    <row r="86" spans="1:11" ht="75">
      <c r="A86" s="147">
        <v>1004</v>
      </c>
      <c r="B86" s="141" t="s">
        <v>216</v>
      </c>
      <c r="C86" s="142">
        <v>31571</v>
      </c>
      <c r="D86" s="142">
        <v>3670.5</v>
      </c>
      <c r="E86" s="142">
        <f t="shared" si="4"/>
        <v>11.626175920940103</v>
      </c>
      <c r="F86" s="143">
        <v>0</v>
      </c>
      <c r="G86" s="143">
        <v>0</v>
      </c>
      <c r="H86" s="143">
        <v>0</v>
      </c>
      <c r="I86" s="144">
        <f t="shared" si="8"/>
        <v>31571</v>
      </c>
      <c r="J86" s="145">
        <f t="shared" si="8"/>
        <v>3670.5</v>
      </c>
      <c r="K86" s="146">
        <f t="shared" si="9"/>
        <v>11.626175920940103</v>
      </c>
    </row>
    <row r="87" spans="1:11" ht="150">
      <c r="A87" s="147">
        <v>1004</v>
      </c>
      <c r="B87" s="141" t="s">
        <v>217</v>
      </c>
      <c r="C87" s="142">
        <v>70674.5</v>
      </c>
      <c r="D87" s="142">
        <v>9409.9</v>
      </c>
      <c r="E87" s="142">
        <f aca="true" t="shared" si="10" ref="E87:E100">D87/C87*100</f>
        <v>13.31442033548168</v>
      </c>
      <c r="F87" s="143">
        <v>0</v>
      </c>
      <c r="G87" s="143">
        <v>0</v>
      </c>
      <c r="H87" s="143">
        <v>0</v>
      </c>
      <c r="I87" s="144">
        <f t="shared" si="8"/>
        <v>70674.5</v>
      </c>
      <c r="J87" s="145">
        <f t="shared" si="8"/>
        <v>9409.9</v>
      </c>
      <c r="K87" s="146">
        <f t="shared" si="9"/>
        <v>13.31442033548168</v>
      </c>
    </row>
    <row r="88" spans="1:11" ht="135">
      <c r="A88" s="147" t="s">
        <v>218</v>
      </c>
      <c r="B88" s="141" t="s">
        <v>219</v>
      </c>
      <c r="C88" s="142">
        <v>7662.9</v>
      </c>
      <c r="D88" s="142">
        <v>0</v>
      </c>
      <c r="E88" s="142">
        <f>D88/C88*100</f>
        <v>0</v>
      </c>
      <c r="F88" s="143">
        <v>0</v>
      </c>
      <c r="G88" s="143">
        <v>0</v>
      </c>
      <c r="H88" s="143">
        <v>0</v>
      </c>
      <c r="I88" s="144">
        <f>C88+F88</f>
        <v>7662.9</v>
      </c>
      <c r="J88" s="145">
        <f>D88+G88</f>
        <v>0</v>
      </c>
      <c r="K88" s="146">
        <f>J88/I88*100</f>
        <v>0</v>
      </c>
    </row>
    <row r="89" spans="1:11" ht="30">
      <c r="A89" s="147">
        <v>1006</v>
      </c>
      <c r="B89" s="141" t="s">
        <v>220</v>
      </c>
      <c r="C89" s="142">
        <v>17640.2</v>
      </c>
      <c r="D89" s="142">
        <v>2409.3</v>
      </c>
      <c r="E89" s="142">
        <f t="shared" si="10"/>
        <v>13.658008412603031</v>
      </c>
      <c r="F89" s="143">
        <v>0</v>
      </c>
      <c r="G89" s="143">
        <v>0</v>
      </c>
      <c r="H89" s="143">
        <v>0</v>
      </c>
      <c r="I89" s="144">
        <f>C89+F89</f>
        <v>17640.2</v>
      </c>
      <c r="J89" s="145">
        <f>D89+G89</f>
        <v>2409.3</v>
      </c>
      <c r="K89" s="146">
        <f t="shared" si="9"/>
        <v>13.658008412603031</v>
      </c>
    </row>
    <row r="90" spans="1:11" ht="15">
      <c r="A90" s="163">
        <v>1100</v>
      </c>
      <c r="B90" s="136" t="s">
        <v>221</v>
      </c>
      <c r="C90" s="137">
        <f>SUM(C91:C92)</f>
        <v>32661.7</v>
      </c>
      <c r="D90" s="137">
        <f>SUM(D91:D92)</f>
        <v>5808.4</v>
      </c>
      <c r="E90" s="137">
        <f>D90/C90*100</f>
        <v>17.783520147450986</v>
      </c>
      <c r="F90" s="159">
        <f>F91+F92</f>
        <v>33429</v>
      </c>
      <c r="G90" s="159">
        <f>G91+G92</f>
        <v>6548.3</v>
      </c>
      <c r="H90" s="138">
        <f>G90/F90*100</f>
        <v>19.588680487002303</v>
      </c>
      <c r="I90" s="159">
        <f>SUM(I91:I92)</f>
        <v>65865.7</v>
      </c>
      <c r="J90" s="159">
        <f>SUM(J91:J92)</f>
        <v>12131.7</v>
      </c>
      <c r="K90" s="139">
        <f t="shared" si="9"/>
        <v>18.418843191524573</v>
      </c>
    </row>
    <row r="91" spans="1:11" ht="15">
      <c r="A91" s="147">
        <v>1101</v>
      </c>
      <c r="B91" s="141" t="s">
        <v>222</v>
      </c>
      <c r="C91" s="142">
        <v>32506.7</v>
      </c>
      <c r="D91" s="142">
        <v>5808.4</v>
      </c>
      <c r="E91" s="142">
        <f t="shared" si="10"/>
        <v>17.86831637785441</v>
      </c>
      <c r="F91" s="143">
        <v>33429</v>
      </c>
      <c r="G91" s="143">
        <v>6548.3</v>
      </c>
      <c r="H91" s="143">
        <f>G91/F91*100</f>
        <v>19.588680487002303</v>
      </c>
      <c r="I91" s="144">
        <f>C91+F91-225</f>
        <v>65710.7</v>
      </c>
      <c r="J91" s="144">
        <f>D91+G91-225</f>
        <v>12131.7</v>
      </c>
      <c r="K91" s="146">
        <f t="shared" si="9"/>
        <v>18.46229000756346</v>
      </c>
    </row>
    <row r="92" spans="1:11" ht="15">
      <c r="A92" s="147">
        <v>1102</v>
      </c>
      <c r="B92" s="141" t="s">
        <v>223</v>
      </c>
      <c r="C92" s="142">
        <v>155</v>
      </c>
      <c r="D92" s="142">
        <v>0</v>
      </c>
      <c r="E92" s="142">
        <f t="shared" si="10"/>
        <v>0</v>
      </c>
      <c r="F92" s="143"/>
      <c r="G92" s="143">
        <v>0</v>
      </c>
      <c r="H92" s="143"/>
      <c r="I92" s="144">
        <f>C92+F92</f>
        <v>155</v>
      </c>
      <c r="J92" s="144">
        <f>D92+G92</f>
        <v>0</v>
      </c>
      <c r="K92" s="146">
        <f t="shared" si="9"/>
        <v>0</v>
      </c>
    </row>
    <row r="93" spans="1:11" ht="15">
      <c r="A93" s="163">
        <v>1200</v>
      </c>
      <c r="B93" s="136" t="s">
        <v>224</v>
      </c>
      <c r="C93" s="137">
        <f>C94</f>
        <v>8927.4</v>
      </c>
      <c r="D93" s="137">
        <f>D94</f>
        <v>4450</v>
      </c>
      <c r="E93" s="165">
        <f>D93/C93*100</f>
        <v>49.846539866030426</v>
      </c>
      <c r="F93" s="137">
        <f>F94</f>
        <v>0</v>
      </c>
      <c r="G93" s="137">
        <f>G94</f>
        <v>0</v>
      </c>
      <c r="H93" s="169"/>
      <c r="I93" s="137">
        <f aca="true" t="shared" si="11" ref="I93:J96">C93+F93</f>
        <v>8927.4</v>
      </c>
      <c r="J93" s="137">
        <f t="shared" si="11"/>
        <v>4450</v>
      </c>
      <c r="K93" s="149">
        <f t="shared" si="9"/>
        <v>49.846539866030426</v>
      </c>
    </row>
    <row r="94" spans="1:11" ht="15">
      <c r="A94" s="147" t="s">
        <v>225</v>
      </c>
      <c r="B94" s="141" t="s">
        <v>226</v>
      </c>
      <c r="C94" s="142">
        <v>8927.4</v>
      </c>
      <c r="D94" s="142">
        <v>4450</v>
      </c>
      <c r="E94" s="142">
        <f>D94/C94*100</f>
        <v>49.846539866030426</v>
      </c>
      <c r="F94" s="143">
        <v>0</v>
      </c>
      <c r="G94" s="143">
        <v>0</v>
      </c>
      <c r="H94" s="143">
        <v>0</v>
      </c>
      <c r="I94" s="144">
        <f t="shared" si="11"/>
        <v>8927.4</v>
      </c>
      <c r="J94" s="144">
        <f t="shared" si="11"/>
        <v>4450</v>
      </c>
      <c r="K94" s="146">
        <f>J94/I94*100</f>
        <v>49.846539866030426</v>
      </c>
    </row>
    <row r="95" spans="1:11" ht="28.5">
      <c r="A95" s="163">
        <v>1300</v>
      </c>
      <c r="B95" s="136" t="s">
        <v>227</v>
      </c>
      <c r="C95" s="137">
        <f aca="true" t="shared" si="12" ref="C95:H95">C96</f>
        <v>5926</v>
      </c>
      <c r="D95" s="137">
        <f t="shared" si="12"/>
        <v>783.1</v>
      </c>
      <c r="E95" s="137">
        <f t="shared" si="12"/>
        <v>13.21464731690854</v>
      </c>
      <c r="F95" s="137">
        <f t="shared" si="12"/>
        <v>0</v>
      </c>
      <c r="G95" s="137">
        <f t="shared" si="12"/>
        <v>0</v>
      </c>
      <c r="H95" s="148">
        <f t="shared" si="12"/>
        <v>0</v>
      </c>
      <c r="I95" s="137">
        <f t="shared" si="11"/>
        <v>5926</v>
      </c>
      <c r="J95" s="137">
        <f t="shared" si="11"/>
        <v>783.1</v>
      </c>
      <c r="K95" s="149">
        <f t="shared" si="9"/>
        <v>13.21464731690854</v>
      </c>
    </row>
    <row r="96" spans="1:11" ht="30">
      <c r="A96" s="147">
        <v>1301</v>
      </c>
      <c r="B96" s="141" t="s">
        <v>228</v>
      </c>
      <c r="C96" s="142">
        <v>5926</v>
      </c>
      <c r="D96" s="142">
        <v>783.1</v>
      </c>
      <c r="E96" s="142">
        <f t="shared" si="10"/>
        <v>13.21464731690854</v>
      </c>
      <c r="F96" s="143"/>
      <c r="G96" s="143">
        <v>0</v>
      </c>
      <c r="H96" s="143">
        <v>0</v>
      </c>
      <c r="I96" s="144">
        <f t="shared" si="11"/>
        <v>5926</v>
      </c>
      <c r="J96" s="144">
        <f t="shared" si="11"/>
        <v>783.1</v>
      </c>
      <c r="K96" s="146">
        <f t="shared" si="9"/>
        <v>13.21464731690854</v>
      </c>
    </row>
    <row r="97" spans="1:11" ht="14.25">
      <c r="A97" s="163">
        <v>1400</v>
      </c>
      <c r="B97" s="136" t="s">
        <v>229</v>
      </c>
      <c r="C97" s="137">
        <f>SUM(C98:C100)</f>
        <v>296787</v>
      </c>
      <c r="D97" s="137">
        <f>SUM(D98:D100)</f>
        <v>66640.8</v>
      </c>
      <c r="E97" s="137">
        <f>D97/C97*100</f>
        <v>22.454083231408383</v>
      </c>
      <c r="F97" s="159">
        <f>F98+F99+F100</f>
        <v>0</v>
      </c>
      <c r="G97" s="159">
        <f>SUM(G98:G100)</f>
        <v>0</v>
      </c>
      <c r="H97" s="159"/>
      <c r="I97" s="159">
        <v>0</v>
      </c>
      <c r="J97" s="159">
        <v>0</v>
      </c>
      <c r="K97" s="139">
        <v>0</v>
      </c>
    </row>
    <row r="98" spans="1:11" ht="30">
      <c r="A98" s="147">
        <v>1401</v>
      </c>
      <c r="B98" s="141" t="s">
        <v>230</v>
      </c>
      <c r="C98" s="142">
        <v>123158.4</v>
      </c>
      <c r="D98" s="142">
        <v>24631.5</v>
      </c>
      <c r="E98" s="142">
        <f t="shared" si="10"/>
        <v>19.999853846753453</v>
      </c>
      <c r="F98" s="143">
        <v>0</v>
      </c>
      <c r="G98" s="143">
        <v>0</v>
      </c>
      <c r="H98" s="143">
        <v>0</v>
      </c>
      <c r="I98" s="144">
        <v>0</v>
      </c>
      <c r="J98" s="145">
        <v>0</v>
      </c>
      <c r="K98" s="146">
        <v>0</v>
      </c>
    </row>
    <row r="99" spans="1:11" ht="15">
      <c r="A99" s="147">
        <v>1402</v>
      </c>
      <c r="B99" s="141" t="s">
        <v>231</v>
      </c>
      <c r="C99" s="142">
        <v>172328.6</v>
      </c>
      <c r="D99" s="142">
        <v>42009.3</v>
      </c>
      <c r="E99" s="142">
        <f t="shared" si="10"/>
        <v>24.37743938034662</v>
      </c>
      <c r="F99" s="143">
        <v>0</v>
      </c>
      <c r="G99" s="143">
        <v>0</v>
      </c>
      <c r="H99" s="143">
        <v>0</v>
      </c>
      <c r="I99" s="144">
        <v>0</v>
      </c>
      <c r="J99" s="145">
        <v>0</v>
      </c>
      <c r="K99" s="146">
        <v>0</v>
      </c>
    </row>
    <row r="100" spans="1:11" ht="15">
      <c r="A100" s="147">
        <v>1403</v>
      </c>
      <c r="B100" s="141" t="s">
        <v>232</v>
      </c>
      <c r="C100" s="142">
        <v>1300</v>
      </c>
      <c r="D100" s="142">
        <v>0</v>
      </c>
      <c r="E100" s="142">
        <f t="shared" si="10"/>
        <v>0</v>
      </c>
      <c r="F100" s="143">
        <v>0</v>
      </c>
      <c r="G100" s="143">
        <v>0</v>
      </c>
      <c r="H100" s="143">
        <v>0</v>
      </c>
      <c r="I100" s="144">
        <v>0</v>
      </c>
      <c r="J100" s="145">
        <v>0</v>
      </c>
      <c r="K100" s="146">
        <v>0</v>
      </c>
    </row>
    <row r="101" spans="1:11" ht="15" thickBot="1">
      <c r="A101" s="170" t="s">
        <v>233</v>
      </c>
      <c r="B101" s="171"/>
      <c r="C101" s="172">
        <f>C9+C18+C20+C25+C45+C64+C66+C75+C80+C82+C90+C93+C95+C97</f>
        <v>3288016.8000000003</v>
      </c>
      <c r="D101" s="172">
        <f>D97+D95+D93+D90+D82+D80+D75+D66+D64+D45+D25+D20+D18+D9</f>
        <v>724943.4999999999</v>
      </c>
      <c r="E101" s="172">
        <f>D101/C101*100</f>
        <v>22.04804732141271</v>
      </c>
      <c r="F101" s="172">
        <f>F9+F18+F20+F25+F45+F64+F66+F75+F80+F82+F90+F93+F95+F97</f>
        <v>594379.4</v>
      </c>
      <c r="G101" s="172">
        <f>G97+G95+G93+G82+G80+G75+G66+G45+G25+G21+G18+G9+G20+G90</f>
        <v>111400.4</v>
      </c>
      <c r="H101" s="173">
        <f>G101/F101*100</f>
        <v>18.742304999130184</v>
      </c>
      <c r="I101" s="172">
        <f>I97+I95+I93+I90+I82+I80+I75+I66+I64+I45+I25+I20+I18+I9</f>
        <v>3512623.5999999996</v>
      </c>
      <c r="J101" s="172">
        <f>J97+J95+J93+J90+J82+J80+J75+J66+J64+J45+J25+J20+J18+J9</f>
        <v>765991.7</v>
      </c>
      <c r="K101" s="174">
        <f t="shared" si="9"/>
        <v>21.806825530637557</v>
      </c>
    </row>
    <row r="102" spans="1:11" ht="12.75">
      <c r="A102" s="175"/>
      <c r="B102" s="176"/>
      <c r="C102" s="177"/>
      <c r="D102" s="110"/>
      <c r="E102" s="178"/>
      <c r="F102" s="112"/>
      <c r="G102" s="113"/>
      <c r="H102" s="113"/>
      <c r="I102" s="115"/>
      <c r="J102" s="115"/>
      <c r="K102" s="115"/>
    </row>
    <row r="103" spans="1:11" ht="12.75">
      <c r="A103" s="179"/>
      <c r="B103" s="180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ht="12.75">
      <c r="A104" s="179"/>
      <c r="B104" s="180"/>
      <c r="C104" s="181"/>
      <c r="D104" s="182"/>
      <c r="E104" s="178"/>
      <c r="F104" s="112"/>
      <c r="G104" s="113"/>
      <c r="H104" s="113"/>
      <c r="I104" s="114"/>
      <c r="J104" s="114"/>
      <c r="K104" s="115"/>
    </row>
    <row r="105" spans="1:11" ht="12.75">
      <c r="A105" s="183" t="s">
        <v>234</v>
      </c>
      <c r="B105" s="183"/>
      <c r="C105" s="183"/>
      <c r="D105" s="184"/>
      <c r="E105" s="185"/>
      <c r="F105" s="185"/>
      <c r="G105" s="113"/>
      <c r="H105" s="113"/>
      <c r="I105" s="115"/>
      <c r="J105" s="115"/>
      <c r="K105" s="115"/>
    </row>
    <row r="106" spans="1:11" ht="12.75">
      <c r="A106" s="183" t="s">
        <v>235</v>
      </c>
      <c r="B106" s="183"/>
      <c r="C106" s="183"/>
      <c r="D106" s="186"/>
      <c r="E106" s="187" t="s">
        <v>236</v>
      </c>
      <c r="F106" s="187"/>
      <c r="G106" s="113"/>
      <c r="H106" s="113"/>
      <c r="I106" s="114"/>
      <c r="J106" s="115"/>
      <c r="K106" s="115"/>
    </row>
    <row r="107" spans="1:11" ht="12.75">
      <c r="A107" s="188"/>
      <c r="B107" s="189"/>
      <c r="C107" s="190"/>
      <c r="D107" s="191"/>
      <c r="E107" s="192"/>
      <c r="F107" s="193"/>
      <c r="G107" s="113"/>
      <c r="H107" s="113"/>
      <c r="I107" s="114"/>
      <c r="J107" s="115"/>
      <c r="K107" s="115"/>
    </row>
    <row r="108" spans="1:11" ht="12.75">
      <c r="A108" s="183" t="s">
        <v>237</v>
      </c>
      <c r="B108" s="183"/>
      <c r="C108" s="183"/>
      <c r="D108" s="194"/>
      <c r="E108" s="187" t="s">
        <v>238</v>
      </c>
      <c r="F108" s="187"/>
      <c r="G108" s="113"/>
      <c r="H108" s="113"/>
      <c r="I108" s="114"/>
      <c r="J108" s="115"/>
      <c r="K108" s="115"/>
    </row>
    <row r="109" spans="1:11" ht="12.75">
      <c r="A109" s="188"/>
      <c r="B109" s="195"/>
      <c r="C109" s="196"/>
      <c r="D109" s="197"/>
      <c r="E109" s="192"/>
      <c r="F109" s="193"/>
      <c r="G109" s="113"/>
      <c r="H109" s="113"/>
      <c r="I109" s="114"/>
      <c r="J109" s="115"/>
      <c r="K109" s="115"/>
    </row>
    <row r="110" spans="1:11" ht="12.75">
      <c r="A110" s="183" t="s">
        <v>239</v>
      </c>
      <c r="B110" s="183"/>
      <c r="C110" s="183"/>
      <c r="D110" s="194"/>
      <c r="E110" s="198" t="s">
        <v>240</v>
      </c>
      <c r="F110" s="198"/>
      <c r="G110" s="113"/>
      <c r="H110" s="113"/>
      <c r="I110" s="114"/>
      <c r="J110" s="115"/>
      <c r="K110" s="115"/>
    </row>
    <row r="111" spans="1:11" ht="12.75">
      <c r="A111" s="199"/>
      <c r="B111" s="200"/>
      <c r="C111" s="201"/>
      <c r="D111" s="184"/>
      <c r="E111" s="184"/>
      <c r="F111" s="185"/>
      <c r="G111" s="113"/>
      <c r="H111" s="113"/>
      <c r="I111" s="115"/>
      <c r="J111" s="115"/>
      <c r="K111" s="115"/>
    </row>
    <row r="112" spans="1:6" ht="12.75">
      <c r="A112" s="202"/>
      <c r="B112" s="202"/>
      <c r="C112" s="203" t="s">
        <v>241</v>
      </c>
      <c r="D112" s="204"/>
      <c r="E112" s="205" t="s">
        <v>242</v>
      </c>
      <c r="F112" s="202"/>
    </row>
  </sheetData>
  <sheetProtection/>
  <mergeCells count="35">
    <mergeCell ref="A105:C105"/>
    <mergeCell ref="A106:C106"/>
    <mergeCell ref="E106:F106"/>
    <mergeCell ref="A108:C108"/>
    <mergeCell ref="E108:F108"/>
    <mergeCell ref="A110:C110"/>
    <mergeCell ref="E110:F110"/>
    <mergeCell ref="G20:G21"/>
    <mergeCell ref="H20:H21"/>
    <mergeCell ref="I20:I21"/>
    <mergeCell ref="J20:J21"/>
    <mergeCell ref="K20:K21"/>
    <mergeCell ref="A101:B101"/>
    <mergeCell ref="A20:A21"/>
    <mergeCell ref="B20:B21"/>
    <mergeCell ref="C20:C21"/>
    <mergeCell ref="D20:D21"/>
    <mergeCell ref="E20:E21"/>
    <mergeCell ref="F20:F21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Заворотынская</cp:lastModifiedBy>
  <cp:lastPrinted>2018-04-06T07:52:54Z</cp:lastPrinted>
  <dcterms:created xsi:type="dcterms:W3CDTF">2006-05-12T06:58:42Z</dcterms:created>
  <dcterms:modified xsi:type="dcterms:W3CDTF">2018-05-14T05:58:29Z</dcterms:modified>
  <cp:category/>
  <cp:version/>
  <cp:contentType/>
  <cp:contentStatus/>
</cp:coreProperties>
</file>