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7875" firstSheet="1" activeTab="1"/>
  </bookViews>
  <sheets>
    <sheet name="01.02.2013" sheetId="1" r:id="rId1"/>
    <sheet name="доходы" sheetId="2" r:id="rId2"/>
    <sheet name="расходы" sheetId="3" r:id="rId3"/>
  </sheets>
  <definedNames/>
  <calcPr fullCalcOnLoad="1"/>
</workbook>
</file>

<file path=xl/comments1.xml><?xml version="1.0" encoding="utf-8"?>
<comments xmlns="http://schemas.openxmlformats.org/spreadsheetml/2006/main">
  <authors>
    <author>Наташа</author>
  </authors>
  <commentList>
    <comment ref="B5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3510200
</t>
        </r>
      </text>
    </comment>
    <comment ref="B5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3510300
</t>
        </r>
      </text>
    </comment>
    <comment ref="B100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5201002
</t>
        </r>
      </text>
    </comment>
    <comment ref="B101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5050502 ф/б
</t>
        </r>
      </text>
    </comment>
    <comment ref="B10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5201300, 5201301
</t>
        </r>
      </text>
    </comment>
    <comment ref="B10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5140100
</t>
        </r>
      </text>
    </comment>
  </commentList>
</comments>
</file>

<file path=xl/comments3.xml><?xml version="1.0" encoding="utf-8"?>
<comments xmlns="http://schemas.openxmlformats.org/spreadsheetml/2006/main">
  <authors>
    <author>Наташа</author>
  </authors>
  <commentList>
    <comment ref="B55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3510200
</t>
        </r>
      </text>
    </comment>
    <comment ref="B56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3510300
</t>
        </r>
      </text>
    </comment>
    <comment ref="B110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5201300, 5201301
</t>
        </r>
      </text>
    </comment>
  </commentList>
</comments>
</file>

<file path=xl/sharedStrings.xml><?xml version="1.0" encoding="utf-8"?>
<sst xmlns="http://schemas.openxmlformats.org/spreadsheetml/2006/main" count="864" uniqueCount="276">
  <si>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</si>
  <si>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</si>
  <si>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</si>
  <si>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</si>
  <si>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</si>
  <si>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</si>
  <si>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</si>
  <si>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</si>
  <si>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</si>
  <si>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</si>
  <si>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</si>
  <si>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</si>
  <si>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</si>
  <si>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0111</t>
  </si>
  <si>
    <t>Резервный  фонд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</si>
  <si>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</si>
  <si>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</si>
  <si>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</si>
  <si>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</si>
  <si>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</si>
  <si>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</si>
  <si>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0309</t>
  </si>
  <si>
    <t>04</t>
  </si>
  <si>
    <t>Национальная  экономика</t>
  </si>
  <si>
    <t>0401</t>
  </si>
  <si>
    <t>0405</t>
  </si>
  <si>
    <t>Сельское хозяйство и рыболовство</t>
  </si>
  <si>
    <t>0408</t>
  </si>
  <si>
    <t>0412</t>
  </si>
  <si>
    <t>05</t>
  </si>
  <si>
    <t>Жилищно-коммунальное хозяйство</t>
  </si>
  <si>
    <t>0501</t>
  </si>
  <si>
    <t>0502</t>
  </si>
  <si>
    <t>0503</t>
  </si>
  <si>
    <t>06</t>
  </si>
  <si>
    <t>Охрана окружающей среды</t>
  </si>
  <si>
    <t>0603</t>
  </si>
  <si>
    <t xml:space="preserve">Охрана растительных и животных видов и среды их обитания 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</si>
  <si>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</si>
  <si>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</si>
  <si>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</si>
  <si>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</si>
  <si>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</si>
  <si>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</si>
  <si>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</si>
  <si>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</si>
  <si>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</si>
  <si>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</si>
  <si>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</si>
  <si>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искусство</t>
  </si>
  <si>
    <t>0801</t>
  </si>
  <si>
    <t>0802</t>
  </si>
  <si>
    <t>Кинематография</t>
  </si>
  <si>
    <t>0804</t>
  </si>
  <si>
    <t>09</t>
  </si>
  <si>
    <t>0901</t>
  </si>
  <si>
    <t>Стационарная медицинская помощь</t>
  </si>
  <si>
    <t>0902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</si>
  <si>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</si>
  <si>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</si>
  <si>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</si>
  <si>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</si>
  <si>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Подпрограмма "Доступное жилье молодым"</t>
  </si>
  <si>
    <t>Осуществление деятельности отдела по опеке и попечительству</t>
  </si>
  <si>
    <t>Межбюджетные трансферты</t>
  </si>
  <si>
    <t>ИТОГО РАСХОДОВ</t>
  </si>
  <si>
    <t>Куклина Н.Г.</t>
  </si>
  <si>
    <t>0410</t>
  </si>
  <si>
    <t>Связь и информатика</t>
  </si>
  <si>
    <t>Мероприятия по подготовке  к  зиме (3510500)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</si>
  <si>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(3510200)</t>
  </si>
  <si>
    <t>Подпрограмма "Капремонт  жилого  фонда" (3500200)</t>
  </si>
  <si>
    <t>Материальное обеспечение патронатной семьи (5201300, 5201301)</t>
  </si>
  <si>
    <t>Мероприятия в области социальной политики (5140100)</t>
  </si>
  <si>
    <t>0409</t>
  </si>
  <si>
    <t>Земельные  ресурсы (3400300)</t>
  </si>
  <si>
    <t>Бесплатное питание (4219904)</t>
  </si>
  <si>
    <t>% исполнения</t>
  </si>
  <si>
    <t>План на год</t>
  </si>
  <si>
    <t>Субвен.на обеспеч.жильем отдельных категорий граждан (ветераны, инвалиды 5053401,5053402)</t>
  </si>
  <si>
    <t>0113</t>
  </si>
  <si>
    <t>Дотации на выравнивание  бюджетной обеспеченности субъектов РФ и муниципальных образований</t>
  </si>
  <si>
    <t>Иные дотации</t>
  </si>
  <si>
    <t>Физическая культура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</si>
  <si>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</si>
  <si>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</si>
  <si>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</si>
  <si>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</si>
  <si>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Другие вопросы в области здравоохранения</t>
  </si>
  <si>
    <t>Функционирование  законодательных (представительных)  органов власти</t>
  </si>
  <si>
    <t>Культура</t>
  </si>
  <si>
    <t>Другие вопросы в области культуры, кинематографии</t>
  </si>
  <si>
    <t xml:space="preserve">Здравоохранение </t>
  </si>
  <si>
    <t>Субвенция на обеспечение бесплатными молочными продуктами питания детей до 3-х лет (5055409)</t>
  </si>
  <si>
    <t>Субвенция на  бесплатное изготовление и ремонт зубных протезов (5058005)</t>
  </si>
  <si>
    <t>Прочие межбюджетные трансферты</t>
  </si>
  <si>
    <t>Дорожное хозяйство (5226105)</t>
  </si>
  <si>
    <t>Наименование показателя</t>
  </si>
  <si>
    <t>ККР</t>
  </si>
  <si>
    <t>Программа "Содействие занятости населения 2011-2013 годы"</t>
  </si>
  <si>
    <t>Прочие мероприятия по благоустройству городских округов и поселений (6000500, 6000400, 6000300, 6000100)</t>
  </si>
  <si>
    <t>Периодическая печать и издательства</t>
  </si>
  <si>
    <t>Национальная  безопасность и правохранительная деятельность</t>
  </si>
  <si>
    <t>ЗАГС (0013801, ,0013802)</t>
  </si>
  <si>
    <t>0909</t>
  </si>
  <si>
    <t>Программа "Централизованное снабжение населенных пунктов Ханты-Мансийского автономного округа" Подпрограмма"Софинансирование муниципальных  программ  реконструкции внутрипоселковых  электрических  сетей населенных пунктов автономного  округа" (5220500) тс 01.40.28</t>
  </si>
  <si>
    <t>Компенсация выпадающих доходов организациям, предоставляющим населению водоснабжение и водоотведение по тарифам, не обеспечивающим возмещение издержек (3510300)</t>
  </si>
  <si>
    <t>0314</t>
  </si>
  <si>
    <t>Другие вопросы в области национальной безопасности и правоохранительной деятельности</t>
  </si>
  <si>
    <t>Программа "Развитие малого и среднего предпринимательства в ХМАО-Югре" (5220400)</t>
  </si>
  <si>
    <t>1004</t>
  </si>
  <si>
    <t>Консолидированный бюджет</t>
  </si>
  <si>
    <t>Бюджет Поселения</t>
  </si>
  <si>
    <t>Бюджет Район</t>
  </si>
  <si>
    <t>1201</t>
  </si>
  <si>
    <t>Телевидение и радиовещание</t>
  </si>
  <si>
    <t>0304</t>
  </si>
  <si>
    <t>Предупреждение и  ликвидация  последствий ЧС</t>
  </si>
  <si>
    <t>Осуществление полномочий по государственному управлению охраной труда тс. 01.30.39</t>
  </si>
  <si>
    <t>Автомобильный транспорт (3170110)</t>
  </si>
  <si>
    <t>Водный транспорт (3010320)</t>
  </si>
  <si>
    <t>Воздушный транспорт (3000240)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</si>
  <si>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(5201002) тс 01.30.09</t>
  </si>
  <si>
    <t>Заворотынская Н.А.</t>
  </si>
  <si>
    <t>Председатель Комитета по управлению муниципальными</t>
  </si>
  <si>
    <t>финансами администрации Октябрьского района</t>
  </si>
  <si>
    <t>Дорожное хозяйство (3150100)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</si>
  <si>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01.60.00 в т.ч.: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</si>
  <si>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01.40.01 в т.ч.:</t>
  </si>
  <si>
    <t>Субсидии на реализацию подпрограммы "Стимулирование жилищного строительства" программы "Содействие развитию жилищного строительства на 2011-2013 годы и на период до 2015 года" (5225908)тс 01.40.36, 01.60.00</t>
  </si>
  <si>
    <t>Программа "Централизованное электроснабжение населенных пунктов ХМАО-Югры на 2011-2013 годы и на перспективу до 2015 года" (5220500) тс 01.40.28</t>
  </si>
  <si>
    <t>Выплата единовременного пособия при всех формах устройства детей, лишенных родительского попечения, в семью (5050502)</t>
  </si>
  <si>
    <t xml:space="preserve">Бюджетные инвестиции в объекты капитального строительства государственной собственности субъектов РФ </t>
  </si>
  <si>
    <t>Программа "Наша новая школа" на 2011-2013гг., подпрограмма "Развитие МТБ учреждений образования ХМАО-Югры" 5225603 тс 01.40.18, 01.60.00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</si>
  <si>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(5053600, 5052102)</t>
  </si>
  <si>
    <t>Подпрограмма"Софинансирование  муниципальных  образований в части возмещения недополученных  доходов организациям, осуществляющим реализацию населению сжиженного газа по социально ориентированным  тарифам" (5222100, 242) тс 01.51.22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</si>
  <si>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</t>
  </si>
  <si>
    <t>Подпрограмма "Библиотечное дело" 5222806</t>
  </si>
  <si>
    <t>0505</t>
  </si>
  <si>
    <t>Другие вопросы в области жилищно-коммунального хозяйства</t>
  </si>
  <si>
    <t>Субсидии на реализацию подпрограммы "Градостроительная деятельность" программы "Содействие развитию жилищного строительства на 2011-2013 годы и на период до 2015 года"</t>
  </si>
  <si>
    <t>Программа "О защите населения и территории Октябрьского района от чрезвычайных ситуаций и техногенного характера на 2012-2015 годы" 7950700</t>
  </si>
  <si>
    <t>Программа "Развитие  малого и среднего предпринимательства  в Октябрьском  районе"  на 2011-2013 годы (7950400) тс 01.03.20</t>
  </si>
  <si>
    <t>Содействие развитию жилищного строительства на территории Октябрьского района на 2011 - 2013 годы и на период до 2015 года (7955900)тс 01.03.39</t>
  </si>
  <si>
    <t>Программа "Реконструкция внутрипоселковых электрических сетей населенных пунктов в Октябрьском районе на 2001-2015 годы", 7950500  01.03.33</t>
  </si>
  <si>
    <t>Подпрограмма "Проектирование и строительство инженерных сетей" (7952101) т.с.01.03.07 местный бюджет</t>
  </si>
  <si>
    <t>Подпрограмма "Реконструкция и развитие объектов теплоснабжения" (7952103)тс 01.03.21 местный бюджет</t>
  </si>
  <si>
    <t>Подпрограмма "Реконструкция и развитие объектов газоснабжения" (7952102) тс 01.03.09 местный бюджет</t>
  </si>
  <si>
    <t>Подпрограмма "Реконструкция и развитие объектов водоснабжения" (7952104)тс 01.03.37 местный бюджет</t>
  </si>
  <si>
    <t>Подпрограмма "Реконструкция, расширение, модернизация, строительство обьектов водоотведения" (7952105)тс 01.03.38 местный бюджет</t>
  </si>
  <si>
    <t>Программа"Совершенствование  и развитие  сети автомобильных дорог местного значения в Октябрьском  районе" на 2011-2013 годы (7956100)</t>
  </si>
  <si>
    <t>Заведующий  отделом учета  исполнения  бюджета</t>
  </si>
  <si>
    <t>Программа" Реконструкция  внутрипоселковых электрических  сетей  населенных пунктов  в Октябрьском  районе на 2011-2015 годы" (7950500) тс 01.03.33</t>
  </si>
  <si>
    <t>Программа "Культура Октябрьского района на 2010-2012 гг" 7952800</t>
  </si>
  <si>
    <t>Заведующий бюджетным отделом</t>
  </si>
  <si>
    <t>Агеева Н.В,</t>
  </si>
  <si>
    <t>Заведующий отделом доходов</t>
  </si>
  <si>
    <t>___________</t>
  </si>
  <si>
    <t>Мартюшова О.Г.</t>
  </si>
  <si>
    <t xml:space="preserve"> "Наш дом" субсидии на благоустройство дворовых территорий многоквартирных домов (5227000)</t>
  </si>
  <si>
    <t>Капитальный ремонт и ремонт дворовых территорий МКД, проездов к дворовым территориям МКД за счет средств дорожного фонда (5227000)</t>
  </si>
  <si>
    <t>Программа "Наш дом" на 2011-2015 годы на капитальный ремонт многоквартирных домов (5227000)</t>
  </si>
  <si>
    <t>Программа "Энергосбережения и повышения энергоэффективности в ХМАО-Югре" на 2010-2013гг на период до 2015г. (5226300, 0923400, 7956300)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</si>
  <si>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муниципальнных образований ) ЦСР 5222811, 5222812, 5222603 округ, 310 тс 01.40.09, 01.40.46, 01.60.00</t>
  </si>
  <si>
    <t>Программа "Развитие агропромышленного комплекса ХМАО-Югры в 2011-2013 годах"</t>
  </si>
  <si>
    <t>Программа "Модернизация и реформирование жилищно-комуннального комплекса ХМАО-Югры" на 2011-2013 годы и на период до 2015 года" (на капитальный ремонт сиситем теплоснабжения, водоснабжения и водоотведения для подготовки к осенне-зимнему периоду) 01.60.00</t>
  </si>
  <si>
    <t>Программа "Утилизация отходов на территории муниципального образования Октябрьский район" на 2011-2021 годы 7950200 тс 01.03.35</t>
  </si>
  <si>
    <t>Программа "Наша новая школа" на 2011-2013гг. 7955603 тс 01.03.36</t>
  </si>
  <si>
    <t>1003</t>
  </si>
  <si>
    <t>Обеспечение проведения выборов и референдумов</t>
  </si>
  <si>
    <t>Отчет  об  исполнении  консолидированного  бюджета  района  по  расходам на 1 февраля 2013 года</t>
  </si>
  <si>
    <t>исполнение на 01.02.2013</t>
  </si>
  <si>
    <t>____ февраля  2013 года</t>
  </si>
  <si>
    <t>исполнения на 01.02.2013</t>
  </si>
  <si>
    <t>Программа "Централизованное снабжение населенных пунктов Ханты-Мансийского автономного округа" Подпрограмма"Софинансирование муниципальных  программ  реконструкции внутрипоселковых  электрических  сетей населенных пунктов автономного  округа" (5220500) тс 01.40.28, 01.60.00</t>
  </si>
  <si>
    <t>Программа "Централизованное электроснабжение населенных пунктов ХМАО-Югры на 2011-2013 годы и на перспективу до 2015 года" (5220500) тс 01.40.28, 01.60.00</t>
  </si>
  <si>
    <t>Программа "Осуществление поселком городского типа Октябрьское функций административного центра муницпального образования Октябрьский район на 2013-2015 годы" 7951200</t>
  </si>
  <si>
    <t xml:space="preserve"> Содействие развитию жилищного строительства на территории Октябрьского района на 2011 - 2013 годы и на период до 2015 года Подпрограмма "Градостроительная деятельность" 7955901</t>
  </si>
  <si>
    <t>Содействие развитию жилищного строительства на территории Октябрьского района на 2011 - 2013 годы и на период до 2015 года (7955903)тс 01.03.39</t>
  </si>
  <si>
    <t>Программа "Модернизация и реформирование жилищно-комуннального комплекса ХМАО-Югры" на 2011-2013 годы и на период до 2015 года" (на капитальный ремонт сиситем теплоснабжения, водоснабжения и водоотведения для подготовки к осенне-зимнему периоду) 01.40.50</t>
  </si>
  <si>
    <t>Подпрограмма "Доступное жилье молодым" 7952700</t>
  </si>
  <si>
    <t>Подпрограмма "Доступное жилье молодым" 5222702</t>
  </si>
  <si>
    <t>Программа "Культура Октябрьского района на 2010-2012 гг" 7952805, 7952806</t>
  </si>
  <si>
    <t>Программа "Энергосбережения и повышения энергоэффективности в ХМАО-Югре" на 2010-2013гг на период до 2015г. (7956300)</t>
  </si>
  <si>
    <t>Подпрограмма "Улучшение жилищных условий отдельных категорий граждан"</t>
  </si>
  <si>
    <t>Программа "Ликвидация и расселение приспособленных для проживания строений, расположенных в месте их сосредоточения в муниципальном образовании Октябрьский район на 2013-2015 годы"</t>
  </si>
  <si>
    <t>Федеральная целевая программа "Жилище" на 2011 - 2015 годы</t>
  </si>
  <si>
    <t>тыс.руб.</t>
  </si>
  <si>
    <t xml:space="preserve"> </t>
  </si>
  <si>
    <t>План</t>
  </si>
  <si>
    <t>% исп-ия</t>
  </si>
  <si>
    <t>КБК</t>
  </si>
  <si>
    <t>Наименование дохода</t>
  </si>
  <si>
    <t xml:space="preserve">План </t>
  </si>
  <si>
    <t>1 кв.</t>
  </si>
  <si>
    <t>2кв.</t>
  </si>
  <si>
    <t>3 кв.</t>
  </si>
  <si>
    <t>4 кв.</t>
  </si>
  <si>
    <t>9 месяцев</t>
  </si>
  <si>
    <t>Исп-ие на</t>
  </si>
  <si>
    <t>от плана</t>
  </si>
  <si>
    <t>2013</t>
  </si>
  <si>
    <t>9 месяцев  2013</t>
  </si>
  <si>
    <t>Октябрьский район</t>
  </si>
  <si>
    <t>00010000000000000000</t>
  </si>
  <si>
    <t>НАЛОГОВЫЕ И НЕНАЛОГОВЫЕ ДОХОДЫ</t>
  </si>
  <si>
    <t>00010100000000000000</t>
  </si>
  <si>
    <t xml:space="preserve">Налоги на прибыль, доходы </t>
  </si>
  <si>
    <t>00010500000000000000</t>
  </si>
  <si>
    <t>Налоги на совокупный доход</t>
  </si>
  <si>
    <t>00010600000000000000</t>
  </si>
  <si>
    <t>Налоги  на 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</si>
  <si>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</si>
  <si>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</si>
  <si>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</si>
  <si>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</si>
  <si>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</si>
  <si>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 , находящегося  в государственной и муниципальной собственности</t>
  </si>
  <si>
    <t>00011200000000000000</t>
  </si>
  <si>
    <t>Платежи при пользовании  природными 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</si>
  <si>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</si>
  <si>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</si>
  <si>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</si>
  <si>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</si>
  <si>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00011500000000000000</t>
  </si>
  <si>
    <t>Административные платежи и сборы</t>
  </si>
  <si>
    <t>00011600000000000000</t>
  </si>
  <si>
    <t>Штрафы, санкции, возмещение  ущерба</t>
  </si>
  <si>
    <t>00011700000000000000</t>
  </si>
  <si>
    <t>Прочие неналоговые доходы</t>
  </si>
  <si>
    <t>00011800000000000000</t>
  </si>
  <si>
    <t>Возврат остатков субсидий и субвенций прошлых лет из бюджетов поселений</t>
  </si>
  <si>
    <t>00011900000000000000</t>
  </si>
  <si>
    <t>Возврат остатков субсидий и субвенций прошлых лет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</si>
  <si>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</si>
  <si>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</si>
  <si>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</si>
  <si>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</si>
  <si>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00020700000000000180</t>
  </si>
  <si>
    <t>Прочие безвозмездные поступления</t>
  </si>
  <si>
    <t>00021800000000000151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</si>
  <si>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</si>
  <si>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</si>
  <si>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</si>
  <si>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</si>
  <si>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</si>
  <si>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</si>
  <si>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</si>
  <si>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</si>
  <si>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</si>
  <si>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</si>
  <si>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</si>
  <si>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</si>
  <si>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</si>
  <si>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</si>
  <si>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</si>
  <si>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105</t>
  </si>
  <si>
    <t>Октябрьский район (консолидированный бюджет)</t>
  </si>
  <si>
    <t>101</t>
  </si>
  <si>
    <t>106</t>
  </si>
  <si>
    <t>108</t>
  </si>
  <si>
    <t xml:space="preserve"> -</t>
  </si>
  <si>
    <t>111</t>
  </si>
  <si>
    <t>112</t>
  </si>
  <si>
    <t>113</t>
  </si>
  <si>
    <t>114</t>
  </si>
  <si>
    <t>116</t>
  </si>
  <si>
    <t>202</t>
  </si>
  <si>
    <t>207</t>
  </si>
  <si>
    <t>Программа "Ликвидация и расселение приспособленных для проживания строений, расположенных в месте их сосредоточения в муниципальном образовании Октябрьский район на 2013-2015 годы" 7952708, 01.03.03</t>
  </si>
  <si>
    <t>Отчет  об  исполнении  консолидированного  бюджета  района  по  расходам на 1 декабря 2013 года</t>
  </si>
  <si>
    <t>исполнение на 01.12.2013</t>
  </si>
  <si>
    <t>исполнения на 01.12.2013</t>
  </si>
  <si>
    <t>Субсидии на реализацию подпрограммы "Градостроительная деятельность" программы "Содействие развитию жилищного строительства на 2011-2013 годы и на период до 2015 года", 5225906</t>
  </si>
  <si>
    <t>Подпрограмма "Музейное дело"</t>
  </si>
  <si>
    <t>Отчет об исполнении консолидированного бюджета Октябрьского района по состоянию на 01.12.2013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</si>
</sst>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36"/>
      <name val="Times New Roman"/>
      <family val="1"/>
    </font>
    <font>
      <b/>
      <sz val="11"/>
      <color indexed="30"/>
      <name val="Times New Roman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3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6" fillId="0" borderId="0" xfId="53" applyNumberFormat="1" applyFont="1" applyAlignment="1">
      <alignment horizontal="left" vertical="center" wrapText="1"/>
      <protection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>
      <alignment horizontal="left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6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6" fillId="0" borderId="0" xfId="53" applyNumberFormat="1" applyFont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0" fontId="6" fillId="34" borderId="10" xfId="53" applyNumberFormat="1" applyFont="1" applyFill="1" applyBorder="1" applyAlignment="1">
      <alignment horizontal="left" vertical="center" wrapText="1"/>
      <protection/>
    </xf>
    <xf numFmtId="49" fontId="8" fillId="33" borderId="11" xfId="53" applyNumberFormat="1" applyFont="1" applyFill="1" applyBorder="1" applyAlignment="1">
      <alignment horizontal="center" vertical="center" wrapText="1"/>
      <protection/>
    </xf>
    <xf numFmtId="0" fontId="8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64" fontId="5" fillId="0" borderId="0" xfId="53" applyNumberFormat="1" applyFont="1" applyFill="1" applyAlignment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 wrapText="1"/>
    </xf>
    <xf numFmtId="164" fontId="9" fillId="36" borderId="12" xfId="53" applyNumberFormat="1" applyFont="1" applyFill="1" applyBorder="1" applyAlignment="1">
      <alignment horizontal="center" vertical="center" wrapText="1"/>
      <protection/>
    </xf>
    <xf numFmtId="164" fontId="9" fillId="36" borderId="13" xfId="0" applyNumberFormat="1" applyFont="1" applyFill="1" applyBorder="1" applyAlignment="1">
      <alignment horizontal="center" vertical="center" wrapText="1"/>
    </xf>
    <xf numFmtId="164" fontId="5" fillId="0" borderId="0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9" fillId="33" borderId="15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5" fillId="33" borderId="10" xfId="53" applyNumberFormat="1" applyFont="1" applyFill="1" applyBorder="1" applyAlignment="1">
      <alignment horizontal="center" vertical="center" wrapText="1"/>
      <protection/>
    </xf>
    <xf numFmtId="164" fontId="9" fillId="33" borderId="15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0" xfId="53" applyNumberFormat="1" applyFont="1" applyFill="1" applyBorder="1" applyAlignment="1">
      <alignment horizontal="center" vertical="center" wrapText="1"/>
      <protection/>
    </xf>
    <xf numFmtId="164" fontId="5" fillId="0" borderId="14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36" borderId="12" xfId="0" applyNumberFormat="1" applyFont="1" applyFill="1" applyBorder="1" applyAlignment="1">
      <alignment horizontal="center" vertical="center" wrapText="1"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0" fontId="5" fillId="0" borderId="10" xfId="53" applyNumberFormat="1" applyFont="1" applyFill="1" applyBorder="1" applyAlignment="1">
      <alignment horizontal="left" vertical="center" wrapText="1"/>
      <protection/>
    </xf>
    <xf numFmtId="43" fontId="9" fillId="0" borderId="10" xfId="0" applyNumberFormat="1" applyFont="1" applyBorder="1" applyAlignment="1">
      <alignment horizontal="center" vertical="center" wrapText="1"/>
    </xf>
    <xf numFmtId="164" fontId="53" fillId="0" borderId="0" xfId="0" applyNumberFormat="1" applyFont="1" applyFill="1" applyAlignment="1">
      <alignment horizontal="center" vertical="center" wrapText="1"/>
    </xf>
    <xf numFmtId="164" fontId="53" fillId="0" borderId="0" xfId="53" applyNumberFormat="1" applyFont="1" applyFill="1" applyAlignment="1">
      <alignment horizontal="center" vertical="center" wrapText="1"/>
      <protection/>
    </xf>
    <xf numFmtId="164" fontId="53" fillId="0" borderId="0" xfId="53" applyNumberFormat="1" applyFont="1" applyFill="1" applyBorder="1" applyAlignment="1">
      <alignment horizontal="center" vertical="center" wrapText="1"/>
      <protection/>
    </xf>
    <xf numFmtId="164" fontId="53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5" fillId="35" borderId="10" xfId="53" applyNumberFormat="1" applyFont="1" applyFill="1" applyBorder="1" applyAlignment="1">
      <alignment horizontal="center" vertical="center" wrapText="1"/>
      <protection/>
    </xf>
    <xf numFmtId="164" fontId="54" fillId="35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3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0" fillId="35" borderId="0" xfId="0" applyFill="1" applyAlignment="1">
      <alignment/>
    </xf>
    <xf numFmtId="0" fontId="15" fillId="35" borderId="16" xfId="0" applyFont="1" applyFill="1" applyBorder="1" applyAlignment="1">
      <alignment horizontal="center"/>
    </xf>
    <xf numFmtId="0" fontId="15" fillId="35" borderId="17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165" fontId="12" fillId="35" borderId="17" xfId="0" applyNumberFormat="1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 vertical="top" wrapText="1"/>
    </xf>
    <xf numFmtId="0" fontId="12" fillId="35" borderId="17" xfId="0" applyFont="1" applyFill="1" applyBorder="1" applyAlignment="1">
      <alignment horizontal="center"/>
    </xf>
    <xf numFmtId="0" fontId="15" fillId="35" borderId="18" xfId="0" applyFont="1" applyFill="1" applyBorder="1" applyAlignment="1">
      <alignment horizontal="center"/>
    </xf>
    <xf numFmtId="0" fontId="15" fillId="35" borderId="19" xfId="0" applyFont="1" applyFill="1" applyBorder="1" applyAlignment="1">
      <alignment horizontal="center"/>
    </xf>
    <xf numFmtId="0" fontId="14" fillId="35" borderId="19" xfId="0" applyFont="1" applyFill="1" applyBorder="1" applyAlignment="1">
      <alignment horizontal="center"/>
    </xf>
    <xf numFmtId="49" fontId="12" fillId="35" borderId="19" xfId="0" applyNumberFormat="1" applyFont="1" applyFill="1" applyBorder="1" applyAlignment="1">
      <alignment horizontal="center"/>
    </xf>
    <xf numFmtId="165" fontId="12" fillId="35" borderId="19" xfId="0" applyNumberFormat="1" applyFont="1" applyFill="1" applyBorder="1" applyAlignment="1">
      <alignment horizontal="center"/>
    </xf>
    <xf numFmtId="165" fontId="12" fillId="35" borderId="18" xfId="0" applyNumberFormat="1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 vertical="top" wrapText="1"/>
    </xf>
    <xf numFmtId="14" fontId="12" fillId="35" borderId="20" xfId="0" applyNumberFormat="1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 vertical="top" wrapText="1"/>
    </xf>
    <xf numFmtId="0" fontId="12" fillId="35" borderId="20" xfId="0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left"/>
    </xf>
    <xf numFmtId="165" fontId="14" fillId="0" borderId="2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wrapText="1"/>
    </xf>
    <xf numFmtId="165" fontId="13" fillId="0" borderId="10" xfId="0" applyNumberFormat="1" applyFont="1" applyFill="1" applyBorder="1" applyAlignment="1">
      <alignment horizontal="right"/>
    </xf>
    <xf numFmtId="165" fontId="13" fillId="0" borderId="10" xfId="0" applyNumberFormat="1" applyFont="1" applyFill="1" applyBorder="1" applyAlignment="1">
      <alignment/>
    </xf>
    <xf numFmtId="165" fontId="13" fillId="0" borderId="20" xfId="0" applyNumberFormat="1" applyFont="1" applyFill="1" applyBorder="1" applyAlignment="1">
      <alignment horizontal="right"/>
    </xf>
    <xf numFmtId="49" fontId="17" fillId="0" borderId="20" xfId="0" applyNumberFormat="1" applyFont="1" applyFill="1" applyBorder="1" applyAlignment="1">
      <alignment horizontal="center" wrapText="1"/>
    </xf>
    <xf numFmtId="49" fontId="17" fillId="0" borderId="20" xfId="0" applyNumberFormat="1" applyFont="1" applyFill="1" applyBorder="1" applyAlignment="1">
      <alignment horizontal="center" vertical="top" wrapText="1"/>
    </xf>
    <xf numFmtId="49" fontId="17" fillId="0" borderId="17" xfId="0" applyNumberFormat="1" applyFont="1" applyFill="1" applyBorder="1" applyAlignment="1">
      <alignment horizontal="center" vertical="top" wrapText="1"/>
    </xf>
    <xf numFmtId="49" fontId="17" fillId="0" borderId="17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49" fontId="17" fillId="0" borderId="20" xfId="0" applyNumberFormat="1" applyFont="1" applyFill="1" applyBorder="1" applyAlignment="1">
      <alignment horizontal="center" wrapText="1"/>
    </xf>
    <xf numFmtId="49" fontId="17" fillId="0" borderId="14" xfId="0" applyNumberFormat="1" applyFont="1" applyFill="1" applyBorder="1" applyAlignment="1">
      <alignment horizontal="center" wrapText="1"/>
    </xf>
    <xf numFmtId="0" fontId="17" fillId="0" borderId="14" xfId="0" applyFont="1" applyFill="1" applyBorder="1" applyAlignment="1">
      <alignment wrapText="1"/>
    </xf>
    <xf numFmtId="0" fontId="16" fillId="0" borderId="10" xfId="0" applyFont="1" applyFill="1" applyBorder="1" applyAlignment="1">
      <alignment/>
    </xf>
    <xf numFmtId="165" fontId="16" fillId="0" borderId="10" xfId="0" applyNumberFormat="1" applyFont="1" applyFill="1" applyBorder="1" applyAlignment="1">
      <alignment horizontal="right" wrapText="1"/>
    </xf>
    <xf numFmtId="49" fontId="17" fillId="0" borderId="20" xfId="0" applyNumberFormat="1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justify" wrapText="1"/>
    </xf>
    <xf numFmtId="49" fontId="17" fillId="0" borderId="2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/>
    </xf>
    <xf numFmtId="49" fontId="17" fillId="0" borderId="14" xfId="0" applyNumberFormat="1" applyFont="1" applyFill="1" applyBorder="1" applyAlignment="1">
      <alignment vertical="top" wrapText="1"/>
    </xf>
    <xf numFmtId="0" fontId="17" fillId="0" borderId="14" xfId="0" applyFont="1" applyFill="1" applyBorder="1" applyAlignment="1">
      <alignment vertical="top" wrapText="1"/>
    </xf>
    <xf numFmtId="165" fontId="13" fillId="0" borderId="10" xfId="0" applyNumberFormat="1" applyFont="1" applyFill="1" applyBorder="1" applyAlignment="1">
      <alignment horizontal="right" vertical="top"/>
    </xf>
    <xf numFmtId="165" fontId="13" fillId="0" borderId="10" xfId="0" applyNumberFormat="1" applyFont="1" applyFill="1" applyBorder="1" applyAlignment="1">
      <alignment vertical="top"/>
    </xf>
    <xf numFmtId="165" fontId="13" fillId="0" borderId="20" xfId="0" applyNumberFormat="1" applyFont="1" applyFill="1" applyBorder="1" applyAlignment="1">
      <alignment horizontal="right" vertical="top"/>
    </xf>
    <xf numFmtId="49" fontId="17" fillId="0" borderId="14" xfId="0" applyNumberFormat="1" applyFont="1" applyFill="1" applyBorder="1" applyAlignment="1">
      <alignment vertical="top" wrapText="1"/>
    </xf>
    <xf numFmtId="0" fontId="17" fillId="0" borderId="14" xfId="0" applyFont="1" applyFill="1" applyBorder="1" applyAlignment="1">
      <alignment vertical="top" wrapText="1" shrinkToFit="1"/>
    </xf>
    <xf numFmtId="49" fontId="17" fillId="0" borderId="14" xfId="0" applyNumberFormat="1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 wrapText="1"/>
    </xf>
    <xf numFmtId="165" fontId="14" fillId="0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wrapText="1"/>
    </xf>
    <xf numFmtId="165" fontId="14" fillId="0" borderId="10" xfId="0" applyNumberFormat="1" applyFont="1" applyFill="1" applyBorder="1" applyAlignment="1">
      <alignment horizontal="right"/>
    </xf>
    <xf numFmtId="0" fontId="17" fillId="0" borderId="20" xfId="0" applyFont="1" applyFill="1" applyBorder="1" applyAlignment="1">
      <alignment wrapText="1"/>
    </xf>
    <xf numFmtId="165" fontId="13" fillId="0" borderId="20" xfId="0" applyNumberFormat="1" applyFont="1" applyFill="1" applyBorder="1" applyAlignment="1">
      <alignment/>
    </xf>
    <xf numFmtId="165" fontId="17" fillId="0" borderId="10" xfId="0" applyNumberFormat="1" applyFont="1" applyFill="1" applyBorder="1" applyAlignment="1">
      <alignment horizontal="right" wrapText="1"/>
    </xf>
    <xf numFmtId="165" fontId="14" fillId="0" borderId="18" xfId="0" applyNumberFormat="1" applyFont="1" applyFill="1" applyBorder="1" applyAlignment="1">
      <alignment/>
    </xf>
    <xf numFmtId="165" fontId="14" fillId="0" borderId="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wrapText="1"/>
    </xf>
    <xf numFmtId="49" fontId="17" fillId="0" borderId="14" xfId="0" applyNumberFormat="1" applyFont="1" applyFill="1" applyBorder="1" applyAlignment="1">
      <alignment wrapText="1"/>
    </xf>
    <xf numFmtId="0" fontId="17" fillId="0" borderId="14" xfId="0" applyFont="1" applyFill="1" applyBorder="1" applyAlignment="1">
      <alignment wrapText="1" shrinkToFit="1"/>
    </xf>
    <xf numFmtId="165" fontId="13" fillId="0" borderId="17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165" fontId="14" fillId="0" borderId="17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9" fontId="17" fillId="0" borderId="20" xfId="0" applyNumberFormat="1" applyFont="1" applyFill="1" applyBorder="1" applyAlignment="1">
      <alignment horizontal="left" wrapText="1"/>
    </xf>
    <xf numFmtId="49" fontId="16" fillId="0" borderId="20" xfId="0" applyNumberFormat="1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left" wrapText="1"/>
    </xf>
    <xf numFmtId="166" fontId="13" fillId="0" borderId="10" xfId="0" applyNumberFormat="1" applyFont="1" applyFill="1" applyBorder="1" applyAlignment="1">
      <alignment/>
    </xf>
    <xf numFmtId="49" fontId="17" fillId="0" borderId="17" xfId="0" applyNumberFormat="1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left"/>
    </xf>
    <xf numFmtId="49" fontId="13" fillId="0" borderId="17" xfId="0" applyNumberFormat="1" applyFont="1" applyFill="1" applyBorder="1" applyAlignment="1">
      <alignment horizontal="left"/>
    </xf>
    <xf numFmtId="165" fontId="17" fillId="0" borderId="10" xfId="0" applyNumberFormat="1" applyFont="1" applyFill="1" applyBorder="1" applyAlignment="1">
      <alignment horizontal="right" wrapText="1"/>
    </xf>
    <xf numFmtId="49" fontId="17" fillId="0" borderId="14" xfId="0" applyNumberFormat="1" applyFont="1" applyFill="1" applyBorder="1" applyAlignment="1">
      <alignment horizontal="left" wrapText="1"/>
    </xf>
    <xf numFmtId="49" fontId="17" fillId="0" borderId="14" xfId="0" applyNumberFormat="1" applyFont="1" applyFill="1" applyBorder="1" applyAlignment="1">
      <alignment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17" fillId="0" borderId="14" xfId="0" applyNumberFormat="1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165" fontId="14" fillId="0" borderId="10" xfId="0" applyNumberFormat="1" applyFont="1" applyFill="1" applyBorder="1" applyAlignment="1">
      <alignment vertical="top"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164" fontId="9" fillId="0" borderId="15" xfId="53" applyNumberFormat="1" applyFont="1" applyBorder="1" applyAlignment="1">
      <alignment horizontal="center" vertical="center" wrapText="1"/>
      <protection/>
    </xf>
    <xf numFmtId="164" fontId="9" fillId="0" borderId="15" xfId="0" applyNumberFormat="1" applyFont="1" applyBorder="1" applyAlignment="1">
      <alignment horizontal="center" vertical="center" wrapText="1"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5" xfId="53" applyNumberFormat="1" applyFont="1" applyFill="1" applyBorder="1" applyAlignment="1">
      <alignment horizontal="center" vertical="center" wrapText="1"/>
      <protection/>
    </xf>
    <xf numFmtId="164" fontId="7" fillId="0" borderId="10" xfId="0" applyNumberFormat="1" applyFont="1" applyBorder="1" applyAlignment="1">
      <alignment horizontal="center" vertical="center"/>
    </xf>
    <xf numFmtId="0" fontId="11" fillId="0" borderId="0" xfId="53" applyNumberFormat="1" applyFont="1" applyAlignment="1">
      <alignment horizontal="center" vertical="center" wrapText="1"/>
      <protection/>
    </xf>
    <xf numFmtId="49" fontId="6" fillId="0" borderId="21" xfId="53" applyNumberFormat="1" applyFont="1" applyBorder="1" applyAlignment="1">
      <alignment horizontal="center" vertical="center" wrapText="1"/>
      <protection/>
    </xf>
    <xf numFmtId="49" fontId="6" fillId="0" borderId="11" xfId="53" applyNumberFormat="1" applyFont="1" applyBorder="1" applyAlignment="1">
      <alignment horizontal="center" vertical="center" wrapText="1"/>
      <protection/>
    </xf>
    <xf numFmtId="0" fontId="6" fillId="0" borderId="22" xfId="53" applyNumberFormat="1" applyFont="1" applyBorder="1" applyAlignment="1">
      <alignment horizontal="center" vertical="center" wrapText="1"/>
      <protection/>
    </xf>
    <xf numFmtId="0" fontId="6" fillId="0" borderId="10" xfId="53" applyNumberFormat="1" applyFont="1" applyBorder="1" applyAlignment="1">
      <alignment horizontal="center" vertical="center" wrapText="1"/>
      <protection/>
    </xf>
    <xf numFmtId="164" fontId="5" fillId="0" borderId="22" xfId="53" applyNumberFormat="1" applyFont="1" applyFill="1" applyBorder="1" applyAlignment="1">
      <alignment horizontal="center" vertical="center" wrapText="1"/>
      <protection/>
    </xf>
    <xf numFmtId="164" fontId="5" fillId="0" borderId="22" xfId="0" applyNumberFormat="1" applyFont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164" fontId="9" fillId="0" borderId="23" xfId="0" applyNumberFormat="1" applyFont="1" applyFill="1" applyBorder="1" applyAlignment="1">
      <alignment horizontal="center" vertical="center" wrapText="1"/>
    </xf>
    <xf numFmtId="164" fontId="5" fillId="0" borderId="10" xfId="53" applyNumberFormat="1" applyFont="1" applyBorder="1" applyAlignment="1">
      <alignment horizontal="center" vertical="center" wrapText="1"/>
      <protection/>
    </xf>
    <xf numFmtId="164" fontId="9" fillId="0" borderId="10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0" xfId="53" applyNumberFormat="1" applyFont="1" applyBorder="1" applyAlignment="1">
      <alignment horizontal="center" vertical="center" wrapText="1"/>
      <protection/>
    </xf>
    <xf numFmtId="0" fontId="10" fillId="36" borderId="24" xfId="53" applyNumberFormat="1" applyFont="1" applyFill="1" applyBorder="1" applyAlignment="1">
      <alignment horizontal="center" vertical="center" wrapText="1"/>
      <protection/>
    </xf>
    <xf numFmtId="0" fontId="10" fillId="36" borderId="12" xfId="53" applyNumberFormat="1" applyFont="1" applyFill="1" applyBorder="1" applyAlignment="1">
      <alignment horizontal="center" vertical="center" wrapText="1"/>
      <protection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6" fillId="0" borderId="0" xfId="53" applyNumberFormat="1" applyFont="1" applyFill="1" applyBorder="1" applyAlignment="1">
      <alignment horizontal="right" vertical="center" wrapText="1"/>
      <protection/>
    </xf>
    <xf numFmtId="164" fontId="5" fillId="0" borderId="0" xfId="53" applyNumberFormat="1" applyFont="1" applyFill="1" applyBorder="1" applyAlignment="1">
      <alignment horizontal="left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35" borderId="25" xfId="0" applyFont="1" applyFill="1" applyBorder="1" applyAlignment="1">
      <alignment horizontal="center"/>
    </xf>
    <xf numFmtId="0" fontId="15" fillId="35" borderId="26" xfId="0" applyFont="1" applyFill="1" applyBorder="1" applyAlignment="1">
      <alignment horizontal="center"/>
    </xf>
    <xf numFmtId="0" fontId="15" fillId="35" borderId="27" xfId="0" applyFont="1" applyFill="1" applyBorder="1" applyAlignment="1">
      <alignment horizontal="center"/>
    </xf>
    <xf numFmtId="49" fontId="17" fillId="0" borderId="25" xfId="0" applyNumberFormat="1" applyFont="1" applyFill="1" applyBorder="1" applyAlignment="1">
      <alignment horizontal="center" wrapText="1"/>
    </xf>
    <xf numFmtId="49" fontId="17" fillId="0" borderId="26" xfId="0" applyNumberFormat="1" applyFont="1" applyFill="1" applyBorder="1" applyAlignment="1">
      <alignment horizontal="center" wrapText="1"/>
    </xf>
    <xf numFmtId="49" fontId="17" fillId="0" borderId="27" xfId="0" applyNumberFormat="1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165" fontId="14" fillId="0" borderId="26" xfId="0" applyNumberFormat="1" applyFont="1" applyFill="1" applyBorder="1" applyAlignment="1">
      <alignment horizontal="center"/>
    </xf>
    <xf numFmtId="165" fontId="14" fillId="0" borderId="27" xfId="0" applyNumberFormat="1" applyFont="1" applyFill="1" applyBorder="1" applyAlignment="1">
      <alignment horizontal="center"/>
    </xf>
    <xf numFmtId="44" fontId="17" fillId="0" borderId="25" xfId="42" applyFont="1" applyFill="1" applyBorder="1" applyAlignment="1">
      <alignment horizontal="center" wrapText="1"/>
    </xf>
    <xf numFmtId="44" fontId="17" fillId="0" borderId="26" xfId="42" applyFont="1" applyFill="1" applyBorder="1" applyAlignment="1">
      <alignment horizontal="center" wrapText="1"/>
    </xf>
    <xf numFmtId="44" fontId="17" fillId="0" borderId="27" xfId="42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94">
      <selection activeCell="I121" sqref="I121:J121"/>
    </sheetView>
  </sheetViews>
  <sheetFormatPr defaultColWidth="9.00390625" defaultRowHeight="12.75"/>
  <cols>
    <col min="2" max="2" width="52.00390625" style="0" customWidth="1"/>
    <col min="3" max="3" width="11.75390625" style="0" customWidth="1"/>
    <col min="4" max="4" width="11.25390625" style="0" customWidth="1"/>
    <col min="5" max="5" width="10.875" style="0" customWidth="1"/>
    <col min="6" max="6" width="11.75390625" style="0" customWidth="1"/>
    <col min="7" max="7" width="10.625" style="0" customWidth="1"/>
    <col min="9" max="9" width="11.75390625" style="0" customWidth="1"/>
    <col min="10" max="10" width="10.75390625" style="0" customWidth="1"/>
  </cols>
  <sheetData>
    <row r="1" spans="1:11" ht="14.25">
      <c r="A1" s="151" t="s">
        <v>170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2.75">
      <c r="A3" s="152" t="s">
        <v>98</v>
      </c>
      <c r="B3" s="154" t="s">
        <v>97</v>
      </c>
      <c r="C3" s="156" t="s">
        <v>113</v>
      </c>
      <c r="D3" s="156"/>
      <c r="E3" s="156"/>
      <c r="F3" s="157" t="s">
        <v>112</v>
      </c>
      <c r="G3" s="157"/>
      <c r="H3" s="157"/>
      <c r="I3" s="158" t="s">
        <v>111</v>
      </c>
      <c r="J3" s="158"/>
      <c r="K3" s="159"/>
    </row>
    <row r="4" spans="1:11" ht="12.75">
      <c r="A4" s="153"/>
      <c r="B4" s="155"/>
      <c r="C4" s="143" t="s">
        <v>78</v>
      </c>
      <c r="D4" s="143" t="s">
        <v>171</v>
      </c>
      <c r="E4" s="143" t="s">
        <v>77</v>
      </c>
      <c r="F4" s="143" t="s">
        <v>78</v>
      </c>
      <c r="G4" s="160" t="s">
        <v>171</v>
      </c>
      <c r="H4" s="160" t="s">
        <v>77</v>
      </c>
      <c r="I4" s="161" t="s">
        <v>78</v>
      </c>
      <c r="J4" s="163" t="s">
        <v>173</v>
      </c>
      <c r="K4" s="146" t="s">
        <v>77</v>
      </c>
    </row>
    <row r="5" spans="1:11" ht="19.5" customHeight="1">
      <c r="A5" s="153"/>
      <c r="B5" s="155"/>
      <c r="C5" s="144"/>
      <c r="D5" s="143"/>
      <c r="E5" s="150"/>
      <c r="F5" s="144"/>
      <c r="G5" s="160"/>
      <c r="H5" s="144"/>
      <c r="I5" s="162"/>
      <c r="J5" s="163"/>
      <c r="K5" s="147"/>
    </row>
    <row r="6" spans="1:11" ht="12.75">
      <c r="A6" s="153"/>
      <c r="B6" s="148" t="s">
        <v>0</v>
      </c>
      <c r="C6" s="148"/>
      <c r="D6" s="148"/>
      <c r="E6" s="148"/>
      <c r="F6" s="148"/>
      <c r="G6" s="148"/>
      <c r="H6" s="148"/>
      <c r="I6" s="148"/>
      <c r="J6" s="148"/>
      <c r="K6" s="149"/>
    </row>
    <row r="7" spans="1:11" ht="12.75">
      <c r="A7" s="153"/>
      <c r="B7" s="148"/>
      <c r="C7" s="148"/>
      <c r="D7" s="148"/>
      <c r="E7" s="148"/>
      <c r="F7" s="148"/>
      <c r="G7" s="148"/>
      <c r="H7" s="148"/>
      <c r="I7" s="148"/>
      <c r="J7" s="148"/>
      <c r="K7" s="149"/>
    </row>
    <row r="8" spans="1:11" ht="12.75">
      <c r="A8" s="153"/>
      <c r="B8" s="148"/>
      <c r="C8" s="148"/>
      <c r="D8" s="148"/>
      <c r="E8" s="148"/>
      <c r="F8" s="148"/>
      <c r="G8" s="148"/>
      <c r="H8" s="148"/>
      <c r="I8" s="148"/>
      <c r="J8" s="148"/>
      <c r="K8" s="149"/>
    </row>
    <row r="9" spans="1:11" ht="12.75">
      <c r="A9" s="13" t="s">
        <v>1</v>
      </c>
      <c r="B9" s="4" t="s">
        <v>2</v>
      </c>
      <c r="C9" s="24">
        <f>SUM(C10:C17)</f>
        <v>241075.8</v>
      </c>
      <c r="D9" s="24">
        <f>SUM(D10:D17)</f>
        <v>20199.8</v>
      </c>
      <c r="E9" s="24">
        <f>D9/C9*100</f>
        <v>8.379024356654629</v>
      </c>
      <c r="F9" s="24">
        <f>F10+F11+F12+F13+F14+F16+F17+F15</f>
        <v>170540.7</v>
      </c>
      <c r="G9" s="24">
        <f>SUM(G10:G17)</f>
        <v>7172.1</v>
      </c>
      <c r="H9" s="35">
        <f>G9/F9*100</f>
        <v>4.205506368860923</v>
      </c>
      <c r="I9" s="24">
        <f>SUM(I10:I17)</f>
        <v>410942.5</v>
      </c>
      <c r="J9" s="24">
        <f>SUM(J10:J17)</f>
        <v>27371.9</v>
      </c>
      <c r="K9" s="36">
        <f>J9/I9*100</f>
        <v>6.660761542064887</v>
      </c>
    </row>
    <row r="10" spans="1:11" ht="12.75">
      <c r="A10" s="14" t="s">
        <v>3</v>
      </c>
      <c r="B10" s="3" t="s">
        <v>4</v>
      </c>
      <c r="C10" s="22">
        <v>14331</v>
      </c>
      <c r="D10" s="22">
        <v>2746</v>
      </c>
      <c r="E10" s="22">
        <f>D10/C10*100</f>
        <v>19.16125880957365</v>
      </c>
      <c r="F10" s="25">
        <v>33428.3</v>
      </c>
      <c r="G10" s="23">
        <v>1588.9</v>
      </c>
      <c r="H10" s="25">
        <f>G10/F10*100</f>
        <v>4.753158252139654</v>
      </c>
      <c r="I10" s="40">
        <f aca="true" t="shared" si="0" ref="I10:J80">C10+F10</f>
        <v>47759.3</v>
      </c>
      <c r="J10" s="46">
        <f t="shared" si="0"/>
        <v>4334.9</v>
      </c>
      <c r="K10" s="37">
        <f aca="true" t="shared" si="1" ref="K10:K82">J10/I10*100</f>
        <v>9.076556817206281</v>
      </c>
    </row>
    <row r="11" spans="1:11" ht="22.5">
      <c r="A11" s="14" t="s">
        <v>5</v>
      </c>
      <c r="B11" s="3" t="s">
        <v>89</v>
      </c>
      <c r="C11" s="22">
        <v>24414</v>
      </c>
      <c r="D11" s="22">
        <v>2898.3</v>
      </c>
      <c r="E11" s="22">
        <f aca="true" t="shared" si="2" ref="E11:E19">D11/C11*100</f>
        <v>11.871467190956011</v>
      </c>
      <c r="F11" s="25">
        <v>0</v>
      </c>
      <c r="G11" s="23">
        <v>0</v>
      </c>
      <c r="H11" s="25">
        <v>0</v>
      </c>
      <c r="I11" s="40">
        <f t="shared" si="0"/>
        <v>24414</v>
      </c>
      <c r="J11" s="46">
        <f t="shared" si="0"/>
        <v>2898.3</v>
      </c>
      <c r="K11" s="37">
        <f t="shared" si="1"/>
        <v>11.871467190956011</v>
      </c>
    </row>
    <row r="12" spans="1:11" ht="12.75">
      <c r="A12" s="14" t="s">
        <v>6</v>
      </c>
      <c r="B12" s="3" t="s">
        <v>7</v>
      </c>
      <c r="C12" s="22">
        <v>113281.4</v>
      </c>
      <c r="D12" s="22">
        <v>11209.4</v>
      </c>
      <c r="E12" s="22">
        <f t="shared" si="2"/>
        <v>9.89518138017362</v>
      </c>
      <c r="F12" s="25">
        <v>109532.1</v>
      </c>
      <c r="G12" s="23">
        <v>5229.6</v>
      </c>
      <c r="H12" s="25">
        <f aca="true" t="shared" si="3" ref="H12:H19">G12/F12*100</f>
        <v>4.774490765720734</v>
      </c>
      <c r="I12" s="40">
        <f t="shared" si="0"/>
        <v>222813.5</v>
      </c>
      <c r="J12" s="46">
        <f t="shared" si="0"/>
        <v>16439</v>
      </c>
      <c r="K12" s="37">
        <f t="shared" si="1"/>
        <v>7.377919201484649</v>
      </c>
    </row>
    <row r="13" spans="1:11" ht="12.75">
      <c r="A13" s="14" t="s">
        <v>8</v>
      </c>
      <c r="B13" s="3" t="s">
        <v>9</v>
      </c>
      <c r="C13" s="22">
        <v>0</v>
      </c>
      <c r="D13" s="22">
        <v>0</v>
      </c>
      <c r="E13" s="22"/>
      <c r="F13" s="25">
        <v>0</v>
      </c>
      <c r="G13" s="23">
        <v>0</v>
      </c>
      <c r="H13" s="25">
        <v>0</v>
      </c>
      <c r="I13" s="40">
        <f t="shared" si="0"/>
        <v>0</v>
      </c>
      <c r="J13" s="46">
        <f t="shared" si="0"/>
        <v>0</v>
      </c>
      <c r="K13" s="37"/>
    </row>
    <row r="14" spans="1:11" ht="12.75">
      <c r="A14" s="14" t="s">
        <v>10</v>
      </c>
      <c r="B14" s="3" t="s">
        <v>11</v>
      </c>
      <c r="C14" s="22">
        <v>28851.6</v>
      </c>
      <c r="D14" s="22">
        <v>2873</v>
      </c>
      <c r="E14" s="22">
        <f t="shared" si="2"/>
        <v>9.957853290632062</v>
      </c>
      <c r="F14" s="25">
        <v>594</v>
      </c>
      <c r="G14" s="23">
        <v>0</v>
      </c>
      <c r="H14" s="25">
        <f t="shared" si="3"/>
        <v>0</v>
      </c>
      <c r="I14" s="40">
        <f>C14+F14-594</f>
        <v>28851.6</v>
      </c>
      <c r="J14" s="46">
        <f>D14+G14</f>
        <v>2873</v>
      </c>
      <c r="K14" s="37">
        <f t="shared" si="1"/>
        <v>9.957853290632062</v>
      </c>
    </row>
    <row r="15" spans="1:11" ht="12.75">
      <c r="A15" s="15" t="s">
        <v>12</v>
      </c>
      <c r="B15" s="3" t="s">
        <v>169</v>
      </c>
      <c r="C15" s="22"/>
      <c r="D15" s="22"/>
      <c r="E15" s="22"/>
      <c r="F15" s="25">
        <v>8625</v>
      </c>
      <c r="G15" s="23">
        <v>0</v>
      </c>
      <c r="H15" s="25"/>
      <c r="I15" s="40">
        <f>C15+F15</f>
        <v>8625</v>
      </c>
      <c r="J15" s="46">
        <f t="shared" si="0"/>
        <v>0</v>
      </c>
      <c r="K15" s="37">
        <f t="shared" si="1"/>
        <v>0</v>
      </c>
    </row>
    <row r="16" spans="1:11" ht="12.75">
      <c r="A16" s="15" t="s">
        <v>13</v>
      </c>
      <c r="B16" s="3" t="s">
        <v>14</v>
      </c>
      <c r="C16" s="22">
        <v>4536</v>
      </c>
      <c r="D16" s="22">
        <v>0</v>
      </c>
      <c r="E16" s="22">
        <f t="shared" si="2"/>
        <v>0</v>
      </c>
      <c r="F16" s="25">
        <v>1340.5</v>
      </c>
      <c r="G16" s="23">
        <v>0</v>
      </c>
      <c r="H16" s="25">
        <f t="shared" si="3"/>
        <v>0</v>
      </c>
      <c r="I16" s="40">
        <f t="shared" si="0"/>
        <v>5876.5</v>
      </c>
      <c r="J16" s="46">
        <f t="shared" si="0"/>
        <v>0</v>
      </c>
      <c r="K16" s="37">
        <f t="shared" si="1"/>
        <v>0</v>
      </c>
    </row>
    <row r="17" spans="1:11" ht="12.75">
      <c r="A17" s="14" t="s">
        <v>80</v>
      </c>
      <c r="B17" s="3" t="s">
        <v>15</v>
      </c>
      <c r="C17" s="22">
        <v>55661.8</v>
      </c>
      <c r="D17" s="22">
        <v>473.1</v>
      </c>
      <c r="E17" s="22">
        <f t="shared" si="2"/>
        <v>0.8499545469244616</v>
      </c>
      <c r="F17" s="25">
        <v>17020.8</v>
      </c>
      <c r="G17" s="23">
        <v>353.6</v>
      </c>
      <c r="H17" s="25">
        <f t="shared" si="3"/>
        <v>2.0774581688287275</v>
      </c>
      <c r="I17" s="40">
        <f>C17+F17-80</f>
        <v>72602.6</v>
      </c>
      <c r="J17" s="46">
        <f>D17+G17</f>
        <v>826.7</v>
      </c>
      <c r="K17" s="37">
        <f t="shared" si="1"/>
        <v>1.1386644555429144</v>
      </c>
    </row>
    <row r="18" spans="1:11" ht="12.75">
      <c r="A18" s="13" t="s">
        <v>16</v>
      </c>
      <c r="B18" s="4" t="s">
        <v>17</v>
      </c>
      <c r="C18" s="24">
        <f aca="true" t="shared" si="4" ref="C18:J18">C19</f>
        <v>3567.9</v>
      </c>
      <c r="D18" s="24">
        <f t="shared" si="4"/>
        <v>0</v>
      </c>
      <c r="E18" s="24">
        <f t="shared" si="4"/>
        <v>0</v>
      </c>
      <c r="F18" s="24">
        <f t="shared" si="4"/>
        <v>3567.9</v>
      </c>
      <c r="G18" s="24">
        <f t="shared" si="4"/>
        <v>8</v>
      </c>
      <c r="H18" s="38">
        <f t="shared" si="4"/>
        <v>0.22422153087250205</v>
      </c>
      <c r="I18" s="24">
        <f t="shared" si="4"/>
        <v>3567.9</v>
      </c>
      <c r="J18" s="24">
        <f t="shared" si="4"/>
        <v>8</v>
      </c>
      <c r="K18" s="39">
        <f t="shared" si="1"/>
        <v>0.22422153087250205</v>
      </c>
    </row>
    <row r="19" spans="1:11" ht="12.75">
      <c r="A19" s="14" t="s">
        <v>18</v>
      </c>
      <c r="B19" s="3" t="s">
        <v>19</v>
      </c>
      <c r="C19" s="22">
        <v>3567.9</v>
      </c>
      <c r="D19" s="22">
        <v>0</v>
      </c>
      <c r="E19" s="22">
        <f t="shared" si="2"/>
        <v>0</v>
      </c>
      <c r="F19" s="25">
        <v>3567.9</v>
      </c>
      <c r="G19" s="23">
        <v>8</v>
      </c>
      <c r="H19" s="25">
        <f t="shared" si="3"/>
        <v>0.22422153087250205</v>
      </c>
      <c r="I19" s="40">
        <f>C19+F19-3567.9</f>
        <v>3567.9</v>
      </c>
      <c r="J19" s="46">
        <f>D19+G19</f>
        <v>8</v>
      </c>
      <c r="K19" s="37">
        <f t="shared" si="1"/>
        <v>0.22422153087250205</v>
      </c>
    </row>
    <row r="20" spans="1:11" ht="12.75">
      <c r="A20" s="166" t="s">
        <v>20</v>
      </c>
      <c r="B20" s="167" t="s">
        <v>102</v>
      </c>
      <c r="C20" s="145">
        <f>C23+C24+C22</f>
        <v>25046.9</v>
      </c>
      <c r="D20" s="145">
        <f>D23+D24+D22</f>
        <v>0</v>
      </c>
      <c r="E20" s="145">
        <f>D20/C20*100</f>
        <v>0</v>
      </c>
      <c r="F20" s="145">
        <f>F23+F24+F22</f>
        <v>9535.5</v>
      </c>
      <c r="G20" s="145">
        <f>G23+G24+G22</f>
        <v>0</v>
      </c>
      <c r="H20" s="145">
        <f>G20/F20*100</f>
        <v>0</v>
      </c>
      <c r="I20" s="145">
        <f>I23+I24+I22</f>
        <v>32921.4</v>
      </c>
      <c r="J20" s="145">
        <f>SUM(J22:J24)</f>
        <v>0</v>
      </c>
      <c r="K20" s="145">
        <f>J20/I20*100</f>
        <v>0</v>
      </c>
    </row>
    <row r="21" spans="1:11" ht="12.75">
      <c r="A21" s="166"/>
      <c r="B21" s="167"/>
      <c r="C21" s="145"/>
      <c r="D21" s="145"/>
      <c r="E21" s="145"/>
      <c r="F21" s="145"/>
      <c r="G21" s="145"/>
      <c r="H21" s="145"/>
      <c r="I21" s="145"/>
      <c r="J21" s="145"/>
      <c r="K21" s="145"/>
    </row>
    <row r="22" spans="1:11" ht="12.75">
      <c r="A22" s="15" t="s">
        <v>116</v>
      </c>
      <c r="B22" s="3" t="s">
        <v>103</v>
      </c>
      <c r="C22" s="22">
        <v>5428.2</v>
      </c>
      <c r="D22" s="22">
        <v>0</v>
      </c>
      <c r="E22" s="22">
        <f aca="true" t="shared" si="5" ref="E22:E95">D22/C22*100</f>
        <v>0</v>
      </c>
      <c r="F22" s="26">
        <v>761</v>
      </c>
      <c r="G22" s="23">
        <v>0</v>
      </c>
      <c r="H22" s="25">
        <f>G22/F22*100</f>
        <v>0</v>
      </c>
      <c r="I22" s="40">
        <f>C22+F22-761</f>
        <v>5428.2</v>
      </c>
      <c r="J22" s="46">
        <f>D22+G22</f>
        <v>0</v>
      </c>
      <c r="K22" s="37">
        <f>J22/I22*100</f>
        <v>0</v>
      </c>
    </row>
    <row r="23" spans="1:11" ht="12.75">
      <c r="A23" s="14" t="s">
        <v>21</v>
      </c>
      <c r="B23" s="3" t="s">
        <v>117</v>
      </c>
      <c r="C23" s="22">
        <v>10083</v>
      </c>
      <c r="D23" s="22">
        <v>0</v>
      </c>
      <c r="E23" s="22">
        <f t="shared" si="5"/>
        <v>0</v>
      </c>
      <c r="F23" s="25">
        <v>8774.5</v>
      </c>
      <c r="G23" s="23">
        <v>0</v>
      </c>
      <c r="H23" s="25">
        <f>G23/F23*100</f>
        <v>0</v>
      </c>
      <c r="I23" s="40">
        <f>C23+F23-900</f>
        <v>17957.5</v>
      </c>
      <c r="J23" s="46">
        <f>D23+G23</f>
        <v>0</v>
      </c>
      <c r="K23" s="37">
        <f>J23/I23*100</f>
        <v>0</v>
      </c>
    </row>
    <row r="24" spans="1:11" ht="22.5">
      <c r="A24" s="15" t="s">
        <v>107</v>
      </c>
      <c r="B24" s="3" t="s">
        <v>108</v>
      </c>
      <c r="C24" s="22">
        <v>9535.7</v>
      </c>
      <c r="D24" s="22">
        <v>0</v>
      </c>
      <c r="E24" s="22">
        <f t="shared" si="5"/>
        <v>0</v>
      </c>
      <c r="F24" s="25">
        <v>0</v>
      </c>
      <c r="G24" s="23">
        <v>0</v>
      </c>
      <c r="H24" s="25">
        <v>0</v>
      </c>
      <c r="I24" s="40">
        <f>C24+F24</f>
        <v>9535.7</v>
      </c>
      <c r="J24" s="46">
        <f>D24+G24</f>
        <v>0</v>
      </c>
      <c r="K24" s="37">
        <f>J24/I24*100</f>
        <v>0</v>
      </c>
    </row>
    <row r="25" spans="1:11" ht="12.75">
      <c r="A25" s="13" t="s">
        <v>22</v>
      </c>
      <c r="B25" s="4" t="s">
        <v>23</v>
      </c>
      <c r="C25" s="24">
        <f>SUM(C26:C44)</f>
        <v>176387.6</v>
      </c>
      <c r="D25" s="24">
        <f>SUM(D26:D44)</f>
        <v>2159.1</v>
      </c>
      <c r="E25" s="24">
        <f>D25/C25*100</f>
        <v>1.2240656372670187</v>
      </c>
      <c r="F25" s="24">
        <f>SUM(F26:F44)</f>
        <v>77760.7</v>
      </c>
      <c r="G25" s="24">
        <f>SUM(G26:G44)</f>
        <v>137.6</v>
      </c>
      <c r="H25" s="35">
        <f>G25/F25*100</f>
        <v>0.17695313956793085</v>
      </c>
      <c r="I25" s="24">
        <f>SUM(I26:I44)</f>
        <v>217828.6</v>
      </c>
      <c r="J25" s="24">
        <f>SUM(J26:J44)</f>
        <v>2296.7</v>
      </c>
      <c r="K25" s="36">
        <f t="shared" si="1"/>
        <v>1.0543610894069924</v>
      </c>
    </row>
    <row r="26" spans="1:11" ht="12.75">
      <c r="A26" s="15" t="s">
        <v>24</v>
      </c>
      <c r="B26" s="16" t="s">
        <v>99</v>
      </c>
      <c r="C26" s="22">
        <v>10341.5</v>
      </c>
      <c r="D26" s="22">
        <v>0</v>
      </c>
      <c r="E26" s="22">
        <f t="shared" si="5"/>
        <v>0</v>
      </c>
      <c r="F26" s="56">
        <v>497.9</v>
      </c>
      <c r="G26" s="28">
        <v>-5</v>
      </c>
      <c r="H26" s="25">
        <f>G26/F26*100</f>
        <v>-1.004217714400482</v>
      </c>
      <c r="I26" s="40">
        <f>C26+F26-297.9</f>
        <v>10541.5</v>
      </c>
      <c r="J26" s="40">
        <f>D26+G26</f>
        <v>-5</v>
      </c>
      <c r="K26" s="37">
        <f t="shared" si="1"/>
        <v>-0.047431579945928</v>
      </c>
    </row>
    <row r="27" spans="1:11" ht="12.75">
      <c r="A27" s="14" t="s">
        <v>25</v>
      </c>
      <c r="B27" s="3" t="s">
        <v>26</v>
      </c>
      <c r="C27" s="22">
        <v>38525</v>
      </c>
      <c r="D27" s="22">
        <v>2103.9</v>
      </c>
      <c r="E27" s="22">
        <f t="shared" si="5"/>
        <v>5.461129136924075</v>
      </c>
      <c r="F27" s="25">
        <v>0</v>
      </c>
      <c r="G27" s="23">
        <v>0</v>
      </c>
      <c r="H27" s="25">
        <v>0</v>
      </c>
      <c r="I27" s="40">
        <f t="shared" si="0"/>
        <v>38525</v>
      </c>
      <c r="J27" s="46">
        <f t="shared" si="0"/>
        <v>2103.9</v>
      </c>
      <c r="K27" s="37">
        <f t="shared" si="1"/>
        <v>5.461129136924075</v>
      </c>
    </row>
    <row r="28" spans="1:11" ht="12.75">
      <c r="A28" s="14" t="s">
        <v>27</v>
      </c>
      <c r="B28" s="3" t="s">
        <v>121</v>
      </c>
      <c r="C28" s="56">
        <v>6650</v>
      </c>
      <c r="D28" s="22">
        <v>0</v>
      </c>
      <c r="E28" s="22">
        <f t="shared" si="5"/>
        <v>0</v>
      </c>
      <c r="F28" s="25">
        <v>0</v>
      </c>
      <c r="G28" s="23">
        <v>0</v>
      </c>
      <c r="H28" s="25">
        <v>0</v>
      </c>
      <c r="I28" s="40">
        <f t="shared" si="0"/>
        <v>6650</v>
      </c>
      <c r="J28" s="46">
        <f t="shared" si="0"/>
        <v>0</v>
      </c>
      <c r="K28" s="37">
        <f t="shared" si="1"/>
        <v>0</v>
      </c>
    </row>
    <row r="29" spans="1:11" ht="12.75">
      <c r="A29" s="14" t="s">
        <v>27</v>
      </c>
      <c r="B29" s="3" t="s">
        <v>119</v>
      </c>
      <c r="C29" s="56">
        <v>13896</v>
      </c>
      <c r="D29" s="22">
        <v>0</v>
      </c>
      <c r="E29" s="22">
        <f t="shared" si="5"/>
        <v>0</v>
      </c>
      <c r="F29" s="28">
        <v>12286</v>
      </c>
      <c r="G29" s="26">
        <v>99</v>
      </c>
      <c r="H29" s="25">
        <f>G29/F29*100</f>
        <v>0.8057952140647892</v>
      </c>
      <c r="I29" s="40">
        <f t="shared" si="0"/>
        <v>26182</v>
      </c>
      <c r="J29" s="46">
        <f t="shared" si="0"/>
        <v>99</v>
      </c>
      <c r="K29" s="37">
        <f t="shared" si="1"/>
        <v>0.3781223741501795</v>
      </c>
    </row>
    <row r="30" spans="1:11" ht="12.75">
      <c r="A30" s="14" t="s">
        <v>27</v>
      </c>
      <c r="B30" s="3" t="s">
        <v>120</v>
      </c>
      <c r="C30" s="56">
        <v>7931</v>
      </c>
      <c r="D30" s="22">
        <v>0</v>
      </c>
      <c r="E30" s="22">
        <f t="shared" si="5"/>
        <v>0</v>
      </c>
      <c r="F30" s="26">
        <v>0</v>
      </c>
      <c r="G30" s="26">
        <v>0</v>
      </c>
      <c r="H30" s="25">
        <v>0</v>
      </c>
      <c r="I30" s="40">
        <f t="shared" si="0"/>
        <v>7931</v>
      </c>
      <c r="J30" s="46">
        <f t="shared" si="0"/>
        <v>0</v>
      </c>
      <c r="K30" s="37">
        <f t="shared" si="1"/>
        <v>0</v>
      </c>
    </row>
    <row r="31" spans="1:11" ht="12.75">
      <c r="A31" s="14" t="s">
        <v>74</v>
      </c>
      <c r="B31" s="3" t="s">
        <v>96</v>
      </c>
      <c r="C31" s="56">
        <v>40682</v>
      </c>
      <c r="D31" s="22">
        <v>0</v>
      </c>
      <c r="E31" s="22">
        <f t="shared" si="5"/>
        <v>0</v>
      </c>
      <c r="F31" s="26">
        <v>36278.2</v>
      </c>
      <c r="G31" s="26">
        <v>0</v>
      </c>
      <c r="H31" s="25">
        <f>G31/F31*100</f>
        <v>0</v>
      </c>
      <c r="I31" s="40">
        <f>C31+F31-36021.8</f>
        <v>40938.399999999994</v>
      </c>
      <c r="J31" s="46">
        <f>D31+G31</f>
        <v>0</v>
      </c>
      <c r="K31" s="37">
        <f t="shared" si="1"/>
        <v>0</v>
      </c>
    </row>
    <row r="32" spans="1:11" ht="33.75">
      <c r="A32" s="14" t="s">
        <v>74</v>
      </c>
      <c r="B32" s="2" t="s">
        <v>150</v>
      </c>
      <c r="C32" s="56">
        <v>2092.2</v>
      </c>
      <c r="D32" s="22">
        <v>0</v>
      </c>
      <c r="E32" s="22">
        <f t="shared" si="5"/>
        <v>0</v>
      </c>
      <c r="F32" s="26">
        <v>0</v>
      </c>
      <c r="G32" s="26">
        <v>0</v>
      </c>
      <c r="H32" s="25">
        <v>0</v>
      </c>
      <c r="I32" s="40">
        <f t="shared" si="0"/>
        <v>2092.2</v>
      </c>
      <c r="J32" s="46">
        <f t="shared" si="0"/>
        <v>0</v>
      </c>
      <c r="K32" s="37">
        <f t="shared" si="1"/>
        <v>0</v>
      </c>
    </row>
    <row r="33" spans="1:11" ht="12.75">
      <c r="A33" s="15" t="s">
        <v>74</v>
      </c>
      <c r="B33" s="3" t="s">
        <v>126</v>
      </c>
      <c r="C33" s="56">
        <v>0</v>
      </c>
      <c r="D33" s="22">
        <v>0</v>
      </c>
      <c r="E33" s="22">
        <v>0</v>
      </c>
      <c r="F33" s="28">
        <v>25927.6</v>
      </c>
      <c r="G33" s="28">
        <v>0</v>
      </c>
      <c r="H33" s="25">
        <f>G33/F33*100</f>
        <v>0</v>
      </c>
      <c r="I33" s="40">
        <f>C33+F33</f>
        <v>25927.6</v>
      </c>
      <c r="J33" s="46">
        <f>D33+G33</f>
        <v>0</v>
      </c>
      <c r="K33" s="37">
        <f>J33/I33*100</f>
        <v>0</v>
      </c>
    </row>
    <row r="34" spans="1:11" ht="33.75">
      <c r="A34" s="15" t="s">
        <v>74</v>
      </c>
      <c r="B34" s="3" t="s">
        <v>160</v>
      </c>
      <c r="C34" s="56">
        <v>0</v>
      </c>
      <c r="D34" s="22">
        <v>0</v>
      </c>
      <c r="E34" s="22"/>
      <c r="F34" s="28"/>
      <c r="G34" s="28"/>
      <c r="H34" s="25"/>
      <c r="I34" s="40"/>
      <c r="J34" s="46"/>
      <c r="K34" s="37"/>
    </row>
    <row r="35" spans="1:11" ht="12.75">
      <c r="A35" s="14" t="s">
        <v>67</v>
      </c>
      <c r="B35" s="3" t="s">
        <v>68</v>
      </c>
      <c r="C35" s="56">
        <v>4031</v>
      </c>
      <c r="D35" s="22">
        <v>43.5</v>
      </c>
      <c r="E35" s="22">
        <f t="shared" si="5"/>
        <v>1.079136690647482</v>
      </c>
      <c r="F35" s="28">
        <v>2271</v>
      </c>
      <c r="G35" s="26">
        <v>43.6</v>
      </c>
      <c r="H35" s="25">
        <f>G35/F35*100</f>
        <v>1.919859092910612</v>
      </c>
      <c r="I35" s="40">
        <f t="shared" si="0"/>
        <v>6302</v>
      </c>
      <c r="J35" s="46">
        <f t="shared" si="0"/>
        <v>87.1</v>
      </c>
      <c r="K35" s="37">
        <f t="shared" si="1"/>
        <v>1.3821009203427481</v>
      </c>
    </row>
    <row r="36" spans="1:11" ht="12.75">
      <c r="A36" s="14" t="s">
        <v>28</v>
      </c>
      <c r="B36" s="3" t="s">
        <v>75</v>
      </c>
      <c r="C36" s="56">
        <v>3500</v>
      </c>
      <c r="D36" s="56">
        <v>0</v>
      </c>
      <c r="E36" s="56">
        <f t="shared" si="5"/>
        <v>0</v>
      </c>
      <c r="F36" s="28">
        <v>500</v>
      </c>
      <c r="G36" s="28">
        <v>0</v>
      </c>
      <c r="H36" s="25">
        <f>G36/F36*100</f>
        <v>0</v>
      </c>
      <c r="I36" s="40">
        <f t="shared" si="0"/>
        <v>4000</v>
      </c>
      <c r="J36" s="46">
        <f t="shared" si="0"/>
        <v>0</v>
      </c>
      <c r="K36" s="37">
        <f t="shared" si="1"/>
        <v>0</v>
      </c>
    </row>
    <row r="37" spans="1:11" ht="56.25">
      <c r="A37" s="14" t="s">
        <v>28</v>
      </c>
      <c r="B37" s="2" t="s">
        <v>105</v>
      </c>
      <c r="C37" s="56">
        <v>26459.3</v>
      </c>
      <c r="D37" s="56">
        <v>0</v>
      </c>
      <c r="E37" s="56">
        <f t="shared" si="5"/>
        <v>0</v>
      </c>
      <c r="F37" s="28">
        <v>0</v>
      </c>
      <c r="G37" s="28">
        <v>0</v>
      </c>
      <c r="H37" s="25">
        <v>0</v>
      </c>
      <c r="I37" s="40">
        <f t="shared" si="0"/>
        <v>26459.3</v>
      </c>
      <c r="J37" s="46">
        <f t="shared" si="0"/>
        <v>0</v>
      </c>
      <c r="K37" s="37">
        <f t="shared" si="1"/>
        <v>0</v>
      </c>
    </row>
    <row r="38" spans="1:11" ht="33.75">
      <c r="A38" s="14" t="s">
        <v>28</v>
      </c>
      <c r="B38" s="2" t="s">
        <v>152</v>
      </c>
      <c r="C38" s="56">
        <v>2738.3</v>
      </c>
      <c r="D38" s="28">
        <v>0</v>
      </c>
      <c r="E38" s="56">
        <f t="shared" si="5"/>
        <v>0</v>
      </c>
      <c r="F38" s="28">
        <v>0</v>
      </c>
      <c r="G38" s="28">
        <v>0</v>
      </c>
      <c r="H38" s="25">
        <v>0</v>
      </c>
      <c r="I38" s="40">
        <f t="shared" si="0"/>
        <v>2738.3</v>
      </c>
      <c r="J38" s="46">
        <f t="shared" si="0"/>
        <v>0</v>
      </c>
      <c r="K38" s="37">
        <f t="shared" si="1"/>
        <v>0</v>
      </c>
    </row>
    <row r="39" spans="1:11" ht="22.5">
      <c r="A39" s="14" t="s">
        <v>28</v>
      </c>
      <c r="B39" s="2" t="s">
        <v>142</v>
      </c>
      <c r="C39" s="56">
        <v>4000</v>
      </c>
      <c r="D39" s="28">
        <v>0</v>
      </c>
      <c r="E39" s="56">
        <f t="shared" si="5"/>
        <v>0</v>
      </c>
      <c r="F39" s="28">
        <v>0</v>
      </c>
      <c r="G39" s="28">
        <v>0</v>
      </c>
      <c r="H39" s="25">
        <v>0</v>
      </c>
      <c r="I39" s="40">
        <f t="shared" si="0"/>
        <v>4000</v>
      </c>
      <c r="J39" s="46">
        <f t="shared" si="0"/>
        <v>0</v>
      </c>
      <c r="K39" s="37">
        <f t="shared" si="1"/>
        <v>0</v>
      </c>
    </row>
    <row r="40" spans="1:11" ht="22.5">
      <c r="A40" s="15" t="s">
        <v>28</v>
      </c>
      <c r="B40" s="2" t="s">
        <v>109</v>
      </c>
      <c r="C40" s="56">
        <v>2154.5</v>
      </c>
      <c r="D40" s="28">
        <v>0</v>
      </c>
      <c r="E40" s="56">
        <f t="shared" si="5"/>
        <v>0</v>
      </c>
      <c r="F40" s="28">
        <v>0</v>
      </c>
      <c r="G40" s="28">
        <v>0</v>
      </c>
      <c r="H40" s="25">
        <v>0</v>
      </c>
      <c r="I40" s="40">
        <f t="shared" si="0"/>
        <v>2154.5</v>
      </c>
      <c r="J40" s="46">
        <f t="shared" si="0"/>
        <v>0</v>
      </c>
      <c r="K40" s="37">
        <f t="shared" si="1"/>
        <v>0</v>
      </c>
    </row>
    <row r="41" spans="1:11" ht="22.5">
      <c r="A41" s="15" t="s">
        <v>28</v>
      </c>
      <c r="B41" s="2" t="s">
        <v>118</v>
      </c>
      <c r="C41" s="56">
        <v>1588.6</v>
      </c>
      <c r="D41" s="28">
        <v>11.7</v>
      </c>
      <c r="E41" s="56">
        <f>D41/C41*100</f>
        <v>0.7364975450081833</v>
      </c>
      <c r="F41" s="28">
        <v>0</v>
      </c>
      <c r="G41" s="28">
        <v>0</v>
      </c>
      <c r="H41" s="25">
        <v>0</v>
      </c>
      <c r="I41" s="40">
        <f t="shared" si="0"/>
        <v>1588.6</v>
      </c>
      <c r="J41" s="46">
        <f t="shared" si="0"/>
        <v>11.7</v>
      </c>
      <c r="K41" s="37">
        <f>J41/I41*100</f>
        <v>0.7364975450081833</v>
      </c>
    </row>
    <row r="42" spans="1:11" ht="33.75">
      <c r="A42" s="15" t="s">
        <v>28</v>
      </c>
      <c r="B42" s="2" t="s">
        <v>140</v>
      </c>
      <c r="C42" s="56">
        <v>1856.7</v>
      </c>
      <c r="D42" s="28">
        <v>0</v>
      </c>
      <c r="E42" s="56">
        <f>D42/C42*100</f>
        <v>0</v>
      </c>
      <c r="F42" s="28">
        <v>0</v>
      </c>
      <c r="G42" s="28">
        <v>0</v>
      </c>
      <c r="H42" s="25"/>
      <c r="I42" s="40">
        <f t="shared" si="0"/>
        <v>1856.7</v>
      </c>
      <c r="J42" s="46">
        <f t="shared" si="0"/>
        <v>0</v>
      </c>
      <c r="K42" s="37">
        <f>J42/I42*100</f>
        <v>0</v>
      </c>
    </row>
    <row r="43" spans="1:11" ht="22.5">
      <c r="A43" s="15" t="s">
        <v>28</v>
      </c>
      <c r="B43" s="2" t="s">
        <v>164</v>
      </c>
      <c r="C43" s="56">
        <v>7700</v>
      </c>
      <c r="D43" s="28">
        <v>0</v>
      </c>
      <c r="E43" s="56">
        <f>D43/C43*100</f>
        <v>0</v>
      </c>
      <c r="F43" s="28">
        <v>0</v>
      </c>
      <c r="G43" s="28">
        <v>0</v>
      </c>
      <c r="H43" s="25"/>
      <c r="I43" s="40">
        <f t="shared" si="0"/>
        <v>7700</v>
      </c>
      <c r="J43" s="46">
        <f t="shared" si="0"/>
        <v>0</v>
      </c>
      <c r="K43" s="37">
        <f>J43/I43*100</f>
        <v>0</v>
      </c>
    </row>
    <row r="44" spans="1:11" ht="33.75">
      <c r="A44" s="15" t="s">
        <v>28</v>
      </c>
      <c r="B44" s="2" t="s">
        <v>162</v>
      </c>
      <c r="C44" s="56">
        <v>2241.5</v>
      </c>
      <c r="D44" s="28">
        <v>0</v>
      </c>
      <c r="E44" s="56">
        <f>D44/C44*100</f>
        <v>0</v>
      </c>
      <c r="F44" s="28">
        <v>0</v>
      </c>
      <c r="G44" s="28">
        <v>0</v>
      </c>
      <c r="H44" s="25"/>
      <c r="I44" s="40">
        <f>C44+F44</f>
        <v>2241.5</v>
      </c>
      <c r="J44" s="46">
        <f>D44+G44</f>
        <v>0</v>
      </c>
      <c r="K44" s="37">
        <f>J44/I44*100</f>
        <v>0</v>
      </c>
    </row>
    <row r="45" spans="1:11" ht="12.75">
      <c r="A45" s="13" t="s">
        <v>29</v>
      </c>
      <c r="B45" s="4" t="s">
        <v>30</v>
      </c>
      <c r="C45" s="24">
        <f>SUM(C46:C70)</f>
        <v>393628.4</v>
      </c>
      <c r="D45" s="24">
        <f>SUM(D46:D70)</f>
        <v>230</v>
      </c>
      <c r="E45" s="24">
        <f>D45/C45*100</f>
        <v>0.05843074331018798</v>
      </c>
      <c r="F45" s="27">
        <f>SUM(F46:F69)</f>
        <v>104029.1</v>
      </c>
      <c r="G45" s="27">
        <f>SUM(G46:G69)</f>
        <v>1670.6</v>
      </c>
      <c r="H45" s="27">
        <f>G45/F45*100</f>
        <v>1.6058968115652252</v>
      </c>
      <c r="I45" s="24">
        <f>SUM(I46:I70)</f>
        <v>460938.4</v>
      </c>
      <c r="J45" s="24">
        <f>SUM(J46:J70)</f>
        <v>1670.6</v>
      </c>
      <c r="K45" s="36">
        <f t="shared" si="1"/>
        <v>0.3624345465684785</v>
      </c>
    </row>
    <row r="46" spans="1:11" ht="12.75">
      <c r="A46" s="14" t="s">
        <v>31</v>
      </c>
      <c r="B46" s="3" t="s">
        <v>71</v>
      </c>
      <c r="C46" s="56">
        <v>0</v>
      </c>
      <c r="D46" s="56"/>
      <c r="E46" s="56"/>
      <c r="F46" s="28">
        <v>23642.8</v>
      </c>
      <c r="G46" s="28">
        <v>0</v>
      </c>
      <c r="H46" s="25">
        <f>G46/F46*100</f>
        <v>0</v>
      </c>
      <c r="I46" s="40">
        <f t="shared" si="0"/>
        <v>23642.8</v>
      </c>
      <c r="J46" s="46">
        <f t="shared" si="0"/>
        <v>0</v>
      </c>
      <c r="K46" s="37">
        <f t="shared" si="1"/>
        <v>0</v>
      </c>
    </row>
    <row r="47" spans="1:11" ht="45">
      <c r="A47" s="14" t="s">
        <v>31</v>
      </c>
      <c r="B47" s="3" t="s">
        <v>129</v>
      </c>
      <c r="C47" s="56">
        <v>122309.6</v>
      </c>
      <c r="D47" s="56">
        <v>0</v>
      </c>
      <c r="E47" s="22">
        <f t="shared" si="5"/>
        <v>0</v>
      </c>
      <c r="F47" s="25">
        <v>0</v>
      </c>
      <c r="G47" s="23">
        <v>0</v>
      </c>
      <c r="H47" s="25">
        <v>0</v>
      </c>
      <c r="I47" s="40">
        <f>C47+F47</f>
        <v>122309.6</v>
      </c>
      <c r="J47" s="46">
        <f>D47+G47</f>
        <v>0</v>
      </c>
      <c r="K47" s="37">
        <f t="shared" si="1"/>
        <v>0</v>
      </c>
    </row>
    <row r="48" spans="1:11" ht="33.75">
      <c r="A48" s="14" t="s">
        <v>31</v>
      </c>
      <c r="B48" s="3" t="s">
        <v>143</v>
      </c>
      <c r="C48" s="56">
        <f>4200+7450.2</f>
        <v>11650.2</v>
      </c>
      <c r="D48" s="56">
        <v>0</v>
      </c>
      <c r="E48" s="22">
        <f t="shared" si="5"/>
        <v>0</v>
      </c>
      <c r="F48" s="25">
        <v>0</v>
      </c>
      <c r="G48" s="23">
        <v>0</v>
      </c>
      <c r="H48" s="25">
        <v>0</v>
      </c>
      <c r="I48" s="40">
        <f t="shared" si="0"/>
        <v>11650.2</v>
      </c>
      <c r="J48" s="46">
        <f t="shared" si="0"/>
        <v>0</v>
      </c>
      <c r="K48" s="37">
        <f t="shared" si="1"/>
        <v>0</v>
      </c>
    </row>
    <row r="49" spans="1:11" ht="22.5">
      <c r="A49" s="15" t="s">
        <v>31</v>
      </c>
      <c r="B49" s="3" t="s">
        <v>161</v>
      </c>
      <c r="C49" s="56">
        <v>23965.3</v>
      </c>
      <c r="D49" s="56">
        <v>0</v>
      </c>
      <c r="E49" s="22">
        <f t="shared" si="5"/>
        <v>0</v>
      </c>
      <c r="F49" s="25">
        <v>26494.5</v>
      </c>
      <c r="G49" s="23"/>
      <c r="H49" s="25">
        <f aca="true" t="shared" si="6" ref="H49:H54">G49/F49*100</f>
        <v>0</v>
      </c>
      <c r="I49" s="40">
        <f>C49+F49-23965.3</f>
        <v>26494.500000000004</v>
      </c>
      <c r="J49" s="46">
        <f>D49+G49</f>
        <v>0</v>
      </c>
      <c r="K49" s="37">
        <f t="shared" si="1"/>
        <v>0</v>
      </c>
    </row>
    <row r="50" spans="1:11" ht="33.75">
      <c r="A50" s="15" t="s">
        <v>31</v>
      </c>
      <c r="B50" s="3" t="s">
        <v>141</v>
      </c>
      <c r="C50" s="56">
        <v>200</v>
      </c>
      <c r="D50" s="56"/>
      <c r="E50" s="22">
        <v>0</v>
      </c>
      <c r="F50" s="25">
        <v>200</v>
      </c>
      <c r="G50" s="23"/>
      <c r="H50" s="25">
        <f t="shared" si="6"/>
        <v>0</v>
      </c>
      <c r="I50" s="40">
        <f>C50+F50-200</f>
        <v>200</v>
      </c>
      <c r="J50" s="46">
        <f t="shared" si="0"/>
        <v>0</v>
      </c>
      <c r="K50" s="37">
        <f t="shared" si="1"/>
        <v>0</v>
      </c>
    </row>
    <row r="51" spans="1:11" ht="45">
      <c r="A51" s="15" t="s">
        <v>31</v>
      </c>
      <c r="B51" s="2" t="s">
        <v>136</v>
      </c>
      <c r="C51" s="56">
        <v>107.7</v>
      </c>
      <c r="D51" s="56"/>
      <c r="E51" s="22">
        <v>0</v>
      </c>
      <c r="F51" s="25"/>
      <c r="G51" s="23"/>
      <c r="H51" s="25"/>
      <c r="I51" s="40">
        <f>C51+F51</f>
        <v>107.7</v>
      </c>
      <c r="J51" s="46"/>
      <c r="K51" s="37">
        <f t="shared" si="1"/>
        <v>0</v>
      </c>
    </row>
    <row r="52" spans="1:11" ht="33.75">
      <c r="A52" s="14" t="s">
        <v>32</v>
      </c>
      <c r="B52" s="3" t="s">
        <v>70</v>
      </c>
      <c r="C52" s="56">
        <v>5786.2</v>
      </c>
      <c r="D52" s="56">
        <v>0</v>
      </c>
      <c r="E52" s="22">
        <f t="shared" si="5"/>
        <v>0</v>
      </c>
      <c r="F52" s="25">
        <v>3000</v>
      </c>
      <c r="G52" s="23">
        <v>1000</v>
      </c>
      <c r="H52" s="25">
        <f t="shared" si="6"/>
        <v>33.33333333333333</v>
      </c>
      <c r="I52" s="40">
        <f t="shared" si="0"/>
        <v>8786.2</v>
      </c>
      <c r="J52" s="46">
        <f t="shared" si="0"/>
        <v>1000</v>
      </c>
      <c r="K52" s="37">
        <f t="shared" si="1"/>
        <v>11.381484600851334</v>
      </c>
    </row>
    <row r="53" spans="1:11" ht="33.75">
      <c r="A53" s="14" t="s">
        <v>32</v>
      </c>
      <c r="B53" s="3" t="s">
        <v>106</v>
      </c>
      <c r="C53" s="56">
        <v>10419.8</v>
      </c>
      <c r="D53" s="57">
        <v>0</v>
      </c>
      <c r="E53" s="22">
        <f t="shared" si="5"/>
        <v>0</v>
      </c>
      <c r="F53" s="26">
        <v>0</v>
      </c>
      <c r="G53" s="26"/>
      <c r="H53" s="25"/>
      <c r="I53" s="40">
        <f t="shared" si="0"/>
        <v>10419.8</v>
      </c>
      <c r="J53" s="46">
        <f t="shared" si="0"/>
        <v>0</v>
      </c>
      <c r="K53" s="37">
        <f t="shared" si="1"/>
        <v>0</v>
      </c>
    </row>
    <row r="54" spans="1:11" ht="12.75">
      <c r="A54" s="14" t="s">
        <v>32</v>
      </c>
      <c r="B54" s="3" t="s">
        <v>69</v>
      </c>
      <c r="C54" s="56">
        <v>962</v>
      </c>
      <c r="D54" s="57">
        <v>230</v>
      </c>
      <c r="E54" s="22">
        <f>D54/C54*100</f>
        <v>23.90852390852391</v>
      </c>
      <c r="F54" s="25">
        <v>11420</v>
      </c>
      <c r="G54" s="26">
        <v>99</v>
      </c>
      <c r="H54" s="25">
        <f t="shared" si="6"/>
        <v>0.8669001751313484</v>
      </c>
      <c r="I54" s="40">
        <f>C54+F54-230</f>
        <v>12152</v>
      </c>
      <c r="J54" s="46">
        <f>D54+G54-230</f>
        <v>99</v>
      </c>
      <c r="K54" s="37">
        <f>J54/I54*100</f>
        <v>0.814680710994075</v>
      </c>
    </row>
    <row r="55" spans="1:11" ht="33.75">
      <c r="A55" s="14" t="s">
        <v>32</v>
      </c>
      <c r="B55" s="3" t="s">
        <v>130</v>
      </c>
      <c r="C55" s="56">
        <v>22438.5</v>
      </c>
      <c r="D55" s="57">
        <v>0</v>
      </c>
      <c r="E55" s="22">
        <f>D55/C55*100</f>
        <v>0</v>
      </c>
      <c r="F55" s="25">
        <v>0</v>
      </c>
      <c r="G55" s="26"/>
      <c r="H55" s="25">
        <v>0</v>
      </c>
      <c r="I55" s="40">
        <f>C55+F55</f>
        <v>22438.5</v>
      </c>
      <c r="J55" s="46">
        <f>D55+G55</f>
        <v>0</v>
      </c>
      <c r="K55" s="37">
        <f>J55/I55*100</f>
        <v>0</v>
      </c>
    </row>
    <row r="56" spans="1:11" ht="33.75">
      <c r="A56" s="15" t="s">
        <v>32</v>
      </c>
      <c r="B56" s="3" t="s">
        <v>144</v>
      </c>
      <c r="C56" s="56">
        <v>137.3</v>
      </c>
      <c r="D56" s="57">
        <v>0</v>
      </c>
      <c r="E56" s="22">
        <f t="shared" si="5"/>
        <v>0</v>
      </c>
      <c r="F56" s="25">
        <v>0</v>
      </c>
      <c r="G56" s="26"/>
      <c r="H56" s="25">
        <v>0</v>
      </c>
      <c r="I56" s="50">
        <f>C56+F56</f>
        <v>137.3</v>
      </c>
      <c r="J56" s="40">
        <f>D56+G56</f>
        <v>0</v>
      </c>
      <c r="K56" s="46">
        <f>J56/I56*100</f>
        <v>0</v>
      </c>
    </row>
    <row r="57" spans="1:11" ht="33.75">
      <c r="A57" s="14" t="s">
        <v>32</v>
      </c>
      <c r="B57" s="2" t="s">
        <v>127</v>
      </c>
      <c r="C57" s="56">
        <f>39616.6-C60</f>
        <v>33187.6</v>
      </c>
      <c r="D57" s="57">
        <v>0</v>
      </c>
      <c r="E57" s="22">
        <f t="shared" si="5"/>
        <v>0</v>
      </c>
      <c r="F57" s="25"/>
      <c r="G57" s="26"/>
      <c r="H57" s="25">
        <v>0</v>
      </c>
      <c r="I57" s="40">
        <f t="shared" si="0"/>
        <v>33187.6</v>
      </c>
      <c r="J57" s="46">
        <f t="shared" si="0"/>
        <v>0</v>
      </c>
      <c r="K57" s="37">
        <f t="shared" si="1"/>
        <v>0</v>
      </c>
    </row>
    <row r="58" spans="1:11" ht="33.75">
      <c r="A58" s="14" t="s">
        <v>32</v>
      </c>
      <c r="B58" s="2" t="s">
        <v>128</v>
      </c>
      <c r="C58" s="56">
        <v>125135</v>
      </c>
      <c r="D58" s="56"/>
      <c r="E58" s="22">
        <f t="shared" si="5"/>
        <v>0</v>
      </c>
      <c r="F58" s="25">
        <v>0</v>
      </c>
      <c r="G58" s="26"/>
      <c r="H58" s="25">
        <v>0</v>
      </c>
      <c r="I58" s="40">
        <f t="shared" si="0"/>
        <v>125135</v>
      </c>
      <c r="J58" s="46">
        <f t="shared" si="0"/>
        <v>0</v>
      </c>
      <c r="K58" s="37">
        <f t="shared" si="1"/>
        <v>0</v>
      </c>
    </row>
    <row r="59" spans="1:11" ht="45">
      <c r="A59" s="15" t="s">
        <v>32</v>
      </c>
      <c r="B59" s="2" t="s">
        <v>135</v>
      </c>
      <c r="C59" s="56">
        <v>13819.4</v>
      </c>
      <c r="D59" s="57"/>
      <c r="E59" s="22">
        <f t="shared" si="5"/>
        <v>0</v>
      </c>
      <c r="F59" s="25">
        <v>5734.1</v>
      </c>
      <c r="G59" s="26"/>
      <c r="H59" s="25">
        <f>G59/F59*100</f>
        <v>0</v>
      </c>
      <c r="I59" s="40">
        <f>C59+F59-5734.1</f>
        <v>13819.4</v>
      </c>
      <c r="J59" s="46">
        <f>D59+G59</f>
        <v>0</v>
      </c>
      <c r="K59" s="37">
        <f t="shared" si="1"/>
        <v>0</v>
      </c>
    </row>
    <row r="60" spans="1:11" ht="56.25">
      <c r="A60" s="15" t="s">
        <v>32</v>
      </c>
      <c r="B60" s="2" t="s">
        <v>165</v>
      </c>
      <c r="C60" s="56">
        <v>6429</v>
      </c>
      <c r="D60" s="57">
        <v>0</v>
      </c>
      <c r="E60" s="22">
        <f t="shared" si="5"/>
        <v>0</v>
      </c>
      <c r="F60" s="25">
        <f>12163.1-F59</f>
        <v>6429</v>
      </c>
      <c r="G60" s="26"/>
      <c r="H60" s="25">
        <f>G60/F60*100</f>
        <v>0</v>
      </c>
      <c r="I60" s="40">
        <f>C60+F60-6429</f>
        <v>6429</v>
      </c>
      <c r="J60" s="46">
        <f>D60+G60</f>
        <v>0</v>
      </c>
      <c r="K60" s="37">
        <f t="shared" si="1"/>
        <v>0</v>
      </c>
    </row>
    <row r="61" spans="1:11" ht="45">
      <c r="A61" s="15" t="s">
        <v>32</v>
      </c>
      <c r="B61" s="2" t="s">
        <v>136</v>
      </c>
      <c r="C61" s="56">
        <v>248.1</v>
      </c>
      <c r="D61" s="57"/>
      <c r="E61" s="22">
        <f t="shared" si="5"/>
        <v>0</v>
      </c>
      <c r="F61" s="25"/>
      <c r="G61" s="26"/>
      <c r="H61" s="25"/>
      <c r="I61" s="40">
        <f>C61+F61</f>
        <v>248.1</v>
      </c>
      <c r="J61" s="46">
        <f>D61+G61</f>
        <v>0</v>
      </c>
      <c r="K61" s="37">
        <f t="shared" si="1"/>
        <v>0</v>
      </c>
    </row>
    <row r="62" spans="1:11" ht="22.5">
      <c r="A62" s="14" t="s">
        <v>32</v>
      </c>
      <c r="B62" s="3" t="s">
        <v>145</v>
      </c>
      <c r="C62" s="56">
        <v>2733</v>
      </c>
      <c r="D62" s="56">
        <v>0</v>
      </c>
      <c r="E62" s="22">
        <f t="shared" si="5"/>
        <v>0</v>
      </c>
      <c r="F62" s="25">
        <v>0</v>
      </c>
      <c r="G62" s="26"/>
      <c r="H62" s="25">
        <v>0</v>
      </c>
      <c r="I62" s="40">
        <f t="shared" si="0"/>
        <v>2733</v>
      </c>
      <c r="J62" s="46">
        <f t="shared" si="0"/>
        <v>0</v>
      </c>
      <c r="K62" s="37">
        <f t="shared" si="1"/>
        <v>0</v>
      </c>
    </row>
    <row r="63" spans="1:11" ht="22.5">
      <c r="A63" s="14" t="s">
        <v>32</v>
      </c>
      <c r="B63" s="3" t="s">
        <v>146</v>
      </c>
      <c r="C63" s="56">
        <v>3550</v>
      </c>
      <c r="D63" s="56"/>
      <c r="E63" s="22">
        <f t="shared" si="5"/>
        <v>0</v>
      </c>
      <c r="F63" s="25">
        <v>0</v>
      </c>
      <c r="G63" s="26"/>
      <c r="H63" s="25">
        <v>0</v>
      </c>
      <c r="I63" s="40">
        <f t="shared" si="0"/>
        <v>3550</v>
      </c>
      <c r="J63" s="46">
        <f t="shared" si="0"/>
        <v>0</v>
      </c>
      <c r="K63" s="37">
        <f t="shared" si="1"/>
        <v>0</v>
      </c>
    </row>
    <row r="64" spans="1:11" ht="22.5">
      <c r="A64" s="14" t="s">
        <v>32</v>
      </c>
      <c r="B64" s="3" t="s">
        <v>147</v>
      </c>
      <c r="C64" s="56">
        <v>613</v>
      </c>
      <c r="D64" s="56">
        <v>0</v>
      </c>
      <c r="E64" s="22">
        <f t="shared" si="5"/>
        <v>0</v>
      </c>
      <c r="F64" s="25">
        <v>0</v>
      </c>
      <c r="G64" s="26"/>
      <c r="H64" s="25">
        <v>0</v>
      </c>
      <c r="I64" s="40">
        <f t="shared" si="0"/>
        <v>613</v>
      </c>
      <c r="J64" s="46">
        <f t="shared" si="0"/>
        <v>0</v>
      </c>
      <c r="K64" s="37">
        <f t="shared" si="1"/>
        <v>0</v>
      </c>
    </row>
    <row r="65" spans="1:11" ht="22.5">
      <c r="A65" s="14" t="s">
        <v>32</v>
      </c>
      <c r="B65" s="3" t="s">
        <v>148</v>
      </c>
      <c r="C65" s="56">
        <v>2141</v>
      </c>
      <c r="D65" s="56">
        <v>0</v>
      </c>
      <c r="E65" s="22">
        <f t="shared" si="5"/>
        <v>0</v>
      </c>
      <c r="F65" s="25">
        <v>0</v>
      </c>
      <c r="G65" s="26"/>
      <c r="H65" s="25">
        <v>0</v>
      </c>
      <c r="I65" s="40">
        <f>C65+F65</f>
        <v>2141</v>
      </c>
      <c r="J65" s="46">
        <f>D65+G65</f>
        <v>0</v>
      </c>
      <c r="K65" s="37">
        <f t="shared" si="1"/>
        <v>0</v>
      </c>
    </row>
    <row r="66" spans="1:11" ht="33.75">
      <c r="A66" s="15" t="s">
        <v>32</v>
      </c>
      <c r="B66" s="3" t="s">
        <v>149</v>
      </c>
      <c r="C66" s="56">
        <v>985</v>
      </c>
      <c r="D66" s="56">
        <v>0</v>
      </c>
      <c r="E66" s="22">
        <f t="shared" si="5"/>
        <v>0</v>
      </c>
      <c r="F66" s="25">
        <v>0</v>
      </c>
      <c r="G66" s="26"/>
      <c r="H66" s="25">
        <v>0</v>
      </c>
      <c r="I66" s="40">
        <f t="shared" si="0"/>
        <v>985</v>
      </c>
      <c r="J66" s="46">
        <f t="shared" si="0"/>
        <v>0</v>
      </c>
      <c r="K66" s="37">
        <f t="shared" si="1"/>
        <v>0</v>
      </c>
    </row>
    <row r="67" spans="1:11" ht="33.75">
      <c r="A67" s="14" t="s">
        <v>33</v>
      </c>
      <c r="B67" s="3" t="s">
        <v>166</v>
      </c>
      <c r="C67" s="56">
        <v>2650</v>
      </c>
      <c r="D67" s="56">
        <v>0</v>
      </c>
      <c r="E67" s="22">
        <f t="shared" si="5"/>
        <v>0</v>
      </c>
      <c r="F67" s="28">
        <v>0</v>
      </c>
      <c r="G67" s="28"/>
      <c r="H67" s="25">
        <v>0</v>
      </c>
      <c r="I67" s="40">
        <f t="shared" si="0"/>
        <v>2650</v>
      </c>
      <c r="J67" s="46">
        <f t="shared" si="0"/>
        <v>0</v>
      </c>
      <c r="K67" s="37">
        <f t="shared" si="1"/>
        <v>0</v>
      </c>
    </row>
    <row r="68" spans="1:11" ht="22.5">
      <c r="A68" s="15" t="s">
        <v>33</v>
      </c>
      <c r="B68" s="3" t="s">
        <v>159</v>
      </c>
      <c r="C68" s="56">
        <v>160.7</v>
      </c>
      <c r="D68" s="56">
        <v>0</v>
      </c>
      <c r="E68" s="22">
        <f t="shared" si="5"/>
        <v>0</v>
      </c>
      <c r="F68" s="28">
        <v>196.5</v>
      </c>
      <c r="G68" s="28"/>
      <c r="H68" s="25">
        <f>G68/F68*100</f>
        <v>0</v>
      </c>
      <c r="I68" s="40">
        <f>C68+F68-160.7</f>
        <v>196.5</v>
      </c>
      <c r="J68" s="46">
        <f>D68+G68</f>
        <v>0</v>
      </c>
      <c r="K68" s="37">
        <f t="shared" si="1"/>
        <v>0</v>
      </c>
    </row>
    <row r="69" spans="1:11" ht="22.5">
      <c r="A69" s="14" t="s">
        <v>33</v>
      </c>
      <c r="B69" s="3" t="s">
        <v>100</v>
      </c>
      <c r="C69" s="56">
        <v>4000</v>
      </c>
      <c r="D69" s="56">
        <v>0</v>
      </c>
      <c r="E69" s="22">
        <f t="shared" si="5"/>
        <v>0</v>
      </c>
      <c r="F69" s="28">
        <f>27108.7-F68</f>
        <v>26912.2</v>
      </c>
      <c r="G69" s="28">
        <v>571.6</v>
      </c>
      <c r="H69" s="25">
        <f>G69/F69*100</f>
        <v>2.1239437875758953</v>
      </c>
      <c r="I69" s="40">
        <f>C69+F69</f>
        <v>30912.2</v>
      </c>
      <c r="J69" s="46">
        <f>D69+G69</f>
        <v>571.6</v>
      </c>
      <c r="K69" s="37">
        <f t="shared" si="1"/>
        <v>1.849108119124488</v>
      </c>
    </row>
    <row r="70" spans="1:11" ht="12.75">
      <c r="A70" s="15" t="s">
        <v>138</v>
      </c>
      <c r="B70" s="3" t="s">
        <v>139</v>
      </c>
      <c r="C70" s="56">
        <v>0</v>
      </c>
      <c r="D70" s="22">
        <v>0</v>
      </c>
      <c r="E70" s="22"/>
      <c r="F70" s="28"/>
      <c r="G70" s="28"/>
      <c r="H70" s="25"/>
      <c r="I70" s="40">
        <f t="shared" si="0"/>
        <v>0</v>
      </c>
      <c r="J70" s="46">
        <f t="shared" si="0"/>
        <v>0</v>
      </c>
      <c r="K70" s="37"/>
    </row>
    <row r="71" spans="1:11" ht="12.75">
      <c r="A71" s="17" t="s">
        <v>34</v>
      </c>
      <c r="B71" s="18" t="s">
        <v>35</v>
      </c>
      <c r="C71" s="27">
        <f aca="true" t="shared" si="7" ref="C71:H71">C72</f>
        <v>350</v>
      </c>
      <c r="D71" s="27">
        <f t="shared" si="7"/>
        <v>0</v>
      </c>
      <c r="E71" s="24">
        <f>D71/C71*100</f>
        <v>0</v>
      </c>
      <c r="F71" s="27">
        <f t="shared" si="7"/>
        <v>0</v>
      </c>
      <c r="G71" s="27">
        <f t="shared" si="7"/>
        <v>0</v>
      </c>
      <c r="H71" s="35">
        <f t="shared" si="7"/>
        <v>0</v>
      </c>
      <c r="I71" s="27">
        <f t="shared" si="0"/>
        <v>350</v>
      </c>
      <c r="J71" s="27">
        <f t="shared" si="0"/>
        <v>0</v>
      </c>
      <c r="K71" s="36">
        <f t="shared" si="1"/>
        <v>0</v>
      </c>
    </row>
    <row r="72" spans="1:11" ht="12.75">
      <c r="A72" s="15" t="s">
        <v>36</v>
      </c>
      <c r="B72" s="19" t="s">
        <v>37</v>
      </c>
      <c r="C72" s="28">
        <v>350</v>
      </c>
      <c r="D72" s="25">
        <v>0</v>
      </c>
      <c r="E72" s="22">
        <f t="shared" si="5"/>
        <v>0</v>
      </c>
      <c r="F72" s="25">
        <v>0</v>
      </c>
      <c r="G72" s="23">
        <v>0</v>
      </c>
      <c r="H72" s="25">
        <v>0</v>
      </c>
      <c r="I72" s="40">
        <f t="shared" si="0"/>
        <v>350</v>
      </c>
      <c r="J72" s="46">
        <f t="shared" si="0"/>
        <v>0</v>
      </c>
      <c r="K72" s="37">
        <f t="shared" si="1"/>
        <v>0</v>
      </c>
    </row>
    <row r="73" spans="1:11" ht="12.75">
      <c r="A73" s="13" t="s">
        <v>38</v>
      </c>
      <c r="B73" s="4" t="s">
        <v>39</v>
      </c>
      <c r="C73" s="24">
        <f>SUM(C74:C80)</f>
        <v>2180418</v>
      </c>
      <c r="D73" s="24">
        <f>SUM(D74:D80)</f>
        <v>131616.2</v>
      </c>
      <c r="E73" s="24">
        <f>D73/C73*100</f>
        <v>6.036282951250632</v>
      </c>
      <c r="F73" s="27">
        <f>F74+F75+F76+F79+F80</f>
        <v>5067</v>
      </c>
      <c r="G73" s="27">
        <f>SUM(G74:G80)</f>
        <v>26.8</v>
      </c>
      <c r="H73" s="35">
        <f>G73/F73*100</f>
        <v>0.528912571541346</v>
      </c>
      <c r="I73" s="24">
        <f>SUM(I74:I80)</f>
        <v>2185485</v>
      </c>
      <c r="J73" s="24">
        <f>SUM(J74:J80)</f>
        <v>131643</v>
      </c>
      <c r="K73" s="36">
        <f t="shared" si="1"/>
        <v>6.023514231394862</v>
      </c>
    </row>
    <row r="74" spans="1:11" ht="12.75">
      <c r="A74" s="14" t="s">
        <v>40</v>
      </c>
      <c r="B74" s="3" t="s">
        <v>41</v>
      </c>
      <c r="C74" s="22">
        <v>353355.3</v>
      </c>
      <c r="D74" s="22">
        <v>81194.3</v>
      </c>
      <c r="E74" s="22">
        <f t="shared" si="5"/>
        <v>22.97809032438455</v>
      </c>
      <c r="F74" s="25">
        <v>0</v>
      </c>
      <c r="G74" s="23">
        <v>0</v>
      </c>
      <c r="H74" s="25">
        <v>0</v>
      </c>
      <c r="I74" s="40">
        <f t="shared" si="0"/>
        <v>353355.3</v>
      </c>
      <c r="J74" s="46">
        <f t="shared" si="0"/>
        <v>81194.3</v>
      </c>
      <c r="K74" s="37">
        <f t="shared" si="1"/>
        <v>22.97809032438455</v>
      </c>
    </row>
    <row r="75" spans="1:11" ht="12.75">
      <c r="A75" s="14" t="s">
        <v>42</v>
      </c>
      <c r="B75" s="3" t="s">
        <v>43</v>
      </c>
      <c r="C75" s="22">
        <f>1777622.9-C76-C77-C78</f>
        <v>1073980.6</v>
      </c>
      <c r="D75" s="22">
        <f>48013.9-D76-D77-D78</f>
        <v>47235.8</v>
      </c>
      <c r="E75" s="22">
        <f t="shared" si="5"/>
        <v>4.398198626679103</v>
      </c>
      <c r="F75" s="25">
        <v>0</v>
      </c>
      <c r="G75" s="23">
        <v>0</v>
      </c>
      <c r="H75" s="25">
        <v>0</v>
      </c>
      <c r="I75" s="40">
        <f t="shared" si="0"/>
        <v>1073980.6</v>
      </c>
      <c r="J75" s="46">
        <f t="shared" si="0"/>
        <v>47235.8</v>
      </c>
      <c r="K75" s="37">
        <f t="shared" si="1"/>
        <v>4.398198626679103</v>
      </c>
    </row>
    <row r="76" spans="1:11" ht="12.75">
      <c r="A76" s="14" t="s">
        <v>42</v>
      </c>
      <c r="B76" s="3" t="s">
        <v>76</v>
      </c>
      <c r="C76" s="22">
        <v>41126.4</v>
      </c>
      <c r="D76" s="22">
        <v>778.1</v>
      </c>
      <c r="E76" s="22">
        <f t="shared" si="5"/>
        <v>1.8919720666044197</v>
      </c>
      <c r="F76" s="25">
        <v>0</v>
      </c>
      <c r="G76" s="23">
        <v>0</v>
      </c>
      <c r="H76" s="25">
        <v>0</v>
      </c>
      <c r="I76" s="40">
        <f t="shared" si="0"/>
        <v>41126.4</v>
      </c>
      <c r="J76" s="46">
        <f t="shared" si="0"/>
        <v>778.1</v>
      </c>
      <c r="K76" s="37">
        <f t="shared" si="1"/>
        <v>1.8919720666044197</v>
      </c>
    </row>
    <row r="77" spans="1:11" ht="22.5">
      <c r="A77" s="14" t="s">
        <v>42</v>
      </c>
      <c r="B77" s="3" t="s">
        <v>167</v>
      </c>
      <c r="C77" s="22">
        <v>120954.5</v>
      </c>
      <c r="D77" s="22">
        <v>0</v>
      </c>
      <c r="E77" s="22">
        <f t="shared" si="5"/>
        <v>0</v>
      </c>
      <c r="F77" s="25">
        <v>0</v>
      </c>
      <c r="G77" s="23">
        <v>0</v>
      </c>
      <c r="H77" s="25">
        <v>0</v>
      </c>
      <c r="I77" s="40">
        <f t="shared" si="0"/>
        <v>120954.5</v>
      </c>
      <c r="J77" s="46">
        <f t="shared" si="0"/>
        <v>0</v>
      </c>
      <c r="K77" s="37">
        <f t="shared" si="1"/>
        <v>0</v>
      </c>
    </row>
    <row r="78" spans="1:11" ht="33.75">
      <c r="A78" s="14" t="s">
        <v>42</v>
      </c>
      <c r="B78" s="3" t="s">
        <v>133</v>
      </c>
      <c r="C78" s="22">
        <f>457278.8+84282.6</f>
        <v>541561.4</v>
      </c>
      <c r="D78" s="22">
        <v>0</v>
      </c>
      <c r="E78" s="22">
        <f>D78/C78*100</f>
        <v>0</v>
      </c>
      <c r="F78" s="25">
        <v>0</v>
      </c>
      <c r="G78" s="23">
        <v>0</v>
      </c>
      <c r="H78" s="25">
        <v>0</v>
      </c>
      <c r="I78" s="40">
        <f>C78+F78</f>
        <v>541561.4</v>
      </c>
      <c r="J78" s="46">
        <f>D78+G78</f>
        <v>0</v>
      </c>
      <c r="K78" s="37">
        <f>J78/I78*100</f>
        <v>0</v>
      </c>
    </row>
    <row r="79" spans="1:11" ht="12.75">
      <c r="A79" s="14" t="s">
        <v>44</v>
      </c>
      <c r="B79" s="3" t="s">
        <v>45</v>
      </c>
      <c r="C79" s="22">
        <v>14493.8</v>
      </c>
      <c r="D79" s="22">
        <v>0</v>
      </c>
      <c r="E79" s="22">
        <f t="shared" si="5"/>
        <v>0</v>
      </c>
      <c r="F79" s="25">
        <v>5067</v>
      </c>
      <c r="G79" s="23">
        <v>26.8</v>
      </c>
      <c r="H79" s="25">
        <f>G79/F79*100</f>
        <v>0.528912571541346</v>
      </c>
      <c r="I79" s="40">
        <f t="shared" si="0"/>
        <v>19560.8</v>
      </c>
      <c r="J79" s="46">
        <f t="shared" si="0"/>
        <v>26.8</v>
      </c>
      <c r="K79" s="37">
        <f t="shared" si="1"/>
        <v>0.13700871130015135</v>
      </c>
    </row>
    <row r="80" spans="1:11" ht="12.75">
      <c r="A80" s="14" t="s">
        <v>46</v>
      </c>
      <c r="B80" s="3" t="s">
        <v>47</v>
      </c>
      <c r="C80" s="22">
        <v>34946</v>
      </c>
      <c r="D80" s="22">
        <v>2408</v>
      </c>
      <c r="E80" s="22">
        <f t="shared" si="5"/>
        <v>6.8906312596577575</v>
      </c>
      <c r="F80" s="25">
        <v>0</v>
      </c>
      <c r="G80" s="23">
        <v>0</v>
      </c>
      <c r="H80" s="25">
        <v>0</v>
      </c>
      <c r="I80" s="40">
        <f t="shared" si="0"/>
        <v>34946</v>
      </c>
      <c r="J80" s="46">
        <f t="shared" si="0"/>
        <v>2408</v>
      </c>
      <c r="K80" s="37">
        <f t="shared" si="1"/>
        <v>6.8906312596577575</v>
      </c>
    </row>
    <row r="81" spans="1:11" ht="12.75">
      <c r="A81" s="13" t="s">
        <v>48</v>
      </c>
      <c r="B81" s="4" t="s">
        <v>49</v>
      </c>
      <c r="C81" s="24">
        <f>SUM(C82:C87)</f>
        <v>241521.8</v>
      </c>
      <c r="D81" s="24">
        <f>SUM(D82:D87)</f>
        <v>8609.4</v>
      </c>
      <c r="E81" s="24">
        <f>D81/C81*100</f>
        <v>3.564647166425557</v>
      </c>
      <c r="F81" s="27">
        <f>SUM(F82:F87)</f>
        <v>76480</v>
      </c>
      <c r="G81" s="27">
        <f>SUM(G82:G87)</f>
        <v>1471.3999999999999</v>
      </c>
      <c r="H81" s="35">
        <f>G81/F81*100</f>
        <v>1.9239016736401673</v>
      </c>
      <c r="I81" s="27">
        <f>SUM(I82:I87)</f>
        <v>316213.5</v>
      </c>
      <c r="J81" s="27">
        <f>SUM(J82:J87)</f>
        <v>8292.5</v>
      </c>
      <c r="K81" s="36">
        <f t="shared" si="1"/>
        <v>2.622437055976421</v>
      </c>
    </row>
    <row r="82" spans="1:11" ht="12.75">
      <c r="A82" s="14" t="s">
        <v>50</v>
      </c>
      <c r="B82" s="3" t="s">
        <v>90</v>
      </c>
      <c r="C82" s="22">
        <f>233269.4-C83-C85-C84</f>
        <v>46127.00000000001</v>
      </c>
      <c r="D82" s="22">
        <f>8003.8-D83-D85-D84</f>
        <v>7978.900000000001</v>
      </c>
      <c r="E82" s="22">
        <f t="shared" si="5"/>
        <v>17.29767814945693</v>
      </c>
      <c r="F82" s="25">
        <v>75817</v>
      </c>
      <c r="G82" s="23">
        <v>1465.8</v>
      </c>
      <c r="H82" s="25">
        <f>G82/F82*100</f>
        <v>1.9333394885052164</v>
      </c>
      <c r="I82" s="40">
        <f>C82+F82-1788.3</f>
        <v>120155.7</v>
      </c>
      <c r="J82" s="46">
        <f>D82+G82-1788.3</f>
        <v>7656.400000000001</v>
      </c>
      <c r="K82" s="37">
        <f t="shared" si="1"/>
        <v>6.37206557824556</v>
      </c>
    </row>
    <row r="83" spans="1:11" ht="45">
      <c r="A83" s="48" t="s">
        <v>50</v>
      </c>
      <c r="B83" s="49" t="s">
        <v>163</v>
      </c>
      <c r="C83" s="22">
        <f>75800+26582.1+74506.7</f>
        <v>176888.8</v>
      </c>
      <c r="D83" s="22">
        <v>0</v>
      </c>
      <c r="E83" s="22">
        <f t="shared" si="5"/>
        <v>0</v>
      </c>
      <c r="F83" s="25">
        <v>0</v>
      </c>
      <c r="G83" s="23">
        <v>0</v>
      </c>
      <c r="H83" s="25">
        <v>0</v>
      </c>
      <c r="I83" s="40">
        <f aca="true" t="shared" si="8" ref="I83:J98">C83+F83</f>
        <v>176888.8</v>
      </c>
      <c r="J83" s="46">
        <f t="shared" si="8"/>
        <v>0</v>
      </c>
      <c r="K83" s="37">
        <f>J83/I83*100</f>
        <v>0</v>
      </c>
    </row>
    <row r="84" spans="1:11" ht="12.75">
      <c r="A84" s="48" t="s">
        <v>50</v>
      </c>
      <c r="B84" s="49" t="s">
        <v>137</v>
      </c>
      <c r="C84" s="22">
        <v>1855.6</v>
      </c>
      <c r="D84" s="22">
        <v>0</v>
      </c>
      <c r="E84" s="22">
        <f t="shared" si="5"/>
        <v>0</v>
      </c>
      <c r="F84" s="25">
        <v>0</v>
      </c>
      <c r="G84" s="23">
        <v>0</v>
      </c>
      <c r="H84" s="25"/>
      <c r="I84" s="40">
        <f t="shared" si="8"/>
        <v>1855.6</v>
      </c>
      <c r="J84" s="46">
        <f t="shared" si="8"/>
        <v>0</v>
      </c>
      <c r="K84" s="37">
        <f>J84/I84*100</f>
        <v>0</v>
      </c>
    </row>
    <row r="85" spans="1:11" ht="22.5">
      <c r="A85" s="48" t="s">
        <v>50</v>
      </c>
      <c r="B85" s="49" t="s">
        <v>153</v>
      </c>
      <c r="C85" s="22">
        <v>8398</v>
      </c>
      <c r="D85" s="22">
        <v>24.9</v>
      </c>
      <c r="E85" s="22">
        <f t="shared" si="5"/>
        <v>0.2964991664682067</v>
      </c>
      <c r="F85" s="25">
        <v>0</v>
      </c>
      <c r="G85" s="23">
        <v>0</v>
      </c>
      <c r="H85" s="25">
        <v>0</v>
      </c>
      <c r="I85" s="40">
        <f t="shared" si="8"/>
        <v>8398</v>
      </c>
      <c r="J85" s="46">
        <f t="shared" si="8"/>
        <v>24.9</v>
      </c>
      <c r="K85" s="37">
        <f>J85/I85*100</f>
        <v>0.2964991664682067</v>
      </c>
    </row>
    <row r="86" spans="1:11" ht="12.75">
      <c r="A86" s="14" t="s">
        <v>51</v>
      </c>
      <c r="B86" s="3" t="s">
        <v>52</v>
      </c>
      <c r="C86" s="22">
        <v>619</v>
      </c>
      <c r="D86" s="22">
        <v>150</v>
      </c>
      <c r="E86" s="22">
        <f t="shared" si="5"/>
        <v>24.232633279483036</v>
      </c>
      <c r="F86" s="25">
        <v>663</v>
      </c>
      <c r="G86" s="23">
        <v>5.6</v>
      </c>
      <c r="H86" s="25">
        <f>G86/F86*100</f>
        <v>0.8446455505279035</v>
      </c>
      <c r="I86" s="40">
        <f t="shared" si="8"/>
        <v>1282</v>
      </c>
      <c r="J86" s="46">
        <f t="shared" si="8"/>
        <v>155.6</v>
      </c>
      <c r="K86" s="37">
        <f aca="true" t="shared" si="9" ref="K86:K118">J86/I86*100</f>
        <v>12.137285491419657</v>
      </c>
    </row>
    <row r="87" spans="1:11" ht="12.75">
      <c r="A87" s="14" t="s">
        <v>53</v>
      </c>
      <c r="B87" s="3" t="s">
        <v>91</v>
      </c>
      <c r="C87" s="22">
        <v>7633.4</v>
      </c>
      <c r="D87" s="22">
        <v>455.6</v>
      </c>
      <c r="E87" s="22">
        <f t="shared" si="5"/>
        <v>5.9685068252679025</v>
      </c>
      <c r="F87" s="25">
        <v>0</v>
      </c>
      <c r="G87" s="23">
        <v>0</v>
      </c>
      <c r="H87" s="25"/>
      <c r="I87" s="40">
        <f>C87+F87</f>
        <v>7633.4</v>
      </c>
      <c r="J87" s="46">
        <f>D87+G87</f>
        <v>455.6</v>
      </c>
      <c r="K87" s="37">
        <f t="shared" si="9"/>
        <v>5.9685068252679025</v>
      </c>
    </row>
    <row r="88" spans="1:11" ht="12.75">
      <c r="A88" s="13" t="s">
        <v>54</v>
      </c>
      <c r="B88" s="4" t="s">
        <v>92</v>
      </c>
      <c r="C88" s="24">
        <f>SUM(C89:C92)</f>
        <v>256288.2</v>
      </c>
      <c r="D88" s="24">
        <f>SUM(D89:D92)</f>
        <v>527.1</v>
      </c>
      <c r="E88" s="24">
        <f>D88/C88*100</f>
        <v>0.2056669015584799</v>
      </c>
      <c r="F88" s="27">
        <f>SUM(F89:F91)</f>
        <v>0</v>
      </c>
      <c r="G88" s="27">
        <f>SUM(G89:G91)</f>
        <v>0</v>
      </c>
      <c r="H88" s="35"/>
      <c r="I88" s="27">
        <f>C88+F88</f>
        <v>256288.2</v>
      </c>
      <c r="J88" s="27">
        <f t="shared" si="8"/>
        <v>527.1</v>
      </c>
      <c r="K88" s="36">
        <f t="shared" si="9"/>
        <v>0.2056669015584799</v>
      </c>
    </row>
    <row r="89" spans="1:11" ht="12.75">
      <c r="A89" s="14" t="s">
        <v>55</v>
      </c>
      <c r="B89" s="3" t="s">
        <v>56</v>
      </c>
      <c r="C89" s="22">
        <v>81313.3</v>
      </c>
      <c r="D89" s="22">
        <v>500</v>
      </c>
      <c r="E89" s="22">
        <f t="shared" si="5"/>
        <v>0.6149055566555532</v>
      </c>
      <c r="F89" s="25">
        <v>0</v>
      </c>
      <c r="G89" s="23">
        <v>0</v>
      </c>
      <c r="H89" s="25">
        <v>0</v>
      </c>
      <c r="I89" s="40">
        <f t="shared" si="8"/>
        <v>81313.3</v>
      </c>
      <c r="J89" s="46">
        <f t="shared" si="8"/>
        <v>500</v>
      </c>
      <c r="K89" s="37">
        <f t="shared" si="9"/>
        <v>0.6149055566555532</v>
      </c>
    </row>
    <row r="90" spans="1:11" ht="12.75">
      <c r="A90" s="14" t="s">
        <v>57</v>
      </c>
      <c r="B90" s="3" t="s">
        <v>58</v>
      </c>
      <c r="C90" s="22">
        <v>12279.4</v>
      </c>
      <c r="D90" s="22">
        <v>0</v>
      </c>
      <c r="E90" s="22">
        <f t="shared" si="5"/>
        <v>0</v>
      </c>
      <c r="F90" s="25">
        <v>0</v>
      </c>
      <c r="G90" s="23">
        <v>0</v>
      </c>
      <c r="H90" s="25">
        <v>0</v>
      </c>
      <c r="I90" s="40">
        <f t="shared" si="8"/>
        <v>12279.4</v>
      </c>
      <c r="J90" s="46">
        <f t="shared" si="8"/>
        <v>0</v>
      </c>
      <c r="K90" s="37">
        <f t="shared" si="9"/>
        <v>0</v>
      </c>
    </row>
    <row r="91" spans="1:11" ht="12.75">
      <c r="A91" s="15" t="s">
        <v>104</v>
      </c>
      <c r="B91" s="3" t="s">
        <v>88</v>
      </c>
      <c r="C91" s="22">
        <f>162695.5-C92</f>
        <v>15316.5</v>
      </c>
      <c r="D91" s="25">
        <v>27.1</v>
      </c>
      <c r="E91" s="22">
        <f t="shared" si="5"/>
        <v>0.17693337250677374</v>
      </c>
      <c r="F91" s="25">
        <v>0</v>
      </c>
      <c r="G91" s="23">
        <v>0</v>
      </c>
      <c r="H91" s="25">
        <v>0</v>
      </c>
      <c r="I91" s="40">
        <f t="shared" si="8"/>
        <v>15316.5</v>
      </c>
      <c r="J91" s="46">
        <f t="shared" si="8"/>
        <v>27.1</v>
      </c>
      <c r="K91" s="37">
        <f t="shared" si="9"/>
        <v>0.17693337250677374</v>
      </c>
    </row>
    <row r="92" spans="1:11" ht="22.5">
      <c r="A92" s="15" t="s">
        <v>104</v>
      </c>
      <c r="B92" s="49" t="s">
        <v>132</v>
      </c>
      <c r="C92" s="22">
        <v>147379</v>
      </c>
      <c r="D92" s="25">
        <v>0</v>
      </c>
      <c r="E92" s="22">
        <f t="shared" si="5"/>
        <v>0</v>
      </c>
      <c r="F92" s="25">
        <v>0</v>
      </c>
      <c r="G92" s="23">
        <v>0</v>
      </c>
      <c r="H92" s="25">
        <v>0</v>
      </c>
      <c r="I92" s="40">
        <f t="shared" si="8"/>
        <v>147379</v>
      </c>
      <c r="J92" s="46">
        <f t="shared" si="8"/>
        <v>0</v>
      </c>
      <c r="K92" s="37">
        <f t="shared" si="9"/>
        <v>0</v>
      </c>
    </row>
    <row r="93" spans="1:11" ht="12.75">
      <c r="A93" s="13">
        <v>10</v>
      </c>
      <c r="B93" s="4" t="s">
        <v>60</v>
      </c>
      <c r="C93" s="24">
        <f>SUM(C94:C105)</f>
        <v>146026</v>
      </c>
      <c r="D93" s="24">
        <f>SUM(D94:D105)</f>
        <v>830.4</v>
      </c>
      <c r="E93" s="24">
        <f>D93/C93*100</f>
        <v>0.5686658540259953</v>
      </c>
      <c r="F93" s="24">
        <f>SUM(F94:F103)</f>
        <v>120</v>
      </c>
      <c r="G93" s="24">
        <f>SUM(G94:G103)</f>
        <v>0</v>
      </c>
      <c r="H93" s="35">
        <f>G93/F93*100</f>
        <v>0</v>
      </c>
      <c r="I93" s="24">
        <f>SUM(I94:I105)</f>
        <v>146146</v>
      </c>
      <c r="J93" s="24">
        <f>SUM(J94:J105)</f>
        <v>830.4</v>
      </c>
      <c r="K93" s="36">
        <f t="shared" si="9"/>
        <v>0.5681989243633079</v>
      </c>
    </row>
    <row r="94" spans="1:11" ht="12.75">
      <c r="A94" s="15">
        <v>1001</v>
      </c>
      <c r="B94" s="3" t="s">
        <v>61</v>
      </c>
      <c r="C94" s="22">
        <v>3420</v>
      </c>
      <c r="D94" s="22">
        <v>285.1</v>
      </c>
      <c r="E94" s="22">
        <f t="shared" si="5"/>
        <v>8.336257309941521</v>
      </c>
      <c r="F94" s="25">
        <v>120</v>
      </c>
      <c r="G94" s="23">
        <v>0</v>
      </c>
      <c r="H94" s="25">
        <f>G94/F94*100</f>
        <v>0</v>
      </c>
      <c r="I94" s="40">
        <f t="shared" si="8"/>
        <v>3540</v>
      </c>
      <c r="J94" s="46">
        <f t="shared" si="8"/>
        <v>285.1</v>
      </c>
      <c r="K94" s="37">
        <f t="shared" si="9"/>
        <v>8.053672316384182</v>
      </c>
    </row>
    <row r="95" spans="1:11" ht="22.5">
      <c r="A95" s="15">
        <v>1003</v>
      </c>
      <c r="B95" s="3" t="s">
        <v>79</v>
      </c>
      <c r="C95" s="22">
        <v>2746.8</v>
      </c>
      <c r="D95" s="22">
        <v>0</v>
      </c>
      <c r="E95" s="22">
        <f t="shared" si="5"/>
        <v>0</v>
      </c>
      <c r="F95" s="25">
        <v>0</v>
      </c>
      <c r="G95" s="23">
        <v>0</v>
      </c>
      <c r="H95" s="25">
        <v>0</v>
      </c>
      <c r="I95" s="40">
        <f t="shared" si="8"/>
        <v>2746.8</v>
      </c>
      <c r="J95" s="46">
        <f t="shared" si="8"/>
        <v>0</v>
      </c>
      <c r="K95" s="37">
        <f t="shared" si="9"/>
        <v>0</v>
      </c>
    </row>
    <row r="96" spans="1:11" ht="22.5">
      <c r="A96" s="15">
        <v>1003</v>
      </c>
      <c r="B96" s="3" t="s">
        <v>94</v>
      </c>
      <c r="C96" s="22">
        <v>13827.1</v>
      </c>
      <c r="D96" s="22">
        <v>0</v>
      </c>
      <c r="E96" s="22">
        <f aca="true" t="shared" si="10" ref="E96:E116">D96/C96*100</f>
        <v>0</v>
      </c>
      <c r="F96" s="25">
        <v>0</v>
      </c>
      <c r="G96" s="23">
        <v>0</v>
      </c>
      <c r="H96" s="25">
        <v>0</v>
      </c>
      <c r="I96" s="40">
        <f t="shared" si="8"/>
        <v>13827.1</v>
      </c>
      <c r="J96" s="46">
        <f t="shared" si="8"/>
        <v>0</v>
      </c>
      <c r="K96" s="37">
        <f t="shared" si="9"/>
        <v>0</v>
      </c>
    </row>
    <row r="97" spans="1:11" ht="22.5">
      <c r="A97" s="15">
        <v>1003</v>
      </c>
      <c r="B97" s="3" t="s">
        <v>93</v>
      </c>
      <c r="C97" s="22">
        <v>11451</v>
      </c>
      <c r="D97" s="22">
        <v>0</v>
      </c>
      <c r="E97" s="22">
        <f t="shared" si="10"/>
        <v>0</v>
      </c>
      <c r="F97" s="25">
        <v>0</v>
      </c>
      <c r="G97" s="23">
        <v>0</v>
      </c>
      <c r="H97" s="25">
        <v>0</v>
      </c>
      <c r="I97" s="40">
        <f t="shared" si="8"/>
        <v>11451</v>
      </c>
      <c r="J97" s="46">
        <f t="shared" si="8"/>
        <v>0</v>
      </c>
      <c r="K97" s="37">
        <f t="shared" si="9"/>
        <v>0</v>
      </c>
    </row>
    <row r="98" spans="1:11" ht="12.75">
      <c r="A98" s="15" t="s">
        <v>168</v>
      </c>
      <c r="B98" s="3" t="s">
        <v>62</v>
      </c>
      <c r="C98" s="22">
        <v>734.6</v>
      </c>
      <c r="D98" s="22"/>
      <c r="E98" s="22"/>
      <c r="F98" s="25"/>
      <c r="G98" s="23"/>
      <c r="H98" s="25"/>
      <c r="I98" s="40">
        <f t="shared" si="8"/>
        <v>734.6</v>
      </c>
      <c r="J98" s="46"/>
      <c r="K98" s="37">
        <f t="shared" si="9"/>
        <v>0</v>
      </c>
    </row>
    <row r="99" spans="1:11" ht="22.5">
      <c r="A99" s="15" t="s">
        <v>168</v>
      </c>
      <c r="B99" s="3" t="s">
        <v>164</v>
      </c>
      <c r="C99" s="22">
        <v>1346</v>
      </c>
      <c r="D99" s="22"/>
      <c r="E99" s="22"/>
      <c r="F99" s="25"/>
      <c r="G99" s="23"/>
      <c r="H99" s="25"/>
      <c r="I99" s="40">
        <f aca="true" t="shared" si="11" ref="I99:I105">C99+F99</f>
        <v>1346</v>
      </c>
      <c r="J99" s="46"/>
      <c r="K99" s="37">
        <f t="shared" si="9"/>
        <v>0</v>
      </c>
    </row>
    <row r="100" spans="1:11" ht="45">
      <c r="A100" s="15">
        <v>1004</v>
      </c>
      <c r="B100" s="3" t="s">
        <v>122</v>
      </c>
      <c r="C100" s="56">
        <v>12774</v>
      </c>
      <c r="D100" s="22">
        <v>0</v>
      </c>
      <c r="E100" s="22">
        <f t="shared" si="10"/>
        <v>0</v>
      </c>
      <c r="F100" s="25">
        <v>0</v>
      </c>
      <c r="G100" s="23">
        <v>0</v>
      </c>
      <c r="H100" s="25">
        <v>0</v>
      </c>
      <c r="I100" s="40">
        <f t="shared" si="11"/>
        <v>12774</v>
      </c>
      <c r="J100" s="46">
        <f aca="true" t="shared" si="12" ref="J100:J105">D100+G100</f>
        <v>0</v>
      </c>
      <c r="K100" s="37">
        <f t="shared" si="9"/>
        <v>0</v>
      </c>
    </row>
    <row r="101" spans="1:11" ht="22.5">
      <c r="A101" s="15">
        <v>1004</v>
      </c>
      <c r="B101" s="3" t="s">
        <v>131</v>
      </c>
      <c r="C101" s="56">
        <v>887</v>
      </c>
      <c r="D101" s="22">
        <v>0</v>
      </c>
      <c r="E101" s="22">
        <f t="shared" si="10"/>
        <v>0</v>
      </c>
      <c r="F101" s="25">
        <v>0</v>
      </c>
      <c r="G101" s="25">
        <v>0</v>
      </c>
      <c r="H101" s="25">
        <v>0</v>
      </c>
      <c r="I101" s="40">
        <f t="shared" si="11"/>
        <v>887</v>
      </c>
      <c r="J101" s="40">
        <f t="shared" si="12"/>
        <v>0</v>
      </c>
      <c r="K101" s="37">
        <f t="shared" si="9"/>
        <v>0</v>
      </c>
    </row>
    <row r="102" spans="1:11" ht="12.75">
      <c r="A102" s="15">
        <v>1004</v>
      </c>
      <c r="B102" s="3" t="s">
        <v>72</v>
      </c>
      <c r="C102" s="56">
        <v>60733.5</v>
      </c>
      <c r="D102" s="22">
        <v>0</v>
      </c>
      <c r="E102" s="22">
        <f t="shared" si="10"/>
        <v>0</v>
      </c>
      <c r="F102" s="25">
        <v>0</v>
      </c>
      <c r="G102" s="23">
        <v>0</v>
      </c>
      <c r="H102" s="25">
        <v>0</v>
      </c>
      <c r="I102" s="40">
        <f t="shared" si="11"/>
        <v>60733.5</v>
      </c>
      <c r="J102" s="46">
        <f t="shared" si="12"/>
        <v>0</v>
      </c>
      <c r="K102" s="37">
        <f t="shared" si="9"/>
        <v>0</v>
      </c>
    </row>
    <row r="103" spans="1:11" ht="12.75">
      <c r="A103" s="15">
        <v>1004</v>
      </c>
      <c r="B103" s="3" t="s">
        <v>73</v>
      </c>
      <c r="C103" s="56">
        <v>5995.3</v>
      </c>
      <c r="D103" s="22">
        <v>0</v>
      </c>
      <c r="E103" s="22">
        <f t="shared" si="10"/>
        <v>0</v>
      </c>
      <c r="F103" s="25">
        <v>0</v>
      </c>
      <c r="G103" s="23">
        <v>0</v>
      </c>
      <c r="H103" s="25">
        <v>0</v>
      </c>
      <c r="I103" s="40">
        <f t="shared" si="11"/>
        <v>5995.3</v>
      </c>
      <c r="J103" s="46">
        <f t="shared" si="12"/>
        <v>0</v>
      </c>
      <c r="K103" s="37">
        <f t="shared" si="9"/>
        <v>0</v>
      </c>
    </row>
    <row r="104" spans="1:11" ht="45">
      <c r="A104" s="15" t="s">
        <v>110</v>
      </c>
      <c r="B104" s="3" t="s">
        <v>134</v>
      </c>
      <c r="C104" s="56">
        <v>18715.6</v>
      </c>
      <c r="D104" s="22">
        <v>0</v>
      </c>
      <c r="E104" s="22">
        <f>D104/C104*100</f>
        <v>0</v>
      </c>
      <c r="F104" s="25">
        <v>0</v>
      </c>
      <c r="G104" s="23">
        <v>0</v>
      </c>
      <c r="H104" s="25">
        <v>0</v>
      </c>
      <c r="I104" s="40">
        <f t="shared" si="11"/>
        <v>18715.6</v>
      </c>
      <c r="J104" s="46">
        <f t="shared" si="12"/>
        <v>0</v>
      </c>
      <c r="K104" s="37">
        <f>J104/I104*100</f>
        <v>0</v>
      </c>
    </row>
    <row r="105" spans="1:11" ht="12.75">
      <c r="A105" s="15">
        <v>1006</v>
      </c>
      <c r="B105" s="3" t="s">
        <v>63</v>
      </c>
      <c r="C105" s="22">
        <v>13395.1</v>
      </c>
      <c r="D105" s="22">
        <v>545.3</v>
      </c>
      <c r="E105" s="22">
        <f t="shared" si="10"/>
        <v>4.070891594687609</v>
      </c>
      <c r="F105" s="25">
        <v>0</v>
      </c>
      <c r="G105" s="23">
        <v>0</v>
      </c>
      <c r="H105" s="25">
        <v>0</v>
      </c>
      <c r="I105" s="40">
        <f t="shared" si="11"/>
        <v>13395.1</v>
      </c>
      <c r="J105" s="46">
        <f t="shared" si="12"/>
        <v>545.3</v>
      </c>
      <c r="K105" s="37">
        <f t="shared" si="9"/>
        <v>4.070891594687609</v>
      </c>
    </row>
    <row r="106" spans="1:11" ht="12.75">
      <c r="A106" s="17">
        <v>1100</v>
      </c>
      <c r="B106" s="4" t="s">
        <v>59</v>
      </c>
      <c r="C106" s="24">
        <f>SUM(C107:C108)</f>
        <v>29262.5</v>
      </c>
      <c r="D106" s="24">
        <f>SUM(D107:D108)</f>
        <v>567.2</v>
      </c>
      <c r="E106" s="24">
        <f>D106/C106*100</f>
        <v>1.9383169585647162</v>
      </c>
      <c r="F106" s="27">
        <f>F107+F108</f>
        <v>10198</v>
      </c>
      <c r="G106" s="27">
        <f>G107+G108</f>
        <v>157.4</v>
      </c>
      <c r="H106" s="35">
        <f>G106/F106*100</f>
        <v>1.543439890174544</v>
      </c>
      <c r="I106" s="27">
        <f>SUM(I107:I108)</f>
        <v>39250.5</v>
      </c>
      <c r="J106" s="27">
        <f>SUM(J107:J108)</f>
        <v>724.6</v>
      </c>
      <c r="K106" s="36">
        <f t="shared" si="9"/>
        <v>1.8460911325970368</v>
      </c>
    </row>
    <row r="107" spans="1:11" ht="12.75">
      <c r="A107" s="15">
        <v>1101</v>
      </c>
      <c r="B107" s="3" t="s">
        <v>83</v>
      </c>
      <c r="C107" s="22">
        <v>10850</v>
      </c>
      <c r="D107" s="22">
        <v>333.8</v>
      </c>
      <c r="E107" s="22">
        <f t="shared" si="10"/>
        <v>3.0764976958525345</v>
      </c>
      <c r="F107" s="25">
        <v>9988</v>
      </c>
      <c r="G107" s="23">
        <v>157.4</v>
      </c>
      <c r="H107" s="25">
        <f>G107/F107*100</f>
        <v>1.5758910692831398</v>
      </c>
      <c r="I107" s="40">
        <f>C107+F107</f>
        <v>20838</v>
      </c>
      <c r="J107" s="40">
        <f>D107+G107</f>
        <v>491.20000000000005</v>
      </c>
      <c r="K107" s="37">
        <f t="shared" si="9"/>
        <v>2.357231980036472</v>
      </c>
    </row>
    <row r="108" spans="1:11" ht="12.75">
      <c r="A108" s="15">
        <v>1102</v>
      </c>
      <c r="B108" s="3" t="s">
        <v>84</v>
      </c>
      <c r="C108" s="22">
        <v>18412.5</v>
      </c>
      <c r="D108" s="22">
        <v>233.4</v>
      </c>
      <c r="E108" s="22">
        <f t="shared" si="10"/>
        <v>1.2676171079429734</v>
      </c>
      <c r="F108" s="25">
        <v>210</v>
      </c>
      <c r="G108" s="23">
        <v>0</v>
      </c>
      <c r="H108" s="25">
        <f>G108/F108*100</f>
        <v>0</v>
      </c>
      <c r="I108" s="40">
        <f>C108+F108-210</f>
        <v>18412.5</v>
      </c>
      <c r="J108" s="40">
        <f>D108+G108</f>
        <v>233.4</v>
      </c>
      <c r="K108" s="37">
        <f t="shared" si="9"/>
        <v>1.2676171079429734</v>
      </c>
    </row>
    <row r="109" spans="1:11" ht="12.75">
      <c r="A109" s="17">
        <v>1200</v>
      </c>
      <c r="B109" s="4" t="s">
        <v>85</v>
      </c>
      <c r="C109" s="24">
        <f>C111+C110</f>
        <v>9200</v>
      </c>
      <c r="D109" s="24">
        <f>D111+D110</f>
        <v>2925</v>
      </c>
      <c r="E109" s="24">
        <f>E111</f>
        <v>25</v>
      </c>
      <c r="F109" s="24">
        <f>F111+F110</f>
        <v>0</v>
      </c>
      <c r="G109" s="24">
        <f>G111+G110</f>
        <v>0</v>
      </c>
      <c r="H109" s="38">
        <f>H111</f>
        <v>0</v>
      </c>
      <c r="I109" s="24">
        <f aca="true" t="shared" si="13" ref="I109:J113">C109+F109</f>
        <v>9200</v>
      </c>
      <c r="J109" s="24">
        <f t="shared" si="13"/>
        <v>2925</v>
      </c>
      <c r="K109" s="39">
        <f t="shared" si="9"/>
        <v>31.793478260869566</v>
      </c>
    </row>
    <row r="110" spans="1:11" ht="12.75">
      <c r="A110" s="15" t="s">
        <v>114</v>
      </c>
      <c r="B110" s="3" t="s">
        <v>115</v>
      </c>
      <c r="C110" s="22">
        <v>3500</v>
      </c>
      <c r="D110" s="22">
        <v>1500</v>
      </c>
      <c r="E110" s="22">
        <f>D110/C110*100</f>
        <v>42.857142857142854</v>
      </c>
      <c r="F110" s="25">
        <v>0</v>
      </c>
      <c r="G110" s="23">
        <v>0</v>
      </c>
      <c r="H110" s="25">
        <v>0</v>
      </c>
      <c r="I110" s="40">
        <f t="shared" si="13"/>
        <v>3500</v>
      </c>
      <c r="J110" s="40">
        <f t="shared" si="13"/>
        <v>1500</v>
      </c>
      <c r="K110" s="37">
        <f>J110/I110*100</f>
        <v>42.857142857142854</v>
      </c>
    </row>
    <row r="111" spans="1:11" ht="12.75">
      <c r="A111" s="15">
        <v>1202</v>
      </c>
      <c r="B111" s="3" t="s">
        <v>101</v>
      </c>
      <c r="C111" s="22">
        <v>5700</v>
      </c>
      <c r="D111" s="22">
        <v>1425</v>
      </c>
      <c r="E111" s="22">
        <f t="shared" si="10"/>
        <v>25</v>
      </c>
      <c r="F111" s="25">
        <v>0</v>
      </c>
      <c r="G111" s="23">
        <v>0</v>
      </c>
      <c r="H111" s="25">
        <v>0</v>
      </c>
      <c r="I111" s="40">
        <f t="shared" si="13"/>
        <v>5700</v>
      </c>
      <c r="J111" s="40">
        <f t="shared" si="13"/>
        <v>1425</v>
      </c>
      <c r="K111" s="37">
        <f t="shared" si="9"/>
        <v>25</v>
      </c>
    </row>
    <row r="112" spans="1:11" ht="12.75">
      <c r="A112" s="17">
        <v>1300</v>
      </c>
      <c r="B112" s="4" t="s">
        <v>86</v>
      </c>
      <c r="C112" s="24">
        <f aca="true" t="shared" si="14" ref="C112:H112">C113</f>
        <v>1000</v>
      </c>
      <c r="D112" s="24">
        <f t="shared" si="14"/>
        <v>94.3</v>
      </c>
      <c r="E112" s="24">
        <f t="shared" si="14"/>
        <v>9.43</v>
      </c>
      <c r="F112" s="24">
        <f t="shared" si="14"/>
        <v>0</v>
      </c>
      <c r="G112" s="24">
        <f t="shared" si="14"/>
        <v>0</v>
      </c>
      <c r="H112" s="38">
        <f t="shared" si="14"/>
        <v>0</v>
      </c>
      <c r="I112" s="24">
        <f t="shared" si="13"/>
        <v>1000</v>
      </c>
      <c r="J112" s="24">
        <f t="shared" si="13"/>
        <v>94.3</v>
      </c>
      <c r="K112" s="39">
        <f t="shared" si="9"/>
        <v>9.43</v>
      </c>
    </row>
    <row r="113" spans="1:11" ht="22.5">
      <c r="A113" s="15">
        <v>1301</v>
      </c>
      <c r="B113" s="3" t="s">
        <v>87</v>
      </c>
      <c r="C113" s="22">
        <v>1000</v>
      </c>
      <c r="D113" s="22">
        <v>94.3</v>
      </c>
      <c r="E113" s="22">
        <f t="shared" si="10"/>
        <v>9.43</v>
      </c>
      <c r="F113" s="25"/>
      <c r="G113" s="23">
        <v>0</v>
      </c>
      <c r="H113" s="25">
        <v>0</v>
      </c>
      <c r="I113" s="40">
        <f t="shared" si="13"/>
        <v>1000</v>
      </c>
      <c r="J113" s="40">
        <f t="shared" si="13"/>
        <v>94.3</v>
      </c>
      <c r="K113" s="37">
        <f t="shared" si="9"/>
        <v>9.43</v>
      </c>
    </row>
    <row r="114" spans="1:11" ht="12.75">
      <c r="A114" s="17">
        <v>1400</v>
      </c>
      <c r="B114" s="4" t="s">
        <v>64</v>
      </c>
      <c r="C114" s="24">
        <f>SUM(C115:C116)</f>
        <v>277801.2</v>
      </c>
      <c r="D114" s="24">
        <f>SUM(D115:D116)</f>
        <v>16731.7</v>
      </c>
      <c r="E114" s="24">
        <f>D114/C114*100</f>
        <v>6.022904148722179</v>
      </c>
      <c r="F114" s="27">
        <f>F115+F116+F117</f>
        <v>26826.1</v>
      </c>
      <c r="G114" s="27">
        <f>SUM(G115:G117)</f>
        <v>0</v>
      </c>
      <c r="H114" s="27">
        <f>G114/F114*100</f>
        <v>0</v>
      </c>
      <c r="I114" s="27">
        <v>0</v>
      </c>
      <c r="J114" s="27">
        <v>0</v>
      </c>
      <c r="K114" s="36">
        <v>0</v>
      </c>
    </row>
    <row r="115" spans="1:11" ht="22.5">
      <c r="A115" s="15">
        <v>1401</v>
      </c>
      <c r="B115" s="3" t="s">
        <v>81</v>
      </c>
      <c r="C115" s="22">
        <v>104609.8</v>
      </c>
      <c r="D115" s="22">
        <v>6974</v>
      </c>
      <c r="E115" s="22">
        <f t="shared" si="10"/>
        <v>6.666679412445105</v>
      </c>
      <c r="F115" s="25">
        <v>0</v>
      </c>
      <c r="G115" s="23">
        <v>0</v>
      </c>
      <c r="H115" s="25">
        <v>0</v>
      </c>
      <c r="I115" s="40">
        <v>0</v>
      </c>
      <c r="J115" s="46">
        <v>0</v>
      </c>
      <c r="K115" s="37">
        <v>0</v>
      </c>
    </row>
    <row r="116" spans="1:11" ht="12.75">
      <c r="A116" s="15">
        <v>1402</v>
      </c>
      <c r="B116" s="3" t="s">
        <v>82</v>
      </c>
      <c r="C116" s="22">
        <v>173191.4</v>
      </c>
      <c r="D116" s="22">
        <v>9757.7</v>
      </c>
      <c r="E116" s="22">
        <f t="shared" si="10"/>
        <v>5.63405573255947</v>
      </c>
      <c r="F116" s="25">
        <v>0</v>
      </c>
      <c r="G116" s="23">
        <v>0</v>
      </c>
      <c r="H116" s="25">
        <v>0</v>
      </c>
      <c r="I116" s="40">
        <v>0</v>
      </c>
      <c r="J116" s="46">
        <v>0</v>
      </c>
      <c r="K116" s="37">
        <v>0</v>
      </c>
    </row>
    <row r="117" spans="1:11" ht="12.75">
      <c r="A117" s="15">
        <v>1403</v>
      </c>
      <c r="B117" s="3" t="s">
        <v>95</v>
      </c>
      <c r="C117" s="22"/>
      <c r="D117" s="22"/>
      <c r="E117" s="22">
        <v>0</v>
      </c>
      <c r="F117" s="25">
        <v>26826.1</v>
      </c>
      <c r="G117" s="23">
        <v>0</v>
      </c>
      <c r="H117" s="25">
        <f>G117/F117*100</f>
        <v>0</v>
      </c>
      <c r="I117" s="40">
        <v>0</v>
      </c>
      <c r="J117" s="46">
        <v>0</v>
      </c>
      <c r="K117" s="37">
        <v>0</v>
      </c>
    </row>
    <row r="118" spans="1:11" ht="13.5" thickBot="1">
      <c r="A118" s="164" t="s">
        <v>65</v>
      </c>
      <c r="B118" s="165"/>
      <c r="C118" s="29">
        <f>C9+C18+C20+C25+C45+C71+C73+C81+C88+C93+C106+C109+C112+C114</f>
        <v>3981574.3000000003</v>
      </c>
      <c r="D118" s="29">
        <f>D114+D112+D109+D106+D93+D88+D81+D73+D71+D45+D25+D20+D18+D9</f>
        <v>184490.2</v>
      </c>
      <c r="E118" s="29">
        <f>D118/C118*100</f>
        <v>4.633599327783485</v>
      </c>
      <c r="F118" s="29">
        <f>F9+F18+F20+F25+F45+F71+F73+F81+F88+F93+F106+F109+F112+F114</f>
        <v>484125</v>
      </c>
      <c r="G118" s="29">
        <f>G114+G112+G109+G93+G88+G81+G73+G45+G25+G21+G18+G9+G20+G106</f>
        <v>10643.9</v>
      </c>
      <c r="H118" s="47">
        <f>G118/F118*100</f>
        <v>2.198585076168345</v>
      </c>
      <c r="I118" s="29">
        <f>I114+I112+I109+I106+I93+I88+I81+I73+I71+I45+I25+I20+I18+I9</f>
        <v>4080132</v>
      </c>
      <c r="J118" s="29">
        <f>J114+J112+J109+J106+J93+J88+J81+J73+J71+J45+J25+J20+J18+J9</f>
        <v>176384.1</v>
      </c>
      <c r="K118" s="30">
        <f t="shared" si="9"/>
        <v>4.32299984412269</v>
      </c>
    </row>
    <row r="119" spans="1:11" ht="12.75">
      <c r="A119" s="9"/>
      <c r="B119" s="5"/>
      <c r="C119" s="53"/>
      <c r="D119" s="31"/>
      <c r="E119" s="41"/>
      <c r="F119" s="21"/>
      <c r="G119" s="33"/>
      <c r="H119" s="33"/>
      <c r="I119" s="45"/>
      <c r="J119" s="45"/>
      <c r="K119" s="45"/>
    </row>
    <row r="120" spans="1:11" ht="12.75">
      <c r="A120" s="10"/>
      <c r="B120" s="6"/>
      <c r="C120" s="54"/>
      <c r="D120" s="32"/>
      <c r="E120" s="41"/>
      <c r="F120" s="21"/>
      <c r="G120" s="33"/>
      <c r="H120" s="33"/>
      <c r="I120" s="44"/>
      <c r="J120" s="44"/>
      <c r="K120" s="45"/>
    </row>
    <row r="121" spans="1:11" ht="12.75">
      <c r="A121" s="10"/>
      <c r="B121" s="6"/>
      <c r="C121" s="54"/>
      <c r="D121" s="32"/>
      <c r="E121" s="41"/>
      <c r="F121" s="21"/>
      <c r="G121" s="33"/>
      <c r="H121" s="33"/>
      <c r="I121" s="44"/>
      <c r="J121" s="44"/>
      <c r="K121" s="45"/>
    </row>
    <row r="122" spans="1:11" ht="12.75">
      <c r="A122" s="10"/>
      <c r="B122" s="6"/>
      <c r="C122" s="54"/>
      <c r="D122" s="32"/>
      <c r="E122" s="41"/>
      <c r="F122" s="21"/>
      <c r="G122" s="33"/>
      <c r="H122" s="33"/>
      <c r="I122" s="44"/>
      <c r="J122" s="44"/>
      <c r="K122" s="45"/>
    </row>
    <row r="123" spans="1:11" ht="12.75">
      <c r="A123" s="10"/>
      <c r="B123" s="6"/>
      <c r="C123" s="54"/>
      <c r="D123" s="32"/>
      <c r="E123" s="41"/>
      <c r="F123" s="21"/>
      <c r="G123" s="33"/>
      <c r="H123" s="33"/>
      <c r="I123" s="44"/>
      <c r="J123" s="44"/>
      <c r="K123" s="45"/>
    </row>
    <row r="124" spans="1:11" ht="12.75">
      <c r="A124" s="168" t="s">
        <v>124</v>
      </c>
      <c r="B124" s="168"/>
      <c r="C124" s="168"/>
      <c r="D124" s="21"/>
      <c r="E124" s="33"/>
      <c r="F124" s="33"/>
      <c r="G124" s="33"/>
      <c r="H124" s="33"/>
      <c r="I124" s="45"/>
      <c r="J124" s="45"/>
      <c r="K124" s="45"/>
    </row>
    <row r="125" spans="1:11" ht="12.75">
      <c r="A125" s="168" t="s">
        <v>125</v>
      </c>
      <c r="B125" s="168"/>
      <c r="C125" s="168"/>
      <c r="D125" s="42"/>
      <c r="E125" s="169" t="s">
        <v>66</v>
      </c>
      <c r="F125" s="169"/>
      <c r="G125" s="33"/>
      <c r="H125" s="33"/>
      <c r="I125" s="44"/>
      <c r="J125" s="45"/>
      <c r="K125" s="45"/>
    </row>
    <row r="126" spans="1:11" ht="12.75">
      <c r="A126" s="11"/>
      <c r="B126" s="5"/>
      <c r="C126" s="53"/>
      <c r="D126" s="31"/>
      <c r="E126" s="43"/>
      <c r="F126" s="55"/>
      <c r="G126" s="33"/>
      <c r="H126" s="33"/>
      <c r="I126" s="44"/>
      <c r="J126" s="45"/>
      <c r="K126" s="45"/>
    </row>
    <row r="127" spans="1:11" ht="12.75">
      <c r="A127" s="168" t="s">
        <v>151</v>
      </c>
      <c r="B127" s="168"/>
      <c r="C127" s="168"/>
      <c r="D127" s="34"/>
      <c r="E127" s="169" t="s">
        <v>123</v>
      </c>
      <c r="F127" s="169"/>
      <c r="G127" s="33"/>
      <c r="H127" s="33"/>
      <c r="I127" s="44"/>
      <c r="J127" s="45"/>
      <c r="K127" s="45"/>
    </row>
    <row r="128" spans="1:11" ht="12.75">
      <c r="A128" s="11"/>
      <c r="B128" s="6"/>
      <c r="C128" s="54"/>
      <c r="D128" s="32"/>
      <c r="E128" s="43"/>
      <c r="F128" s="55"/>
      <c r="G128" s="33"/>
      <c r="H128" s="33"/>
      <c r="I128" s="44"/>
      <c r="J128" s="45"/>
      <c r="K128" s="45"/>
    </row>
    <row r="129" spans="1:11" ht="12.75">
      <c r="A129" s="168" t="s">
        <v>154</v>
      </c>
      <c r="B129" s="168"/>
      <c r="C129" s="168"/>
      <c r="D129" s="34"/>
      <c r="E129" s="170" t="s">
        <v>155</v>
      </c>
      <c r="F129" s="170"/>
      <c r="G129" s="33"/>
      <c r="H129" s="33"/>
      <c r="I129" s="44"/>
      <c r="J129" s="45"/>
      <c r="K129" s="45"/>
    </row>
    <row r="130" spans="1:11" ht="12.75">
      <c r="A130" s="12"/>
      <c r="B130" s="7"/>
      <c r="C130" s="51"/>
      <c r="D130" s="21"/>
      <c r="E130" s="21"/>
      <c r="F130" s="33"/>
      <c r="G130" s="33"/>
      <c r="H130" s="33"/>
      <c r="I130" s="45"/>
      <c r="J130" s="45"/>
      <c r="K130" s="45"/>
    </row>
    <row r="131" spans="3:5" ht="12.75">
      <c r="C131" s="58" t="s">
        <v>156</v>
      </c>
      <c r="D131" t="s">
        <v>157</v>
      </c>
      <c r="E131" s="59" t="s">
        <v>158</v>
      </c>
    </row>
    <row r="134" ht="12.75">
      <c r="B134" s="7" t="s">
        <v>172</v>
      </c>
    </row>
  </sheetData>
  <sheetProtection/>
  <mergeCells count="35">
    <mergeCell ref="A124:C124"/>
    <mergeCell ref="A125:C125"/>
    <mergeCell ref="E125:F125"/>
    <mergeCell ref="A127:C127"/>
    <mergeCell ref="E127:F127"/>
    <mergeCell ref="A129:C129"/>
    <mergeCell ref="E129:F129"/>
    <mergeCell ref="K20:K21"/>
    <mergeCell ref="A118:B118"/>
    <mergeCell ref="A20:A21"/>
    <mergeCell ref="B20:B21"/>
    <mergeCell ref="C20:C21"/>
    <mergeCell ref="D20:D21"/>
    <mergeCell ref="E20:E21"/>
    <mergeCell ref="F20:F21"/>
    <mergeCell ref="A1:K1"/>
    <mergeCell ref="A3:A8"/>
    <mergeCell ref="B3:B5"/>
    <mergeCell ref="C3:E3"/>
    <mergeCell ref="F3:H3"/>
    <mergeCell ref="I3:K3"/>
    <mergeCell ref="G4:G5"/>
    <mergeCell ref="H4:H5"/>
    <mergeCell ref="I4:I5"/>
    <mergeCell ref="J4:J5"/>
    <mergeCell ref="C4:C5"/>
    <mergeCell ref="D4:D5"/>
    <mergeCell ref="G20:G21"/>
    <mergeCell ref="H20:H21"/>
    <mergeCell ref="K4:K5"/>
    <mergeCell ref="B6:K8"/>
    <mergeCell ref="E4:E5"/>
    <mergeCell ref="F4:F5"/>
    <mergeCell ref="I20:I21"/>
    <mergeCell ref="J20:J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3"/>
  <sheetViews>
    <sheetView tabSelected="1" zoomScalePageLayoutView="0" workbookViewId="0" topLeftCell="A1">
      <selection activeCell="A1" sqref="A1:L213"/>
    </sheetView>
  </sheetViews>
  <sheetFormatPr defaultColWidth="9.00390625" defaultRowHeight="12.75"/>
  <cols>
    <col min="1" max="1" width="23.75390625" style="0" customWidth="1"/>
    <col min="2" max="2" width="0.12890625" style="0" hidden="1" customWidth="1"/>
    <col min="3" max="3" width="48.00390625" style="0" customWidth="1"/>
    <col min="4" max="4" width="12.375" style="0" customWidth="1"/>
    <col min="5" max="5" width="13.125" style="0" hidden="1" customWidth="1"/>
    <col min="6" max="6" width="12.125" style="0" hidden="1" customWidth="1"/>
    <col min="7" max="7" width="12.625" style="0" hidden="1" customWidth="1"/>
    <col min="8" max="8" width="12.375" style="0" hidden="1" customWidth="1"/>
    <col min="9" max="9" width="13.00390625" style="0" hidden="1" customWidth="1"/>
    <col min="10" max="10" width="11.25390625" style="0" customWidth="1"/>
    <col min="11" max="11" width="11.00390625" style="0" customWidth="1"/>
    <col min="12" max="12" width="11.125" style="0" customWidth="1"/>
  </cols>
  <sheetData>
    <row r="1" spans="1:12" ht="23.25" customHeight="1">
      <c r="A1" s="171" t="s">
        <v>275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12.7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12.75">
      <c r="A3" s="60"/>
      <c r="B3" s="60"/>
      <c r="C3" s="61"/>
      <c r="D3" s="62"/>
      <c r="E3" s="62"/>
      <c r="F3" s="62"/>
      <c r="G3" s="62"/>
      <c r="H3" s="62"/>
      <c r="I3" s="62"/>
      <c r="J3" s="62"/>
      <c r="K3" s="62"/>
      <c r="L3" s="62" t="s">
        <v>187</v>
      </c>
    </row>
    <row r="4" spans="1:12" ht="12.75">
      <c r="A4" s="63" t="s">
        <v>188</v>
      </c>
      <c r="B4" s="63"/>
      <c r="C4" s="64"/>
      <c r="D4" s="65"/>
      <c r="E4" s="66" t="s">
        <v>189</v>
      </c>
      <c r="F4" s="66" t="s">
        <v>189</v>
      </c>
      <c r="G4" s="66" t="s">
        <v>189</v>
      </c>
      <c r="H4" s="66" t="s">
        <v>189</v>
      </c>
      <c r="I4" s="66" t="s">
        <v>189</v>
      </c>
      <c r="J4" s="65"/>
      <c r="K4" s="67" t="s">
        <v>190</v>
      </c>
      <c r="L4" s="68" t="s">
        <v>190</v>
      </c>
    </row>
    <row r="5" spans="1:12" ht="25.5">
      <c r="A5" s="69" t="s">
        <v>191</v>
      </c>
      <c r="B5" s="69"/>
      <c r="C5" s="70" t="s">
        <v>192</v>
      </c>
      <c r="D5" s="71" t="s">
        <v>193</v>
      </c>
      <c r="E5" s="72" t="s">
        <v>194</v>
      </c>
      <c r="F5" s="72" t="s">
        <v>195</v>
      </c>
      <c r="G5" s="73" t="s">
        <v>196</v>
      </c>
      <c r="H5" s="74" t="s">
        <v>197</v>
      </c>
      <c r="I5" s="72" t="s">
        <v>198</v>
      </c>
      <c r="J5" s="75" t="s">
        <v>199</v>
      </c>
      <c r="K5" s="76" t="s">
        <v>200</v>
      </c>
      <c r="L5" s="75" t="s">
        <v>200</v>
      </c>
    </row>
    <row r="6" spans="1:12" ht="38.25">
      <c r="A6" s="69"/>
      <c r="B6" s="69"/>
      <c r="C6" s="70"/>
      <c r="D6" s="71">
        <v>2013</v>
      </c>
      <c r="E6" s="71">
        <v>2013</v>
      </c>
      <c r="F6" s="71">
        <v>2013</v>
      </c>
      <c r="G6" s="71">
        <v>2013</v>
      </c>
      <c r="H6" s="71">
        <v>2013</v>
      </c>
      <c r="I6" s="72" t="s">
        <v>201</v>
      </c>
      <c r="J6" s="77">
        <v>41609</v>
      </c>
      <c r="K6" s="78" t="s">
        <v>202</v>
      </c>
      <c r="L6" s="79">
        <v>2013</v>
      </c>
    </row>
    <row r="7" spans="1:12" ht="12.75">
      <c r="A7" s="173" t="s">
        <v>203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5"/>
    </row>
    <row r="8" spans="1:12" ht="12.75">
      <c r="A8" s="80" t="s">
        <v>204</v>
      </c>
      <c r="B8" s="80"/>
      <c r="C8" s="81" t="s">
        <v>205</v>
      </c>
      <c r="D8" s="82">
        <f aca="true" t="shared" si="0" ref="D8:I8">D9+D10+D11+D12+D14+D15+D17+D19+D13+D20+D16+D22+D18+D21</f>
        <v>786334.6</v>
      </c>
      <c r="E8" s="82">
        <f t="shared" si="0"/>
        <v>184252</v>
      </c>
      <c r="F8" s="82">
        <f t="shared" si="0"/>
        <v>217943.30000000002</v>
      </c>
      <c r="G8" s="82">
        <f t="shared" si="0"/>
        <v>179258.4</v>
      </c>
      <c r="H8" s="82">
        <f t="shared" si="0"/>
        <v>204880.90000000002</v>
      </c>
      <c r="I8" s="82">
        <f t="shared" si="0"/>
        <v>581453.7000000001</v>
      </c>
      <c r="J8" s="82">
        <f>J9+J10+J11+J12+J14+J15+J17+J19+J13+J20+J16+J22+J18+J21</f>
        <v>712428.5000000001</v>
      </c>
      <c r="K8" s="82">
        <f>J8/I8*100</f>
        <v>122.52540486026662</v>
      </c>
      <c r="L8" s="82">
        <f>J8/D8*100</f>
        <v>90.60118936646056</v>
      </c>
    </row>
    <row r="9" spans="1:12" ht="12.75">
      <c r="A9" s="83" t="s">
        <v>206</v>
      </c>
      <c r="B9" s="83"/>
      <c r="C9" s="84" t="s">
        <v>207</v>
      </c>
      <c r="D9" s="85">
        <f>E9+F9+G9+H9</f>
        <v>595369.6</v>
      </c>
      <c r="E9" s="86">
        <v>143596</v>
      </c>
      <c r="F9" s="86">
        <v>152777.2</v>
      </c>
      <c r="G9" s="86">
        <v>132877.8</v>
      </c>
      <c r="H9" s="86">
        <v>166118.6</v>
      </c>
      <c r="I9" s="87">
        <f>E9+F9+G9</f>
        <v>429251</v>
      </c>
      <c r="J9" s="86">
        <v>524017.7</v>
      </c>
      <c r="K9" s="87">
        <f aca="true" t="shared" si="1" ref="K9:K28">J9/I9*100</f>
        <v>122.07722288358094</v>
      </c>
      <c r="L9" s="87">
        <f aca="true" t="shared" si="2" ref="L9:L28">J9/D9*100</f>
        <v>88.01552850531839</v>
      </c>
    </row>
    <row r="10" spans="1:12" ht="12.75">
      <c r="A10" s="88" t="s">
        <v>208</v>
      </c>
      <c r="B10" s="88"/>
      <c r="C10" s="84" t="s">
        <v>209</v>
      </c>
      <c r="D10" s="85">
        <f aca="true" t="shared" si="3" ref="D10:D22">E10+F10+G10+H10</f>
        <v>34221.899999999994</v>
      </c>
      <c r="E10" s="86">
        <v>7328.8</v>
      </c>
      <c r="F10" s="86">
        <v>12884.5</v>
      </c>
      <c r="G10" s="86">
        <v>6909.4</v>
      </c>
      <c r="H10" s="86">
        <v>7099.2</v>
      </c>
      <c r="I10" s="87">
        <f aca="true" t="shared" si="4" ref="I10:I27">E10+F10+G10</f>
        <v>27122.699999999997</v>
      </c>
      <c r="J10" s="86">
        <v>33516.2</v>
      </c>
      <c r="K10" s="87">
        <f t="shared" si="1"/>
        <v>123.57250568711817</v>
      </c>
      <c r="L10" s="87">
        <f t="shared" si="2"/>
        <v>97.93787019423236</v>
      </c>
    </row>
    <row r="11" spans="1:12" ht="12.75">
      <c r="A11" s="88" t="s">
        <v>210</v>
      </c>
      <c r="B11" s="88"/>
      <c r="C11" s="84" t="s">
        <v>211</v>
      </c>
      <c r="D11" s="85">
        <f t="shared" si="3"/>
        <v>18000</v>
      </c>
      <c r="E11" s="86">
        <v>4718.6</v>
      </c>
      <c r="F11" s="86">
        <v>2722.8</v>
      </c>
      <c r="G11" s="86">
        <v>4980.2</v>
      </c>
      <c r="H11" s="86">
        <v>5578.4</v>
      </c>
      <c r="I11" s="87">
        <f t="shared" si="4"/>
        <v>12421.6</v>
      </c>
      <c r="J11" s="86">
        <v>17081.8</v>
      </c>
      <c r="K11" s="87">
        <f t="shared" si="1"/>
        <v>137.5169060346493</v>
      </c>
      <c r="L11" s="87">
        <f t="shared" si="2"/>
        <v>94.89888888888889</v>
      </c>
    </row>
    <row r="12" spans="1:12" ht="12.75">
      <c r="A12" s="88" t="s">
        <v>212</v>
      </c>
      <c r="B12" s="88"/>
      <c r="C12" s="84" t="s">
        <v>213</v>
      </c>
      <c r="D12" s="85">
        <f t="shared" si="3"/>
        <v>3197</v>
      </c>
      <c r="E12" s="86">
        <v>1031.1</v>
      </c>
      <c r="F12" s="86">
        <v>585.7</v>
      </c>
      <c r="G12" s="86">
        <v>735.6</v>
      </c>
      <c r="H12" s="86">
        <v>844.6</v>
      </c>
      <c r="I12" s="87">
        <f t="shared" si="4"/>
        <v>2352.4</v>
      </c>
      <c r="J12" s="86">
        <v>3021.3</v>
      </c>
      <c r="K12" s="87">
        <f t="shared" si="1"/>
        <v>128.4347900017004</v>
      </c>
      <c r="L12" s="87">
        <f t="shared" si="2"/>
        <v>94.5042227087895</v>
      </c>
    </row>
    <row r="13" spans="1:12" ht="24">
      <c r="A13" s="89" t="s">
        <v>214</v>
      </c>
      <c r="B13" s="88"/>
      <c r="C13" s="84" t="s">
        <v>215</v>
      </c>
      <c r="D13" s="85">
        <f t="shared" si="3"/>
        <v>1.6</v>
      </c>
      <c r="E13" s="86"/>
      <c r="F13" s="86"/>
      <c r="G13" s="86">
        <v>1.6</v>
      </c>
      <c r="H13" s="86"/>
      <c r="I13" s="87">
        <f t="shared" si="4"/>
        <v>1.6</v>
      </c>
      <c r="J13" s="86">
        <v>1.6</v>
      </c>
      <c r="K13" s="87">
        <f t="shared" si="1"/>
        <v>100</v>
      </c>
      <c r="L13" s="87">
        <f t="shared" si="2"/>
        <v>100</v>
      </c>
    </row>
    <row r="14" spans="1:12" ht="24">
      <c r="A14" s="90" t="s">
        <v>216</v>
      </c>
      <c r="B14" s="91"/>
      <c r="C14" s="84" t="s">
        <v>217</v>
      </c>
      <c r="D14" s="85">
        <f t="shared" si="3"/>
        <v>75705</v>
      </c>
      <c r="E14" s="86">
        <v>16081.6</v>
      </c>
      <c r="F14" s="86">
        <v>19089.7</v>
      </c>
      <c r="G14" s="86">
        <v>24688.3</v>
      </c>
      <c r="H14" s="86">
        <v>15845.4</v>
      </c>
      <c r="I14" s="87">
        <f t="shared" si="4"/>
        <v>59859.600000000006</v>
      </c>
      <c r="J14" s="86">
        <v>73198.5</v>
      </c>
      <c r="K14" s="87">
        <f t="shared" si="1"/>
        <v>122.28364372631957</v>
      </c>
      <c r="L14" s="87">
        <f t="shared" si="2"/>
        <v>96.68912225084209</v>
      </c>
    </row>
    <row r="15" spans="1:12" ht="12.75">
      <c r="A15" s="92" t="s">
        <v>218</v>
      </c>
      <c r="B15" s="92"/>
      <c r="C15" s="84" t="s">
        <v>219</v>
      </c>
      <c r="D15" s="85">
        <f t="shared" si="3"/>
        <v>18500</v>
      </c>
      <c r="E15" s="86">
        <v>5530.5</v>
      </c>
      <c r="F15" s="86">
        <v>4949.5</v>
      </c>
      <c r="G15" s="86">
        <v>4259.5</v>
      </c>
      <c r="H15" s="86">
        <v>3760.5</v>
      </c>
      <c r="I15" s="87">
        <f t="shared" si="4"/>
        <v>14739.5</v>
      </c>
      <c r="J15" s="86">
        <v>17622.3</v>
      </c>
      <c r="K15" s="87">
        <f t="shared" si="1"/>
        <v>119.5583296584009</v>
      </c>
      <c r="L15" s="87">
        <f t="shared" si="2"/>
        <v>95.25567567567568</v>
      </c>
    </row>
    <row r="16" spans="1:12" ht="24">
      <c r="A16" s="93" t="s">
        <v>220</v>
      </c>
      <c r="B16" s="93"/>
      <c r="C16" s="84" t="s">
        <v>221</v>
      </c>
      <c r="D16" s="85">
        <f t="shared" si="3"/>
        <v>18634.5</v>
      </c>
      <c r="E16" s="86">
        <v>1732.8</v>
      </c>
      <c r="F16" s="86">
        <v>16058.5</v>
      </c>
      <c r="G16" s="86">
        <v>295</v>
      </c>
      <c r="H16" s="86">
        <v>548.2</v>
      </c>
      <c r="I16" s="87">
        <f t="shared" si="4"/>
        <v>18086.3</v>
      </c>
      <c r="J16" s="86">
        <v>19236.1</v>
      </c>
      <c r="K16" s="87">
        <f t="shared" si="1"/>
        <v>106.3572980653865</v>
      </c>
      <c r="L16" s="87">
        <f t="shared" si="2"/>
        <v>103.2284204030159</v>
      </c>
    </row>
    <row r="17" spans="1:12" ht="24">
      <c r="A17" s="93" t="s">
        <v>222</v>
      </c>
      <c r="B17" s="93"/>
      <c r="C17" s="84" t="s">
        <v>223</v>
      </c>
      <c r="D17" s="85">
        <f t="shared" si="3"/>
        <v>12325</v>
      </c>
      <c r="E17" s="86">
        <f>3175.6</f>
        <v>3175.6</v>
      </c>
      <c r="F17" s="86">
        <v>2746.1</v>
      </c>
      <c r="G17" s="86">
        <v>2351.6</v>
      </c>
      <c r="H17" s="86">
        <v>4051.7</v>
      </c>
      <c r="I17" s="87">
        <f t="shared" si="4"/>
        <v>8273.3</v>
      </c>
      <c r="J17" s="86">
        <v>10618.3</v>
      </c>
      <c r="K17" s="87">
        <f t="shared" si="1"/>
        <v>128.34419155596922</v>
      </c>
      <c r="L17" s="87">
        <f t="shared" si="2"/>
        <v>86.1525354969574</v>
      </c>
    </row>
    <row r="18" spans="1:12" ht="12.75">
      <c r="A18" s="93" t="s">
        <v>224</v>
      </c>
      <c r="B18" s="93"/>
      <c r="C18" s="84" t="s">
        <v>225</v>
      </c>
      <c r="D18" s="85">
        <f t="shared" si="3"/>
        <v>20</v>
      </c>
      <c r="E18" s="86">
        <v>3.2</v>
      </c>
      <c r="F18" s="86">
        <v>4.3</v>
      </c>
      <c r="G18" s="86">
        <v>4</v>
      </c>
      <c r="H18" s="86">
        <v>8.5</v>
      </c>
      <c r="I18" s="87">
        <f t="shared" si="4"/>
        <v>11.5</v>
      </c>
      <c r="J18" s="86">
        <v>11.5</v>
      </c>
      <c r="K18" s="87">
        <f t="shared" si="1"/>
        <v>100</v>
      </c>
      <c r="L18" s="87">
        <f t="shared" si="2"/>
        <v>57.49999999999999</v>
      </c>
    </row>
    <row r="19" spans="1:12" ht="12.75">
      <c r="A19" s="83" t="s">
        <v>226</v>
      </c>
      <c r="B19" s="83"/>
      <c r="C19" s="84" t="s">
        <v>227</v>
      </c>
      <c r="D19" s="85">
        <f t="shared" si="3"/>
        <v>10360</v>
      </c>
      <c r="E19" s="86">
        <v>1053.8</v>
      </c>
      <c r="F19" s="86">
        <v>6125</v>
      </c>
      <c r="G19" s="86">
        <v>2155.4</v>
      </c>
      <c r="H19" s="86">
        <v>1025.8</v>
      </c>
      <c r="I19" s="87">
        <f t="shared" si="4"/>
        <v>9334.2</v>
      </c>
      <c r="J19" s="86">
        <v>13853.6</v>
      </c>
      <c r="K19" s="87">
        <f t="shared" si="1"/>
        <v>148.4176469327848</v>
      </c>
      <c r="L19" s="87">
        <f t="shared" si="2"/>
        <v>133.72200772200773</v>
      </c>
    </row>
    <row r="20" spans="1:12" ht="12.75">
      <c r="A20" s="94" t="s">
        <v>228</v>
      </c>
      <c r="B20" s="95"/>
      <c r="C20" s="96" t="s">
        <v>229</v>
      </c>
      <c r="D20" s="85">
        <f t="shared" si="3"/>
        <v>0</v>
      </c>
      <c r="E20" s="86"/>
      <c r="F20" s="86"/>
      <c r="G20" s="86"/>
      <c r="H20" s="86"/>
      <c r="I20" s="87">
        <f t="shared" si="4"/>
        <v>0</v>
      </c>
      <c r="J20" s="86">
        <v>249.6</v>
      </c>
      <c r="K20" s="87"/>
      <c r="L20" s="87"/>
    </row>
    <row r="21" spans="1:12" ht="24">
      <c r="A21" s="94" t="s">
        <v>230</v>
      </c>
      <c r="B21" s="95"/>
      <c r="C21" s="96" t="s">
        <v>231</v>
      </c>
      <c r="D21" s="85">
        <f t="shared" si="3"/>
        <v>0</v>
      </c>
      <c r="E21" s="86"/>
      <c r="F21" s="86"/>
      <c r="G21" s="86"/>
      <c r="H21" s="86"/>
      <c r="I21" s="87">
        <f t="shared" si="4"/>
        <v>0</v>
      </c>
      <c r="J21" s="86"/>
      <c r="K21" s="87"/>
      <c r="L21" s="87"/>
    </row>
    <row r="22" spans="1:12" ht="12.75">
      <c r="A22" s="94" t="s">
        <v>232</v>
      </c>
      <c r="B22" s="95"/>
      <c r="C22" s="96" t="s">
        <v>233</v>
      </c>
      <c r="D22" s="85">
        <f t="shared" si="3"/>
        <v>0</v>
      </c>
      <c r="E22" s="86"/>
      <c r="F22" s="86"/>
      <c r="G22" s="86"/>
      <c r="H22" s="86"/>
      <c r="I22" s="87">
        <f t="shared" si="4"/>
        <v>0</v>
      </c>
      <c r="J22" s="86"/>
      <c r="K22" s="82"/>
      <c r="L22" s="82"/>
    </row>
    <row r="23" spans="1:12" ht="12.75">
      <c r="A23" s="80" t="s">
        <v>234</v>
      </c>
      <c r="B23" s="80"/>
      <c r="C23" s="97" t="s">
        <v>235</v>
      </c>
      <c r="D23" s="98">
        <f aca="true" t="shared" si="5" ref="D23:I23">D24+D25+D27+D26</f>
        <v>3323032.1</v>
      </c>
      <c r="E23" s="98">
        <f t="shared" si="5"/>
        <v>587227.6</v>
      </c>
      <c r="F23" s="98">
        <f t="shared" si="5"/>
        <v>1332611.2</v>
      </c>
      <c r="G23" s="98">
        <f t="shared" si="5"/>
        <v>678031.9</v>
      </c>
      <c r="H23" s="98">
        <f t="shared" si="5"/>
        <v>746704.9</v>
      </c>
      <c r="I23" s="98">
        <f t="shared" si="5"/>
        <v>2597870.6999999997</v>
      </c>
      <c r="J23" s="98">
        <f>J24+J25+J27+J26+0.1</f>
        <v>2816680.8</v>
      </c>
      <c r="K23" s="82">
        <f t="shared" si="1"/>
        <v>108.42267092045805</v>
      </c>
      <c r="L23" s="82">
        <f t="shared" si="2"/>
        <v>84.7623710887415</v>
      </c>
    </row>
    <row r="24" spans="1:12" ht="24">
      <c r="A24" s="99" t="s">
        <v>236</v>
      </c>
      <c r="B24" s="88"/>
      <c r="C24" s="100" t="s">
        <v>237</v>
      </c>
      <c r="D24" s="85">
        <v>3313021.2</v>
      </c>
      <c r="E24" s="86">
        <v>580932.6</v>
      </c>
      <c r="F24" s="86">
        <v>1341485.3</v>
      </c>
      <c r="G24" s="86">
        <v>671736.9</v>
      </c>
      <c r="H24" s="86">
        <f>735915.3+4494.6</f>
        <v>740409.9</v>
      </c>
      <c r="I24" s="87">
        <f t="shared" si="4"/>
        <v>2594154.8</v>
      </c>
      <c r="J24" s="86">
        <v>2811137.9</v>
      </c>
      <c r="K24" s="87">
        <f t="shared" si="1"/>
        <v>108.36430809757383</v>
      </c>
      <c r="L24" s="87">
        <f t="shared" si="2"/>
        <v>84.85118960301249</v>
      </c>
    </row>
    <row r="25" spans="1:12" ht="12.75">
      <c r="A25" s="101" t="s">
        <v>238</v>
      </c>
      <c r="B25" s="101"/>
      <c r="C25" s="102" t="s">
        <v>239</v>
      </c>
      <c r="D25" s="85">
        <f>E25+F25+G25+H25</f>
        <v>25180</v>
      </c>
      <c r="E25" s="86">
        <v>6295</v>
      </c>
      <c r="F25" s="86">
        <v>6295</v>
      </c>
      <c r="G25" s="86">
        <v>6295</v>
      </c>
      <c r="H25" s="86">
        <v>6295</v>
      </c>
      <c r="I25" s="87">
        <f t="shared" si="4"/>
        <v>18885</v>
      </c>
      <c r="J25" s="86">
        <v>27154.3</v>
      </c>
      <c r="K25" s="87">
        <f t="shared" si="1"/>
        <v>143.78766216574</v>
      </c>
      <c r="L25" s="87">
        <f t="shared" si="2"/>
        <v>107.84074662430501</v>
      </c>
    </row>
    <row r="26" spans="1:12" ht="65.25" customHeight="1">
      <c r="A26" s="99" t="s">
        <v>240</v>
      </c>
      <c r="B26" s="103" t="s">
        <v>241</v>
      </c>
      <c r="C26" s="104" t="s">
        <v>241</v>
      </c>
      <c r="D26" s="105">
        <f>E26+F26+G26+H26</f>
        <v>21.4</v>
      </c>
      <c r="E26" s="106"/>
      <c r="F26" s="106">
        <v>21.4</v>
      </c>
      <c r="G26" s="106"/>
      <c r="H26" s="106"/>
      <c r="I26" s="107">
        <f t="shared" si="4"/>
        <v>21.4</v>
      </c>
      <c r="J26" s="106">
        <v>21.4</v>
      </c>
      <c r="K26" s="107">
        <f>J26/I26*100</f>
        <v>100</v>
      </c>
      <c r="L26" s="107">
        <f>J26/D26*100</f>
        <v>100</v>
      </c>
    </row>
    <row r="27" spans="1:12" ht="36">
      <c r="A27" s="99" t="s">
        <v>242</v>
      </c>
      <c r="B27" s="108"/>
      <c r="C27" s="109" t="s">
        <v>243</v>
      </c>
      <c r="D27" s="105">
        <f>E27+F27+G27+H27</f>
        <v>-15190.5</v>
      </c>
      <c r="E27" s="106"/>
      <c r="F27" s="106">
        <v>-15190.5</v>
      </c>
      <c r="G27" s="106"/>
      <c r="H27" s="106"/>
      <c r="I27" s="107">
        <f t="shared" si="4"/>
        <v>-15190.5</v>
      </c>
      <c r="J27" s="106">
        <v>-21632.9</v>
      </c>
      <c r="K27" s="107">
        <f>J27/I27*100</f>
        <v>142.41071722458116</v>
      </c>
      <c r="L27" s="107">
        <f>J27/D27*100</f>
        <v>142.41071722458116</v>
      </c>
    </row>
    <row r="28" spans="1:12" ht="12.75">
      <c r="A28" s="83"/>
      <c r="B28" s="110"/>
      <c r="C28" s="111" t="s">
        <v>244</v>
      </c>
      <c r="D28" s="112">
        <f aca="true" t="shared" si="6" ref="D28:J28">D23+D8</f>
        <v>4109366.7</v>
      </c>
      <c r="E28" s="112">
        <f t="shared" si="6"/>
        <v>771479.6</v>
      </c>
      <c r="F28" s="112">
        <f t="shared" si="6"/>
        <v>1550554.5</v>
      </c>
      <c r="G28" s="112">
        <f t="shared" si="6"/>
        <v>857290.3</v>
      </c>
      <c r="H28" s="112">
        <f t="shared" si="6"/>
        <v>951585.8</v>
      </c>
      <c r="I28" s="112">
        <f t="shared" si="6"/>
        <v>3179324.4</v>
      </c>
      <c r="J28" s="112">
        <f t="shared" si="6"/>
        <v>3529109.3</v>
      </c>
      <c r="K28" s="82">
        <f t="shared" si="1"/>
        <v>111.00186253406541</v>
      </c>
      <c r="L28" s="82">
        <f t="shared" si="2"/>
        <v>85.8796393127924</v>
      </c>
    </row>
    <row r="29" spans="1:12" ht="12.75">
      <c r="A29" s="176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8"/>
    </row>
    <row r="30" spans="1:12" ht="12.75">
      <c r="A30" s="179" t="s">
        <v>245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1"/>
    </row>
    <row r="31" spans="1:12" ht="12.75">
      <c r="A31" s="113" t="s">
        <v>204</v>
      </c>
      <c r="B31" s="113"/>
      <c r="C31" s="81" t="s">
        <v>205</v>
      </c>
      <c r="D31" s="114">
        <f>D32+D33+D35+D36+D34</f>
        <v>15045.2</v>
      </c>
      <c r="E31" s="114">
        <f>E32+E33+E34+E35+E36+E37</f>
        <v>3694.7999999999997</v>
      </c>
      <c r="F31" s="114">
        <f>F32+F33+F34+F35+F36+F37</f>
        <v>3694.7999999999997</v>
      </c>
      <c r="G31" s="114">
        <f>G32+G33+G34+G35+G36+G37</f>
        <v>3796.7999999999997</v>
      </c>
      <c r="H31" s="114">
        <f>H32+H33+H34+H35+H36+H37</f>
        <v>3858.8</v>
      </c>
      <c r="I31" s="114">
        <f>I32+I33+I34+I35+I36+I37</f>
        <v>11186.400000000001</v>
      </c>
      <c r="J31" s="114">
        <f>J32+J33+J35+J36+J34+J37</f>
        <v>14290.7</v>
      </c>
      <c r="K31" s="82">
        <f>J31/I31*100</f>
        <v>127.75066151755703</v>
      </c>
      <c r="L31" s="82">
        <f>J31/D31*100</f>
        <v>94.98511153058783</v>
      </c>
    </row>
    <row r="32" spans="1:12" ht="12.75">
      <c r="A32" s="88" t="s">
        <v>206</v>
      </c>
      <c r="B32" s="88"/>
      <c r="C32" s="115" t="s">
        <v>207</v>
      </c>
      <c r="D32" s="85">
        <v>11430</v>
      </c>
      <c r="E32" s="86">
        <f>2689.7+0.5</f>
        <v>2690.2</v>
      </c>
      <c r="F32" s="116">
        <f>2689.7+0.5</f>
        <v>2690.2</v>
      </c>
      <c r="G32" s="116">
        <f>2689.8+0.5+126</f>
        <v>2816.3</v>
      </c>
      <c r="H32" s="116">
        <f>2689.8+0.5+163.7</f>
        <v>2854</v>
      </c>
      <c r="I32" s="87">
        <f>E32+F32+G32</f>
        <v>8196.7</v>
      </c>
      <c r="J32" s="116">
        <v>10857.4</v>
      </c>
      <c r="K32" s="87">
        <f aca="true" t="shared" si="7" ref="K32:K40">J32/I32*100</f>
        <v>132.46062439762343</v>
      </c>
      <c r="L32" s="87">
        <f aca="true" t="shared" si="8" ref="L32:L40">J32/D32*100</f>
        <v>94.99037620297463</v>
      </c>
    </row>
    <row r="33" spans="1:12" ht="12.75">
      <c r="A33" s="88" t="s">
        <v>210</v>
      </c>
      <c r="B33" s="88"/>
      <c r="C33" s="84" t="s">
        <v>211</v>
      </c>
      <c r="D33" s="85">
        <v>535.2</v>
      </c>
      <c r="E33" s="86">
        <f>40+7.5+217.5</f>
        <v>265</v>
      </c>
      <c r="F33" s="86">
        <v>265</v>
      </c>
      <c r="G33" s="86">
        <f>265-31</f>
        <v>234</v>
      </c>
      <c r="H33" s="116">
        <v>265</v>
      </c>
      <c r="I33" s="87">
        <f aca="true" t="shared" si="9" ref="I33:I39">E33+F33+G33</f>
        <v>764</v>
      </c>
      <c r="J33" s="86">
        <v>234</v>
      </c>
      <c r="K33" s="87">
        <f t="shared" si="7"/>
        <v>30.628272251308903</v>
      </c>
      <c r="L33" s="87">
        <f t="shared" si="8"/>
        <v>43.7219730941704</v>
      </c>
    </row>
    <row r="34" spans="1:12" ht="12.75">
      <c r="A34" s="88" t="s">
        <v>212</v>
      </c>
      <c r="B34" s="88"/>
      <c r="C34" s="84" t="s">
        <v>213</v>
      </c>
      <c r="D34" s="85">
        <f aca="true" t="shared" si="10" ref="D34:D39">E34+F34+G34+H34</f>
        <v>23</v>
      </c>
      <c r="E34" s="86">
        <v>5.8</v>
      </c>
      <c r="F34" s="86">
        <v>5.7</v>
      </c>
      <c r="G34" s="86">
        <v>5.7</v>
      </c>
      <c r="H34" s="116">
        <v>5.8</v>
      </c>
      <c r="I34" s="87">
        <f t="shared" si="9"/>
        <v>17.2</v>
      </c>
      <c r="J34" s="86">
        <v>18.6</v>
      </c>
      <c r="K34" s="87">
        <f t="shared" si="7"/>
        <v>108.13953488372094</v>
      </c>
      <c r="L34" s="87">
        <f t="shared" si="8"/>
        <v>80.86956521739131</v>
      </c>
    </row>
    <row r="35" spans="1:12" ht="24">
      <c r="A35" s="90" t="s">
        <v>216</v>
      </c>
      <c r="B35" s="91"/>
      <c r="C35" s="84" t="s">
        <v>217</v>
      </c>
      <c r="D35" s="85">
        <v>3007</v>
      </c>
      <c r="E35" s="86">
        <f>725+1.7</f>
        <v>726.7</v>
      </c>
      <c r="F35" s="86">
        <f>725+1.8</f>
        <v>726.8</v>
      </c>
      <c r="G35" s="86">
        <f>725+1.7</f>
        <v>726.7</v>
      </c>
      <c r="H35" s="116">
        <f>725+1.8</f>
        <v>726.8</v>
      </c>
      <c r="I35" s="87">
        <f t="shared" si="9"/>
        <v>2180.2</v>
      </c>
      <c r="J35" s="86">
        <v>3121.9</v>
      </c>
      <c r="K35" s="87">
        <f>J35/I35*100</f>
        <v>143.19328501972296</v>
      </c>
      <c r="L35" s="87">
        <f t="shared" si="8"/>
        <v>103.82108413701363</v>
      </c>
    </row>
    <row r="36" spans="1:12" ht="24">
      <c r="A36" s="92" t="s">
        <v>222</v>
      </c>
      <c r="B36" s="92"/>
      <c r="C36" s="84" t="s">
        <v>223</v>
      </c>
      <c r="D36" s="85">
        <v>50</v>
      </c>
      <c r="E36" s="86">
        <v>7.1</v>
      </c>
      <c r="F36" s="86">
        <v>7.1</v>
      </c>
      <c r="G36" s="86">
        <f>7.1+7</f>
        <v>14.1</v>
      </c>
      <c r="H36" s="116">
        <v>7.2</v>
      </c>
      <c r="I36" s="87">
        <f t="shared" si="9"/>
        <v>28.299999999999997</v>
      </c>
      <c r="J36" s="86">
        <v>49.7</v>
      </c>
      <c r="K36" s="87">
        <f>J36/I36*100</f>
        <v>175.6183745583039</v>
      </c>
      <c r="L36" s="87">
        <f t="shared" si="8"/>
        <v>99.4</v>
      </c>
    </row>
    <row r="37" spans="1:12" ht="12.75">
      <c r="A37" s="94" t="s">
        <v>228</v>
      </c>
      <c r="B37" s="95"/>
      <c r="C37" s="96" t="s">
        <v>229</v>
      </c>
      <c r="D37" s="85">
        <f t="shared" si="10"/>
        <v>0</v>
      </c>
      <c r="E37" s="86"/>
      <c r="F37" s="86"/>
      <c r="G37" s="86"/>
      <c r="H37" s="86"/>
      <c r="I37" s="87">
        <f t="shared" si="9"/>
        <v>0</v>
      </c>
      <c r="J37" s="86">
        <v>9.1</v>
      </c>
      <c r="K37" s="87"/>
      <c r="L37" s="87"/>
    </row>
    <row r="38" spans="1:12" ht="12.75">
      <c r="A38" s="80" t="s">
        <v>234</v>
      </c>
      <c r="B38" s="80"/>
      <c r="C38" s="97" t="s">
        <v>235</v>
      </c>
      <c r="D38" s="98">
        <f>D39</f>
        <v>6022.9</v>
      </c>
      <c r="E38" s="98">
        <f aca="true" t="shared" si="11" ref="E38:K38">E39</f>
        <v>1246.6</v>
      </c>
      <c r="F38" s="98">
        <f t="shared" si="11"/>
        <v>2406.2</v>
      </c>
      <c r="G38" s="98">
        <f t="shared" si="11"/>
        <v>1280.8999999999999</v>
      </c>
      <c r="H38" s="98">
        <f t="shared" si="11"/>
        <v>1089.2</v>
      </c>
      <c r="I38" s="98">
        <f t="shared" si="11"/>
        <v>4933.7</v>
      </c>
      <c r="J38" s="98">
        <f t="shared" si="11"/>
        <v>5858.9</v>
      </c>
      <c r="K38" s="98">
        <f t="shared" si="11"/>
        <v>118.7526602752498</v>
      </c>
      <c r="L38" s="82">
        <f>J38/D38*100</f>
        <v>97.27705922396188</v>
      </c>
    </row>
    <row r="39" spans="1:12" ht="24">
      <c r="A39" s="99" t="s">
        <v>236</v>
      </c>
      <c r="B39" s="88"/>
      <c r="C39" s="100" t="s">
        <v>237</v>
      </c>
      <c r="D39" s="85">
        <f t="shared" si="10"/>
        <v>6022.9</v>
      </c>
      <c r="E39" s="117">
        <f>615.6+43.3+305.1+115.8+70.5+96.3</f>
        <v>1246.6</v>
      </c>
      <c r="F39" s="86">
        <f>1246.5+1159.7</f>
        <v>2406.2</v>
      </c>
      <c r="G39" s="86">
        <f>1246.6+11.6+22.7</f>
        <v>1280.8999999999999</v>
      </c>
      <c r="H39" s="86">
        <f>1246.5+28.7-186</f>
        <v>1089.2</v>
      </c>
      <c r="I39" s="87">
        <f t="shared" si="9"/>
        <v>4933.7</v>
      </c>
      <c r="J39" s="86">
        <v>5858.9</v>
      </c>
      <c r="K39" s="87">
        <f>J39/I39*100</f>
        <v>118.7526602752498</v>
      </c>
      <c r="L39" s="87">
        <f>J39/D39*100</f>
        <v>97.27705922396188</v>
      </c>
    </row>
    <row r="40" spans="1:12" ht="12.75">
      <c r="A40" s="83"/>
      <c r="B40" s="110"/>
      <c r="C40" s="111" t="s">
        <v>244</v>
      </c>
      <c r="D40" s="112">
        <f aca="true" t="shared" si="12" ref="D40:J40">D38+D31</f>
        <v>21068.1</v>
      </c>
      <c r="E40" s="112">
        <f t="shared" si="12"/>
        <v>4941.4</v>
      </c>
      <c r="F40" s="112">
        <f t="shared" si="12"/>
        <v>6101</v>
      </c>
      <c r="G40" s="112">
        <f t="shared" si="12"/>
        <v>5077.7</v>
      </c>
      <c r="H40" s="112">
        <f t="shared" si="12"/>
        <v>4948</v>
      </c>
      <c r="I40" s="112">
        <f t="shared" si="12"/>
        <v>16120.100000000002</v>
      </c>
      <c r="J40" s="112">
        <f t="shared" si="12"/>
        <v>20149.6</v>
      </c>
      <c r="K40" s="82">
        <f t="shared" si="7"/>
        <v>124.99674319638213</v>
      </c>
      <c r="L40" s="82">
        <f t="shared" si="8"/>
        <v>95.6403282688045</v>
      </c>
    </row>
    <row r="41" spans="1:12" ht="12.75">
      <c r="A41" s="118"/>
      <c r="B41" s="119"/>
      <c r="C41" s="182"/>
      <c r="D41" s="182"/>
      <c r="E41" s="182"/>
      <c r="F41" s="182"/>
      <c r="G41" s="182"/>
      <c r="H41" s="182"/>
      <c r="I41" s="182"/>
      <c r="J41" s="182"/>
      <c r="K41" s="182"/>
      <c r="L41" s="183"/>
    </row>
    <row r="42" spans="1:12" ht="12.75">
      <c r="A42" s="179" t="s">
        <v>246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1"/>
    </row>
    <row r="43" spans="1:12" ht="12.75">
      <c r="A43" s="80" t="s">
        <v>204</v>
      </c>
      <c r="B43" s="80"/>
      <c r="C43" s="81" t="s">
        <v>205</v>
      </c>
      <c r="D43" s="82">
        <f>D44+D46+D48+D49+D50+D51+D47+D45</f>
        <v>13526.800000000003</v>
      </c>
      <c r="E43" s="82">
        <f aca="true" t="shared" si="13" ref="E43:J43">E44+E46+E48+E49+E50+E51+E47+E45</f>
        <v>3064.3</v>
      </c>
      <c r="F43" s="82">
        <f t="shared" si="13"/>
        <v>3195.6999999999994</v>
      </c>
      <c r="G43" s="82">
        <f t="shared" si="13"/>
        <v>3064.3</v>
      </c>
      <c r="H43" s="82">
        <f t="shared" si="13"/>
        <v>3496.0999999999995</v>
      </c>
      <c r="I43" s="82">
        <f t="shared" si="13"/>
        <v>9324.3</v>
      </c>
      <c r="J43" s="82">
        <f t="shared" si="13"/>
        <v>12128.099999999999</v>
      </c>
      <c r="K43" s="82">
        <f>J43/I43*100</f>
        <v>130.06981757343715</v>
      </c>
      <c r="L43" s="82">
        <f>J43/D43*100</f>
        <v>89.65978649791522</v>
      </c>
    </row>
    <row r="44" spans="1:12" ht="12.75">
      <c r="A44" s="83" t="s">
        <v>206</v>
      </c>
      <c r="B44" s="88"/>
      <c r="C44" s="115" t="s">
        <v>207</v>
      </c>
      <c r="D44" s="85">
        <v>10017.7</v>
      </c>
      <c r="E44" s="86">
        <f>2496.9+6+3.7+0.1</f>
        <v>2506.7</v>
      </c>
      <c r="F44" s="116">
        <v>2507.2</v>
      </c>
      <c r="G44" s="116">
        <v>2490.7</v>
      </c>
      <c r="H44" s="116">
        <f>2507.7+5</f>
        <v>2512.7</v>
      </c>
      <c r="I44" s="87">
        <f>E44+F44+G44</f>
        <v>7504.599999999999</v>
      </c>
      <c r="J44" s="116">
        <v>8967.1</v>
      </c>
      <c r="K44" s="87">
        <f aca="true" t="shared" si="14" ref="K44:K55">J44/I44*100</f>
        <v>119.48804733097036</v>
      </c>
      <c r="L44" s="87">
        <f aca="true" t="shared" si="15" ref="L44:L55">J44/D44*100</f>
        <v>89.51256276390788</v>
      </c>
    </row>
    <row r="45" spans="1:12" ht="12.75">
      <c r="A45" s="88" t="s">
        <v>208</v>
      </c>
      <c r="B45" s="88"/>
      <c r="C45" s="84" t="s">
        <v>209</v>
      </c>
      <c r="D45" s="85">
        <f aca="true" t="shared" si="16" ref="D45:D51">E45+F45+G45+H45</f>
        <v>8.2</v>
      </c>
      <c r="E45" s="86">
        <v>1.5</v>
      </c>
      <c r="F45" s="116">
        <v>2.7</v>
      </c>
      <c r="G45" s="116">
        <v>2.5</v>
      </c>
      <c r="H45" s="116">
        <v>1.5</v>
      </c>
      <c r="I45" s="87">
        <f aca="true" t="shared" si="17" ref="I45:I54">E45+F45+G45</f>
        <v>6.7</v>
      </c>
      <c r="J45" s="116">
        <v>7.3</v>
      </c>
      <c r="K45" s="87">
        <f>J45/I45*100</f>
        <v>108.95522388059702</v>
      </c>
      <c r="L45" s="87">
        <f>J45/D45*100</f>
        <v>89.02439024390245</v>
      </c>
    </row>
    <row r="46" spans="1:12" ht="12.75">
      <c r="A46" s="88" t="s">
        <v>210</v>
      </c>
      <c r="B46" s="88"/>
      <c r="C46" s="84" t="s">
        <v>211</v>
      </c>
      <c r="D46" s="85">
        <v>1872</v>
      </c>
      <c r="E46" s="86">
        <f>82.5+75+250</f>
        <v>407.5</v>
      </c>
      <c r="F46" s="86">
        <v>407.5</v>
      </c>
      <c r="G46" s="86">
        <v>407.5</v>
      </c>
      <c r="H46" s="116">
        <f>407.5+12</f>
        <v>419.5</v>
      </c>
      <c r="I46" s="87">
        <f t="shared" si="17"/>
        <v>1222.5</v>
      </c>
      <c r="J46" s="86">
        <v>1391.5</v>
      </c>
      <c r="K46" s="87">
        <f t="shared" si="14"/>
        <v>113.8241308793456</v>
      </c>
      <c r="L46" s="87">
        <f t="shared" si="15"/>
        <v>74.33226495726495</v>
      </c>
    </row>
    <row r="47" spans="1:12" ht="12.75">
      <c r="A47" s="88" t="s">
        <v>212</v>
      </c>
      <c r="B47" s="88"/>
      <c r="C47" s="84" t="s">
        <v>213</v>
      </c>
      <c r="D47" s="85">
        <f t="shared" si="16"/>
        <v>0</v>
      </c>
      <c r="E47" s="86"/>
      <c r="F47" s="86"/>
      <c r="G47" s="86"/>
      <c r="H47" s="116"/>
      <c r="I47" s="87">
        <f t="shared" si="17"/>
        <v>0</v>
      </c>
      <c r="J47" s="86"/>
      <c r="K47" s="87"/>
      <c r="L47" s="87"/>
    </row>
    <row r="48" spans="1:12" ht="24">
      <c r="A48" s="90" t="s">
        <v>216</v>
      </c>
      <c r="B48" s="91"/>
      <c r="C48" s="84" t="s">
        <v>217</v>
      </c>
      <c r="D48" s="85">
        <v>1321</v>
      </c>
      <c r="E48" s="86">
        <f>66.3+50</f>
        <v>116.3</v>
      </c>
      <c r="F48" s="86">
        <f>66.2+50</f>
        <v>116.2</v>
      </c>
      <c r="G48" s="86">
        <v>116.3</v>
      </c>
      <c r="H48" s="116">
        <f>116.2+409</f>
        <v>525.2</v>
      </c>
      <c r="I48" s="87">
        <f t="shared" si="17"/>
        <v>348.8</v>
      </c>
      <c r="J48" s="86">
        <v>1443.4</v>
      </c>
      <c r="K48" s="87">
        <f t="shared" si="14"/>
        <v>413.81880733944956</v>
      </c>
      <c r="L48" s="87">
        <f t="shared" si="15"/>
        <v>109.26570779712338</v>
      </c>
    </row>
    <row r="49" spans="1:12" ht="24">
      <c r="A49" s="93" t="s">
        <v>222</v>
      </c>
      <c r="B49" s="93"/>
      <c r="C49" s="84" t="s">
        <v>223</v>
      </c>
      <c r="D49" s="85">
        <v>286.2</v>
      </c>
      <c r="E49" s="86">
        <v>32.3</v>
      </c>
      <c r="F49" s="86">
        <f>32.2+108.2</f>
        <v>140.4</v>
      </c>
      <c r="G49" s="86">
        <v>47.3</v>
      </c>
      <c r="H49" s="116">
        <f>32.2+5</f>
        <v>37.2</v>
      </c>
      <c r="I49" s="87">
        <f t="shared" si="17"/>
        <v>220</v>
      </c>
      <c r="J49" s="86">
        <v>296.5</v>
      </c>
      <c r="K49" s="87">
        <f t="shared" si="14"/>
        <v>134.77272727272725</v>
      </c>
      <c r="L49" s="87">
        <f t="shared" si="15"/>
        <v>103.59888190076869</v>
      </c>
    </row>
    <row r="50" spans="1:12" ht="12.75">
      <c r="A50" s="83" t="s">
        <v>226</v>
      </c>
      <c r="B50" s="83"/>
      <c r="C50" s="84" t="s">
        <v>227</v>
      </c>
      <c r="D50" s="85">
        <f t="shared" si="16"/>
        <v>21.7</v>
      </c>
      <c r="E50" s="86"/>
      <c r="F50" s="86">
        <f>19.5+2.2</f>
        <v>21.7</v>
      </c>
      <c r="G50" s="86"/>
      <c r="H50" s="116"/>
      <c r="I50" s="87">
        <f t="shared" si="17"/>
        <v>21.7</v>
      </c>
      <c r="J50" s="86">
        <v>949.4</v>
      </c>
      <c r="K50" s="87">
        <f t="shared" si="14"/>
        <v>4375.115207373272</v>
      </c>
      <c r="L50" s="87">
        <f t="shared" si="15"/>
        <v>4375.115207373272</v>
      </c>
    </row>
    <row r="51" spans="1:12" ht="12.75">
      <c r="A51" s="120" t="s">
        <v>228</v>
      </c>
      <c r="B51" s="95"/>
      <c r="C51" s="96" t="s">
        <v>229</v>
      </c>
      <c r="D51" s="85">
        <f t="shared" si="16"/>
        <v>0</v>
      </c>
      <c r="E51" s="86"/>
      <c r="F51" s="86"/>
      <c r="G51" s="86"/>
      <c r="H51" s="116"/>
      <c r="I51" s="87">
        <f t="shared" si="17"/>
        <v>0</v>
      </c>
      <c r="J51" s="86">
        <v>-927.1</v>
      </c>
      <c r="K51" s="87"/>
      <c r="L51" s="87"/>
    </row>
    <row r="52" spans="1:12" ht="12.75">
      <c r="A52" s="113" t="s">
        <v>234</v>
      </c>
      <c r="B52" s="113"/>
      <c r="C52" s="97" t="s">
        <v>235</v>
      </c>
      <c r="D52" s="98">
        <f aca="true" t="shared" si="18" ref="D52:J52">D53+D54</f>
        <v>40256.9</v>
      </c>
      <c r="E52" s="98">
        <f t="shared" si="18"/>
        <v>10018.7</v>
      </c>
      <c r="F52" s="98">
        <f t="shared" si="18"/>
        <v>16381.099999999999</v>
      </c>
      <c r="G52" s="98">
        <f t="shared" si="18"/>
        <v>5819.2</v>
      </c>
      <c r="H52" s="98">
        <f t="shared" si="18"/>
        <v>7809.5</v>
      </c>
      <c r="I52" s="98">
        <f t="shared" si="18"/>
        <v>32219</v>
      </c>
      <c r="J52" s="98">
        <f t="shared" si="18"/>
        <v>36549.9</v>
      </c>
      <c r="K52" s="82">
        <f t="shared" si="14"/>
        <v>113.44206834476552</v>
      </c>
      <c r="L52" s="82">
        <f t="shared" si="15"/>
        <v>90.79164068768335</v>
      </c>
    </row>
    <row r="53" spans="1:12" ht="24">
      <c r="A53" s="99" t="s">
        <v>236</v>
      </c>
      <c r="B53" s="88"/>
      <c r="C53" s="100" t="s">
        <v>237</v>
      </c>
      <c r="D53" s="85">
        <v>40258.6</v>
      </c>
      <c r="E53" s="86">
        <v>10018.7</v>
      </c>
      <c r="F53" s="86">
        <v>16382.8</v>
      </c>
      <c r="G53" s="86">
        <v>5819.2</v>
      </c>
      <c r="H53" s="86">
        <f>5655.2+2154.3</f>
        <v>7809.5</v>
      </c>
      <c r="I53" s="87">
        <f t="shared" si="17"/>
        <v>32220.7</v>
      </c>
      <c r="J53" s="86">
        <v>36551.6</v>
      </c>
      <c r="K53" s="87">
        <f t="shared" si="14"/>
        <v>113.44135912627596</v>
      </c>
      <c r="L53" s="87">
        <f t="shared" si="15"/>
        <v>90.7920295290944</v>
      </c>
    </row>
    <row r="54" spans="1:12" ht="36">
      <c r="A54" s="99" t="s">
        <v>242</v>
      </c>
      <c r="B54" s="121"/>
      <c r="C54" s="122" t="s">
        <v>243</v>
      </c>
      <c r="D54" s="85">
        <f>E54+F54+G54+H54</f>
        <v>-1.7</v>
      </c>
      <c r="E54" s="123"/>
      <c r="F54" s="123">
        <v>-1.7</v>
      </c>
      <c r="G54" s="123"/>
      <c r="H54" s="123"/>
      <c r="I54" s="87">
        <f t="shared" si="17"/>
        <v>-1.7</v>
      </c>
      <c r="J54" s="86">
        <v>-1.7</v>
      </c>
      <c r="K54" s="87">
        <f t="shared" si="14"/>
        <v>100</v>
      </c>
      <c r="L54" s="87">
        <f t="shared" si="15"/>
        <v>100</v>
      </c>
    </row>
    <row r="55" spans="1:12" ht="12.75">
      <c r="A55" s="91"/>
      <c r="B55" s="124"/>
      <c r="C55" s="125" t="s">
        <v>244</v>
      </c>
      <c r="D55" s="126">
        <f aca="true" t="shared" si="19" ref="D55:I55">D52+D43</f>
        <v>53783.700000000004</v>
      </c>
      <c r="E55" s="126">
        <f t="shared" si="19"/>
        <v>13083</v>
      </c>
      <c r="F55" s="126">
        <f t="shared" si="19"/>
        <v>19576.8</v>
      </c>
      <c r="G55" s="126">
        <f t="shared" si="19"/>
        <v>8883.5</v>
      </c>
      <c r="H55" s="126">
        <f t="shared" si="19"/>
        <v>11305.599999999999</v>
      </c>
      <c r="I55" s="126">
        <f t="shared" si="19"/>
        <v>41543.3</v>
      </c>
      <c r="J55" s="126">
        <f>J52+J43</f>
        <v>48678</v>
      </c>
      <c r="K55" s="82">
        <f t="shared" si="14"/>
        <v>117.17412916162174</v>
      </c>
      <c r="L55" s="82">
        <f t="shared" si="15"/>
        <v>90.5069751616196</v>
      </c>
    </row>
    <row r="56" spans="1:12" ht="12.75">
      <c r="A56" s="176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8"/>
    </row>
    <row r="57" spans="1:12" ht="12.75">
      <c r="A57" s="179" t="s">
        <v>247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1"/>
    </row>
    <row r="58" spans="1:12" ht="12.75">
      <c r="A58" s="80" t="s">
        <v>204</v>
      </c>
      <c r="B58" s="80"/>
      <c r="C58" s="81" t="s">
        <v>205</v>
      </c>
      <c r="D58" s="82">
        <f>D59+D61+D63+D65+D62+D67+D66+D60+D64</f>
        <v>33572.899999999994</v>
      </c>
      <c r="E58" s="82">
        <f aca="true" t="shared" si="20" ref="E58:J58">E59+E61+E63+E65+E62+E67+E66+E60+E64</f>
        <v>6455.4</v>
      </c>
      <c r="F58" s="82">
        <f t="shared" si="20"/>
        <v>9423.500000000002</v>
      </c>
      <c r="G58" s="82">
        <f t="shared" si="20"/>
        <v>6591.700000000001</v>
      </c>
      <c r="H58" s="82">
        <f t="shared" si="20"/>
        <v>11102.3</v>
      </c>
      <c r="I58" s="82">
        <f t="shared" si="20"/>
        <v>22470.6</v>
      </c>
      <c r="J58" s="82">
        <f t="shared" si="20"/>
        <v>25404.199999999997</v>
      </c>
      <c r="K58" s="82">
        <f>J58/I58*100</f>
        <v>113.05528112288945</v>
      </c>
      <c r="L58" s="82">
        <f>J58/D58*100</f>
        <v>75.66876856035672</v>
      </c>
    </row>
    <row r="59" spans="1:12" ht="12.75">
      <c r="A59" s="83" t="s">
        <v>206</v>
      </c>
      <c r="B59" s="83"/>
      <c r="C59" s="84" t="s">
        <v>207</v>
      </c>
      <c r="D59" s="85">
        <f aca="true" t="shared" si="21" ref="D59:D67">E59+F59+G59+H59</f>
        <v>17119.6</v>
      </c>
      <c r="E59" s="86">
        <f>3076.9+7.5+1</f>
        <v>3085.4</v>
      </c>
      <c r="F59" s="86">
        <f>4697.7+39+57</f>
        <v>4793.7</v>
      </c>
      <c r="G59" s="86">
        <f>3401+218</f>
        <v>3619</v>
      </c>
      <c r="H59" s="86">
        <f>6518.1+3.5+24-924.1</f>
        <v>5621.5</v>
      </c>
      <c r="I59" s="87">
        <f>E59+F59+G59</f>
        <v>11498.1</v>
      </c>
      <c r="J59" s="86">
        <v>13903.8</v>
      </c>
      <c r="K59" s="87">
        <f aca="true" t="shared" si="22" ref="K59:K69">J59/I59*100</f>
        <v>120.92258721006077</v>
      </c>
      <c r="L59" s="87">
        <f aca="true" t="shared" si="23" ref="L59:L71">J59/D59*100</f>
        <v>81.21568260940677</v>
      </c>
    </row>
    <row r="60" spans="1:12" ht="12.75">
      <c r="A60" s="88" t="s">
        <v>208</v>
      </c>
      <c r="B60" s="88"/>
      <c r="C60" s="84" t="s">
        <v>209</v>
      </c>
      <c r="D60" s="85">
        <f t="shared" si="21"/>
        <v>30</v>
      </c>
      <c r="E60" s="86"/>
      <c r="F60" s="86">
        <v>26.5</v>
      </c>
      <c r="G60" s="86"/>
      <c r="H60" s="86">
        <v>3.5</v>
      </c>
      <c r="I60" s="87">
        <f aca="true" t="shared" si="24" ref="I60:I67">E60+F60+G60</f>
        <v>26.5</v>
      </c>
      <c r="J60" s="86">
        <v>29.7</v>
      </c>
      <c r="K60" s="87">
        <f t="shared" si="22"/>
        <v>112.0754716981132</v>
      </c>
      <c r="L60" s="87">
        <f>J60/D60*100</f>
        <v>99</v>
      </c>
    </row>
    <row r="61" spans="1:12" ht="12.75">
      <c r="A61" s="88" t="s">
        <v>210</v>
      </c>
      <c r="B61" s="88"/>
      <c r="C61" s="84" t="s">
        <v>211</v>
      </c>
      <c r="D61" s="85">
        <f t="shared" si="21"/>
        <v>8054</v>
      </c>
      <c r="E61" s="86">
        <f>56.9+88.8+2231.6</f>
        <v>2377.2999999999997</v>
      </c>
      <c r="F61" s="86">
        <f>92+112.5+2390</f>
        <v>2594.5</v>
      </c>
      <c r="G61" s="86">
        <f>295.1+193+1170</f>
        <v>1658.1</v>
      </c>
      <c r="H61" s="86">
        <f>486+150.7+787.4</f>
        <v>1424.1</v>
      </c>
      <c r="I61" s="87">
        <f t="shared" si="24"/>
        <v>6629.9</v>
      </c>
      <c r="J61" s="86">
        <v>5791.9</v>
      </c>
      <c r="K61" s="87">
        <f t="shared" si="22"/>
        <v>87.36029201043756</v>
      </c>
      <c r="L61" s="87">
        <f t="shared" si="23"/>
        <v>71.91333498882543</v>
      </c>
    </row>
    <row r="62" spans="1:12" ht="12.75">
      <c r="A62" s="88" t="s">
        <v>212</v>
      </c>
      <c r="B62" s="88"/>
      <c r="C62" s="84" t="s">
        <v>213</v>
      </c>
      <c r="D62" s="85">
        <f t="shared" si="21"/>
        <v>7.6</v>
      </c>
      <c r="E62" s="86"/>
      <c r="F62" s="86"/>
      <c r="G62" s="86"/>
      <c r="H62" s="86">
        <v>7.6</v>
      </c>
      <c r="I62" s="87">
        <f t="shared" si="24"/>
        <v>0</v>
      </c>
      <c r="J62" s="86">
        <v>10.6</v>
      </c>
      <c r="K62" s="87"/>
      <c r="L62" s="87">
        <f t="shared" si="23"/>
        <v>139.47368421052633</v>
      </c>
    </row>
    <row r="63" spans="1:12" ht="24">
      <c r="A63" s="90" t="s">
        <v>216</v>
      </c>
      <c r="B63" s="91"/>
      <c r="C63" s="84" t="s">
        <v>217</v>
      </c>
      <c r="D63" s="85">
        <f t="shared" si="21"/>
        <v>6903.5</v>
      </c>
      <c r="E63" s="86">
        <f>933.3+8</f>
        <v>941.3</v>
      </c>
      <c r="F63" s="86">
        <v>1917.5</v>
      </c>
      <c r="G63" s="86">
        <f>890+9.5+154</f>
        <v>1053.5</v>
      </c>
      <c r="H63" s="86">
        <f>3060.2+20-89</f>
        <v>2991.2</v>
      </c>
      <c r="I63" s="87">
        <f t="shared" si="24"/>
        <v>3912.3</v>
      </c>
      <c r="J63" s="86">
        <v>3477.6</v>
      </c>
      <c r="K63" s="87">
        <f t="shared" si="22"/>
        <v>88.88888888888889</v>
      </c>
      <c r="L63" s="87">
        <f t="shared" si="23"/>
        <v>50.374447743898024</v>
      </c>
    </row>
    <row r="64" spans="1:12" ht="24">
      <c r="A64" s="93" t="s">
        <v>220</v>
      </c>
      <c r="B64" s="93"/>
      <c r="C64" s="84" t="s">
        <v>221</v>
      </c>
      <c r="D64" s="85">
        <f t="shared" si="21"/>
        <v>19.7</v>
      </c>
      <c r="E64" s="86"/>
      <c r="F64" s="86">
        <v>19.7</v>
      </c>
      <c r="G64" s="86"/>
      <c r="H64" s="86"/>
      <c r="I64" s="87">
        <f t="shared" si="24"/>
        <v>19.7</v>
      </c>
      <c r="J64" s="86">
        <v>19.7</v>
      </c>
      <c r="K64" s="87">
        <f>J64/I64*100</f>
        <v>100</v>
      </c>
      <c r="L64" s="87">
        <f>J64/D64*100</f>
        <v>100</v>
      </c>
    </row>
    <row r="65" spans="1:12" ht="24">
      <c r="A65" s="92" t="s">
        <v>222</v>
      </c>
      <c r="B65" s="92"/>
      <c r="C65" s="84" t="s">
        <v>223</v>
      </c>
      <c r="D65" s="85">
        <f t="shared" si="21"/>
        <v>840.5</v>
      </c>
      <c r="E65" s="86">
        <v>51.4</v>
      </c>
      <c r="F65" s="86">
        <f>69.5+2.1</f>
        <v>71.6</v>
      </c>
      <c r="G65" s="86">
        <f>259+2.1</f>
        <v>261.1</v>
      </c>
      <c r="H65" s="86">
        <f>49.6+2.8+404</f>
        <v>456.4</v>
      </c>
      <c r="I65" s="87">
        <f t="shared" si="24"/>
        <v>384.1</v>
      </c>
      <c r="J65" s="86">
        <v>879.7</v>
      </c>
      <c r="K65" s="87">
        <f t="shared" si="22"/>
        <v>229.02889872429054</v>
      </c>
      <c r="L65" s="87">
        <f t="shared" si="23"/>
        <v>104.66389054134444</v>
      </c>
    </row>
    <row r="66" spans="1:12" ht="12.75">
      <c r="A66" s="83" t="s">
        <v>226</v>
      </c>
      <c r="B66" s="83"/>
      <c r="C66" s="84" t="s">
        <v>227</v>
      </c>
      <c r="D66" s="85">
        <f t="shared" si="21"/>
        <v>598</v>
      </c>
      <c r="E66" s="86"/>
      <c r="F66" s="86"/>
      <c r="G66" s="86"/>
      <c r="H66" s="86">
        <v>598</v>
      </c>
      <c r="I66" s="87">
        <f t="shared" si="24"/>
        <v>0</v>
      </c>
      <c r="J66" s="86">
        <v>720.4</v>
      </c>
      <c r="K66" s="87"/>
      <c r="L66" s="87">
        <f t="shared" si="23"/>
        <v>120.46822742474916</v>
      </c>
    </row>
    <row r="67" spans="1:12" ht="12.75">
      <c r="A67" s="94" t="s">
        <v>228</v>
      </c>
      <c r="B67" s="95"/>
      <c r="C67" s="96" t="s">
        <v>229</v>
      </c>
      <c r="D67" s="85">
        <f t="shared" si="21"/>
        <v>0</v>
      </c>
      <c r="E67" s="86"/>
      <c r="F67" s="86"/>
      <c r="G67" s="86"/>
      <c r="H67" s="86"/>
      <c r="I67" s="87">
        <f t="shared" si="24"/>
        <v>0</v>
      </c>
      <c r="J67" s="86">
        <v>570.8</v>
      </c>
      <c r="K67" s="87"/>
      <c r="L67" s="87"/>
    </row>
    <row r="68" spans="1:12" ht="12.75">
      <c r="A68" s="80" t="s">
        <v>234</v>
      </c>
      <c r="B68" s="80"/>
      <c r="C68" s="97" t="s">
        <v>235</v>
      </c>
      <c r="D68" s="98">
        <f>D69+D70</f>
        <v>45862.700000000004</v>
      </c>
      <c r="E68" s="98">
        <f aca="true" t="shared" si="25" ref="E68:J68">E69+E70</f>
        <v>7993.5</v>
      </c>
      <c r="F68" s="98">
        <f t="shared" si="25"/>
        <v>23777.899999999998</v>
      </c>
      <c r="G68" s="98">
        <f t="shared" si="25"/>
        <v>7156</v>
      </c>
      <c r="H68" s="98">
        <f t="shared" si="25"/>
        <v>7126.100000000001</v>
      </c>
      <c r="I68" s="98">
        <f t="shared" si="25"/>
        <v>38927.4</v>
      </c>
      <c r="J68" s="98">
        <f t="shared" si="25"/>
        <v>41966.9</v>
      </c>
      <c r="K68" s="82">
        <f t="shared" si="22"/>
        <v>107.80812486834466</v>
      </c>
      <c r="L68" s="82">
        <f t="shared" si="23"/>
        <v>91.50551537523957</v>
      </c>
    </row>
    <row r="69" spans="1:12" ht="24">
      <c r="A69" s="99" t="s">
        <v>236</v>
      </c>
      <c r="B69" s="88"/>
      <c r="C69" s="100" t="s">
        <v>237</v>
      </c>
      <c r="D69" s="85">
        <v>45882.4</v>
      </c>
      <c r="E69" s="86">
        <v>7993.5</v>
      </c>
      <c r="F69" s="86">
        <v>23797.6</v>
      </c>
      <c r="G69" s="86">
        <v>7156</v>
      </c>
      <c r="H69" s="86">
        <f>2583.3+1942+70.5+212.3+1504.1+710.3+103.6</f>
        <v>7126.100000000001</v>
      </c>
      <c r="I69" s="87">
        <f>E69+F69+G69</f>
        <v>38947.1</v>
      </c>
      <c r="J69" s="86">
        <v>41986.6</v>
      </c>
      <c r="K69" s="87">
        <f t="shared" si="22"/>
        <v>107.80417540715483</v>
      </c>
      <c r="L69" s="87">
        <f t="shared" si="23"/>
        <v>91.50916255470507</v>
      </c>
    </row>
    <row r="70" spans="1:12" ht="36">
      <c r="A70" s="99" t="s">
        <v>242</v>
      </c>
      <c r="B70" s="121"/>
      <c r="C70" s="122" t="s">
        <v>243</v>
      </c>
      <c r="D70" s="85">
        <f>E70+F70+G70+H70</f>
        <v>-19.7</v>
      </c>
      <c r="E70" s="86"/>
      <c r="F70" s="86">
        <v>-19.7</v>
      </c>
      <c r="G70" s="86"/>
      <c r="H70" s="86"/>
      <c r="I70" s="87">
        <f>E70+F70+G70</f>
        <v>-19.7</v>
      </c>
      <c r="J70" s="86">
        <v>-19.7</v>
      </c>
      <c r="K70" s="87">
        <f>J70/I70*100</f>
        <v>100</v>
      </c>
      <c r="L70" s="87">
        <f>J70/D70*100</f>
        <v>100</v>
      </c>
    </row>
    <row r="71" spans="1:12" ht="12.75">
      <c r="A71" s="83"/>
      <c r="B71" s="110"/>
      <c r="C71" s="111" t="s">
        <v>244</v>
      </c>
      <c r="D71" s="112">
        <f>D68+D58</f>
        <v>79435.6</v>
      </c>
      <c r="E71" s="112">
        <f aca="true" t="shared" si="26" ref="E71:K71">E68+E58</f>
        <v>14448.9</v>
      </c>
      <c r="F71" s="112">
        <f t="shared" si="26"/>
        <v>33201.4</v>
      </c>
      <c r="G71" s="112">
        <f t="shared" si="26"/>
        <v>13747.7</v>
      </c>
      <c r="H71" s="112">
        <f t="shared" si="26"/>
        <v>18228.4</v>
      </c>
      <c r="I71" s="112">
        <f t="shared" si="26"/>
        <v>61398</v>
      </c>
      <c r="J71" s="112">
        <f t="shared" si="26"/>
        <v>67371.1</v>
      </c>
      <c r="K71" s="112">
        <f t="shared" si="26"/>
        <v>220.86340599123412</v>
      </c>
      <c r="L71" s="82">
        <f t="shared" si="23"/>
        <v>84.81222524913264</v>
      </c>
    </row>
    <row r="72" spans="1:12" ht="12.75">
      <c r="A72" s="176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8"/>
    </row>
    <row r="73" spans="1:12" ht="12.75">
      <c r="A73" s="179" t="s">
        <v>248</v>
      </c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1"/>
    </row>
    <row r="74" spans="1:12" ht="12.75">
      <c r="A74" s="80" t="s">
        <v>204</v>
      </c>
      <c r="B74" s="80"/>
      <c r="C74" s="81" t="s">
        <v>205</v>
      </c>
      <c r="D74" s="82">
        <f>D75+D76+D77+D78+D79+D80+D81+D82+D83</f>
        <v>22951.5</v>
      </c>
      <c r="E74" s="82">
        <f>E75+E76+E77+E78+E79+E80+E81+E82+E83+E84</f>
        <v>4614.8</v>
      </c>
      <c r="F74" s="82">
        <f>F75+F76+F77+F78+F79+F80+F81+F82+F83+F84</f>
        <v>5681.6</v>
      </c>
      <c r="G74" s="82">
        <f>G75+G76+G77+G78+G79+G80+G81+G82+G83+G84</f>
        <v>6465</v>
      </c>
      <c r="H74" s="82">
        <f>H75+H76+H77+H78+H79+H80+H81+H82+H83+H84</f>
        <v>6190.1</v>
      </c>
      <c r="I74" s="82">
        <f>I75+I76+I77+I78+I79+I80+I81+I82+I83+I84</f>
        <v>16761.4</v>
      </c>
      <c r="J74" s="82">
        <f>J75+J76+J77+J78+J79+J80+J81+J82+J83+J84+0.1</f>
        <v>20125.3</v>
      </c>
      <c r="K74" s="82">
        <f>J74/I74*100</f>
        <v>120.06932595129283</v>
      </c>
      <c r="L74" s="82">
        <f>J74/D74*100</f>
        <v>87.68620787312375</v>
      </c>
    </row>
    <row r="75" spans="1:12" ht="12.75">
      <c r="A75" s="83" t="s">
        <v>206</v>
      </c>
      <c r="B75" s="83"/>
      <c r="C75" s="84" t="s">
        <v>207</v>
      </c>
      <c r="D75" s="85">
        <f>E75+F75+G75+H75</f>
        <v>14620</v>
      </c>
      <c r="E75" s="86">
        <v>2959</v>
      </c>
      <c r="F75" s="86">
        <v>3400</v>
      </c>
      <c r="G75" s="86">
        <v>4000</v>
      </c>
      <c r="H75" s="86">
        <v>4261</v>
      </c>
      <c r="I75" s="87">
        <f>E75+F75+G75</f>
        <v>10359</v>
      </c>
      <c r="J75" s="86">
        <v>12509</v>
      </c>
      <c r="K75" s="87">
        <f>J75/I75*100</f>
        <v>120.75489912153682</v>
      </c>
      <c r="L75" s="87">
        <f>J75/D75*100</f>
        <v>85.56087551299589</v>
      </c>
    </row>
    <row r="76" spans="1:12" ht="12.75">
      <c r="A76" s="88" t="s">
        <v>208</v>
      </c>
      <c r="B76" s="88"/>
      <c r="C76" s="84" t="s">
        <v>209</v>
      </c>
      <c r="D76" s="85">
        <f>E76+F76+G76+H76</f>
        <v>0</v>
      </c>
      <c r="E76" s="86"/>
      <c r="F76" s="86"/>
      <c r="G76" s="86"/>
      <c r="H76" s="86"/>
      <c r="I76" s="87">
        <f aca="true" t="shared" si="27" ref="I76:I83">E76+F76+G76</f>
        <v>0</v>
      </c>
      <c r="J76" s="86"/>
      <c r="K76" s="87"/>
      <c r="L76" s="87"/>
    </row>
    <row r="77" spans="1:12" ht="12.75">
      <c r="A77" s="88" t="s">
        <v>210</v>
      </c>
      <c r="B77" s="88"/>
      <c r="C77" s="84" t="s">
        <v>211</v>
      </c>
      <c r="D77" s="85">
        <f aca="true" t="shared" si="28" ref="D77:D84">E77+F77+G77+H77</f>
        <v>873</v>
      </c>
      <c r="E77" s="86">
        <f>26+6+111</f>
        <v>143</v>
      </c>
      <c r="F77" s="86">
        <f>69+6+175</f>
        <v>250</v>
      </c>
      <c r="G77" s="86">
        <f>68+10+140-106</f>
        <v>112</v>
      </c>
      <c r="H77" s="86">
        <v>368</v>
      </c>
      <c r="I77" s="87">
        <f t="shared" si="27"/>
        <v>505</v>
      </c>
      <c r="J77" s="86">
        <v>1285.5</v>
      </c>
      <c r="K77" s="87">
        <f>J77/I77*100</f>
        <v>254.55445544554456</v>
      </c>
      <c r="L77" s="87">
        <f>J77/D77*100</f>
        <v>147.25085910652922</v>
      </c>
    </row>
    <row r="78" spans="1:12" ht="12.75">
      <c r="A78" s="88" t="s">
        <v>212</v>
      </c>
      <c r="B78" s="88"/>
      <c r="C78" s="84" t="s">
        <v>213</v>
      </c>
      <c r="D78" s="85">
        <f t="shared" si="28"/>
        <v>0</v>
      </c>
      <c r="E78" s="86"/>
      <c r="F78" s="86"/>
      <c r="G78" s="86"/>
      <c r="H78" s="86"/>
      <c r="I78" s="87">
        <f t="shared" si="27"/>
        <v>0</v>
      </c>
      <c r="J78" s="86"/>
      <c r="K78" s="87"/>
      <c r="L78" s="87"/>
    </row>
    <row r="79" spans="1:12" ht="24">
      <c r="A79" s="90" t="s">
        <v>216</v>
      </c>
      <c r="B79" s="91"/>
      <c r="C79" s="84" t="s">
        <v>217</v>
      </c>
      <c r="D79" s="85">
        <f t="shared" si="28"/>
        <v>5633</v>
      </c>
      <c r="E79" s="86">
        <f>760+396</f>
        <v>1156</v>
      </c>
      <c r="F79" s="86">
        <f>1160+503</f>
        <v>1663</v>
      </c>
      <c r="G79" s="86">
        <f>910+474+106</f>
        <v>1490</v>
      </c>
      <c r="H79" s="86">
        <f>870+454</f>
        <v>1324</v>
      </c>
      <c r="I79" s="87">
        <f t="shared" si="27"/>
        <v>4309</v>
      </c>
      <c r="J79" s="86">
        <v>4548</v>
      </c>
      <c r="K79" s="87">
        <f>J79/I79*100</f>
        <v>105.54653051752148</v>
      </c>
      <c r="L79" s="87">
        <f>J79/D79*100</f>
        <v>80.73850523699628</v>
      </c>
    </row>
    <row r="80" spans="1:12" ht="24">
      <c r="A80" s="93" t="s">
        <v>220</v>
      </c>
      <c r="B80" s="93"/>
      <c r="C80" s="84" t="s">
        <v>221</v>
      </c>
      <c r="D80" s="85">
        <f t="shared" si="28"/>
        <v>472</v>
      </c>
      <c r="E80" s="86">
        <v>98.8</v>
      </c>
      <c r="F80" s="86">
        <v>108</v>
      </c>
      <c r="G80" s="86">
        <f>62.1</f>
        <v>62.1</v>
      </c>
      <c r="H80" s="86">
        <v>203.1</v>
      </c>
      <c r="I80" s="87">
        <f t="shared" si="27"/>
        <v>268.90000000000003</v>
      </c>
      <c r="J80" s="86">
        <v>289.2</v>
      </c>
      <c r="K80" s="87">
        <f>J80/I80*100</f>
        <v>107.5492748233544</v>
      </c>
      <c r="L80" s="87">
        <f>J80/D80*100</f>
        <v>61.27118644067796</v>
      </c>
    </row>
    <row r="81" spans="1:12" ht="24">
      <c r="A81" s="92" t="s">
        <v>222</v>
      </c>
      <c r="B81" s="92"/>
      <c r="C81" s="84" t="s">
        <v>223</v>
      </c>
      <c r="D81" s="85">
        <f t="shared" si="28"/>
        <v>1353.5</v>
      </c>
      <c r="E81" s="86">
        <f>34+224</f>
        <v>258</v>
      </c>
      <c r="F81" s="86">
        <v>260.6</v>
      </c>
      <c r="G81" s="86">
        <f>34+126+640.9</f>
        <v>800.9</v>
      </c>
      <c r="H81" s="86">
        <v>34</v>
      </c>
      <c r="I81" s="87">
        <f t="shared" si="27"/>
        <v>1319.5</v>
      </c>
      <c r="J81" s="86">
        <v>1452.6</v>
      </c>
      <c r="K81" s="87">
        <f>J81/I81*100</f>
        <v>110.08715422508526</v>
      </c>
      <c r="L81" s="87">
        <f>J81/D81*100</f>
        <v>107.32175840413743</v>
      </c>
    </row>
    <row r="82" spans="1:12" ht="12.75">
      <c r="A82" s="83" t="s">
        <v>226</v>
      </c>
      <c r="B82" s="83"/>
      <c r="C82" s="84" t="s">
        <v>227</v>
      </c>
      <c r="D82" s="85">
        <f t="shared" si="28"/>
        <v>0</v>
      </c>
      <c r="E82" s="86"/>
      <c r="F82" s="86"/>
      <c r="G82" s="86"/>
      <c r="H82" s="86"/>
      <c r="I82" s="87">
        <f t="shared" si="27"/>
        <v>0</v>
      </c>
      <c r="J82" s="86"/>
      <c r="K82" s="82"/>
      <c r="L82" s="82"/>
    </row>
    <row r="83" spans="1:12" ht="12.75">
      <c r="A83" s="94" t="s">
        <v>228</v>
      </c>
      <c r="B83" s="95"/>
      <c r="C83" s="96" t="s">
        <v>229</v>
      </c>
      <c r="D83" s="85">
        <f t="shared" si="28"/>
        <v>0</v>
      </c>
      <c r="E83" s="86"/>
      <c r="F83" s="86"/>
      <c r="G83" s="86"/>
      <c r="H83" s="86"/>
      <c r="I83" s="87">
        <f t="shared" si="27"/>
        <v>0</v>
      </c>
      <c r="J83" s="86">
        <v>40.9</v>
      </c>
      <c r="K83" s="82"/>
      <c r="L83" s="82"/>
    </row>
    <row r="84" spans="1:12" ht="12.75">
      <c r="A84" s="94" t="s">
        <v>232</v>
      </c>
      <c r="B84" s="95"/>
      <c r="C84" s="96" t="s">
        <v>233</v>
      </c>
      <c r="D84" s="85">
        <f t="shared" si="28"/>
        <v>0</v>
      </c>
      <c r="E84" s="86"/>
      <c r="F84" s="86"/>
      <c r="G84" s="86"/>
      <c r="H84" s="86"/>
      <c r="I84" s="82">
        <f>E84</f>
        <v>0</v>
      </c>
      <c r="J84" s="86"/>
      <c r="K84" s="82"/>
      <c r="L84" s="82"/>
    </row>
    <row r="85" spans="1:12" ht="12.75">
      <c r="A85" s="80" t="s">
        <v>234</v>
      </c>
      <c r="B85" s="80"/>
      <c r="C85" s="97" t="s">
        <v>235</v>
      </c>
      <c r="D85" s="98">
        <f aca="true" t="shared" si="29" ref="D85:J85">D86+D87</f>
        <v>92924.1</v>
      </c>
      <c r="E85" s="98">
        <f t="shared" si="29"/>
        <v>18252.7</v>
      </c>
      <c r="F85" s="98">
        <f t="shared" si="29"/>
        <v>28043.6</v>
      </c>
      <c r="G85" s="98">
        <f t="shared" si="29"/>
        <v>31081.2</v>
      </c>
      <c r="H85" s="98">
        <f t="shared" si="29"/>
        <v>15452.6</v>
      </c>
      <c r="I85" s="98">
        <f t="shared" si="29"/>
        <v>77377.5</v>
      </c>
      <c r="J85" s="98">
        <f t="shared" si="29"/>
        <v>89203.7</v>
      </c>
      <c r="K85" s="82">
        <f>J85/I85*100</f>
        <v>115.28377112209623</v>
      </c>
      <c r="L85" s="82">
        <f>J85/D85*100</f>
        <v>95.99630235859156</v>
      </c>
    </row>
    <row r="86" spans="1:12" ht="24">
      <c r="A86" s="99" t="s">
        <v>236</v>
      </c>
      <c r="B86" s="88"/>
      <c r="C86" s="100" t="s">
        <v>237</v>
      </c>
      <c r="D86" s="85">
        <v>84874.1</v>
      </c>
      <c r="E86" s="86">
        <v>18252.7</v>
      </c>
      <c r="F86" s="86">
        <v>23023.6</v>
      </c>
      <c r="G86" s="86">
        <v>28051.2</v>
      </c>
      <c r="H86" s="86">
        <f>11181.3+2746.2+1525.1</f>
        <v>15452.6</v>
      </c>
      <c r="I86" s="87">
        <f>E86+F86+G86</f>
        <v>69327.5</v>
      </c>
      <c r="J86" s="86">
        <v>81155.3</v>
      </c>
      <c r="K86" s="87">
        <f>J86/I86*100</f>
        <v>117.0607623237532</v>
      </c>
      <c r="L86" s="87">
        <f>J86/D86*100</f>
        <v>95.61845132967535</v>
      </c>
    </row>
    <row r="87" spans="1:12" ht="12.75">
      <c r="A87" s="101" t="s">
        <v>238</v>
      </c>
      <c r="B87" s="101"/>
      <c r="C87" s="102" t="s">
        <v>239</v>
      </c>
      <c r="D87" s="85">
        <f>E87+F87+G87+H87</f>
        <v>8050</v>
      </c>
      <c r="E87" s="86"/>
      <c r="F87" s="86">
        <f>5020</f>
        <v>5020</v>
      </c>
      <c r="G87" s="86">
        <v>3030</v>
      </c>
      <c r="H87" s="86"/>
      <c r="I87" s="87">
        <f>E87+F87+G87</f>
        <v>8050</v>
      </c>
      <c r="J87" s="86">
        <v>8048.4</v>
      </c>
      <c r="K87" s="87">
        <f>J87/I87*100</f>
        <v>99.98012422360249</v>
      </c>
      <c r="L87" s="87">
        <f>J87/D87*100</f>
        <v>99.98012422360249</v>
      </c>
    </row>
    <row r="88" spans="1:12" ht="12.75">
      <c r="A88" s="83"/>
      <c r="B88" s="110"/>
      <c r="C88" s="111" t="s">
        <v>244</v>
      </c>
      <c r="D88" s="112">
        <f aca="true" t="shared" si="30" ref="D88:J88">D85+D74</f>
        <v>115875.6</v>
      </c>
      <c r="E88" s="112">
        <f t="shared" si="30"/>
        <v>22867.5</v>
      </c>
      <c r="F88" s="112">
        <f t="shared" si="30"/>
        <v>33725.2</v>
      </c>
      <c r="G88" s="112">
        <f t="shared" si="30"/>
        <v>37546.2</v>
      </c>
      <c r="H88" s="112">
        <f t="shared" si="30"/>
        <v>21642.7</v>
      </c>
      <c r="I88" s="112">
        <f t="shared" si="30"/>
        <v>94138.9</v>
      </c>
      <c r="J88" s="112">
        <f t="shared" si="30"/>
        <v>109329</v>
      </c>
      <c r="K88" s="82">
        <f>J88/I88*100</f>
        <v>116.13583757617734</v>
      </c>
      <c r="L88" s="82">
        <f>J88/D88*100</f>
        <v>94.35032051613972</v>
      </c>
    </row>
    <row r="89" spans="1:12" ht="12.75">
      <c r="A89" s="176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8"/>
    </row>
    <row r="90" spans="1:12" ht="12.75">
      <c r="A90" s="179" t="s">
        <v>249</v>
      </c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1"/>
    </row>
    <row r="91" spans="1:12" ht="12.75">
      <c r="A91" s="113" t="s">
        <v>204</v>
      </c>
      <c r="B91" s="113"/>
      <c r="C91" s="81" t="s">
        <v>205</v>
      </c>
      <c r="D91" s="114">
        <f aca="true" t="shared" si="31" ref="D91:I91">D92+D93+D97+D94+D95+D98+D96</f>
        <v>2487.5</v>
      </c>
      <c r="E91" s="114">
        <f t="shared" si="31"/>
        <v>366.3</v>
      </c>
      <c r="F91" s="114">
        <f t="shared" si="31"/>
        <v>647.6</v>
      </c>
      <c r="G91" s="114">
        <f t="shared" si="31"/>
        <v>621.1</v>
      </c>
      <c r="H91" s="114">
        <f t="shared" si="31"/>
        <v>397.7</v>
      </c>
      <c r="I91" s="114">
        <f t="shared" si="31"/>
        <v>1635.0000000000002</v>
      </c>
      <c r="J91" s="114">
        <f>J92+J93+J97+J94+J95+J98+J96+0.1</f>
        <v>2330.4999999999995</v>
      </c>
      <c r="K91" s="82">
        <f>J91/I91*100</f>
        <v>142.53822629969414</v>
      </c>
      <c r="L91" s="82">
        <f>J91/D91*100</f>
        <v>93.68844221105526</v>
      </c>
    </row>
    <row r="92" spans="1:12" ht="12.75">
      <c r="A92" s="83" t="s">
        <v>206</v>
      </c>
      <c r="B92" s="83"/>
      <c r="C92" s="84" t="s">
        <v>207</v>
      </c>
      <c r="D92" s="85">
        <v>2306.7</v>
      </c>
      <c r="E92" s="86">
        <v>323.6</v>
      </c>
      <c r="F92" s="86">
        <f>323.6+250</f>
        <v>573.6</v>
      </c>
      <c r="G92" s="86">
        <f>323.6+250</f>
        <v>573.6</v>
      </c>
      <c r="H92" s="86">
        <v>323.7</v>
      </c>
      <c r="I92" s="87">
        <f>E92+F92+G92</f>
        <v>1470.8000000000002</v>
      </c>
      <c r="J92" s="86">
        <v>2162.7</v>
      </c>
      <c r="K92" s="87">
        <f>J92/I92*100</f>
        <v>147.04242589067172</v>
      </c>
      <c r="L92" s="87">
        <f aca="true" t="shared" si="32" ref="L92:L102">J92/D92*100</f>
        <v>93.75731564572766</v>
      </c>
    </row>
    <row r="93" spans="1:12" ht="12.75">
      <c r="A93" s="88" t="s">
        <v>210</v>
      </c>
      <c r="B93" s="88"/>
      <c r="C93" s="84" t="s">
        <v>211</v>
      </c>
      <c r="D93" s="85">
        <v>32</v>
      </c>
      <c r="E93" s="86">
        <v>21.5</v>
      </c>
      <c r="F93" s="86">
        <v>21.5</v>
      </c>
      <c r="G93" s="86">
        <v>21.5</v>
      </c>
      <c r="H93" s="86">
        <v>21.5</v>
      </c>
      <c r="I93" s="87">
        <f aca="true" t="shared" si="33" ref="I93:I98">E93+F93+G93</f>
        <v>64.5</v>
      </c>
      <c r="J93" s="86">
        <v>35.7</v>
      </c>
      <c r="K93" s="87">
        <f>J93/I93*100</f>
        <v>55.348837209302324</v>
      </c>
      <c r="L93" s="87">
        <f t="shared" si="32"/>
        <v>111.56250000000001</v>
      </c>
    </row>
    <row r="94" spans="1:12" ht="12.75">
      <c r="A94" s="88" t="s">
        <v>212</v>
      </c>
      <c r="B94" s="88"/>
      <c r="C94" s="84" t="s">
        <v>213</v>
      </c>
      <c r="D94" s="85">
        <v>2</v>
      </c>
      <c r="E94" s="86">
        <v>1</v>
      </c>
      <c r="F94" s="86">
        <v>3</v>
      </c>
      <c r="G94" s="86">
        <v>3</v>
      </c>
      <c r="H94" s="86">
        <v>3</v>
      </c>
      <c r="I94" s="87">
        <f t="shared" si="33"/>
        <v>7</v>
      </c>
      <c r="J94" s="86"/>
      <c r="K94" s="87">
        <f>J94/I94*100</f>
        <v>0</v>
      </c>
      <c r="L94" s="87">
        <f t="shared" si="32"/>
        <v>0</v>
      </c>
    </row>
    <row r="95" spans="1:12" ht="24">
      <c r="A95" s="90" t="s">
        <v>216</v>
      </c>
      <c r="B95" s="91"/>
      <c r="C95" s="84" t="s">
        <v>217</v>
      </c>
      <c r="D95" s="85">
        <f>E95+F95+G95+H95</f>
        <v>114.5</v>
      </c>
      <c r="E95" s="86">
        <v>15</v>
      </c>
      <c r="F95" s="86">
        <f>15+28</f>
        <v>43</v>
      </c>
      <c r="G95" s="86">
        <v>15</v>
      </c>
      <c r="H95" s="86">
        <f>15+26.5</f>
        <v>41.5</v>
      </c>
      <c r="I95" s="87">
        <f t="shared" si="33"/>
        <v>73</v>
      </c>
      <c r="J95" s="86">
        <v>100</v>
      </c>
      <c r="K95" s="87">
        <f>J95/I95*100</f>
        <v>136.986301369863</v>
      </c>
      <c r="L95" s="87">
        <f t="shared" si="32"/>
        <v>87.33624454148472</v>
      </c>
    </row>
    <row r="96" spans="1:12" ht="24">
      <c r="A96" s="93" t="s">
        <v>220</v>
      </c>
      <c r="B96" s="93"/>
      <c r="C96" s="84" t="s">
        <v>221</v>
      </c>
      <c r="D96" s="85">
        <v>24.8</v>
      </c>
      <c r="E96" s="86"/>
      <c r="F96" s="86"/>
      <c r="G96" s="86"/>
      <c r="H96" s="86"/>
      <c r="I96" s="87">
        <f t="shared" si="33"/>
        <v>0</v>
      </c>
      <c r="J96" s="86">
        <v>24.8</v>
      </c>
      <c r="K96" s="87"/>
      <c r="L96" s="87"/>
    </row>
    <row r="97" spans="1:12" ht="24">
      <c r="A97" s="93" t="s">
        <v>222</v>
      </c>
      <c r="B97" s="93"/>
      <c r="C97" s="84" t="s">
        <v>223</v>
      </c>
      <c r="D97" s="85">
        <v>7.5</v>
      </c>
      <c r="E97" s="86">
        <f>0.1+5.1</f>
        <v>5.199999999999999</v>
      </c>
      <c r="F97" s="86">
        <f>0.3+6.2</f>
        <v>6.5</v>
      </c>
      <c r="G97" s="86">
        <f>0.3+7.7</f>
        <v>8</v>
      </c>
      <c r="H97" s="86">
        <f>0.3+7.7</f>
        <v>8</v>
      </c>
      <c r="I97" s="87">
        <f t="shared" si="33"/>
        <v>19.7</v>
      </c>
      <c r="J97" s="86">
        <v>7.2</v>
      </c>
      <c r="K97" s="87">
        <f>J97/I97*100</f>
        <v>36.548223350253814</v>
      </c>
      <c r="L97" s="87">
        <f t="shared" si="32"/>
        <v>96.00000000000001</v>
      </c>
    </row>
    <row r="98" spans="1:12" ht="12.75">
      <c r="A98" s="93" t="s">
        <v>228</v>
      </c>
      <c r="B98" s="127"/>
      <c r="C98" s="96" t="s">
        <v>229</v>
      </c>
      <c r="D98" s="85">
        <f>E98+F98+G98+H98</f>
        <v>0</v>
      </c>
      <c r="E98" s="86"/>
      <c r="F98" s="86"/>
      <c r="G98" s="86"/>
      <c r="H98" s="86"/>
      <c r="I98" s="87">
        <f t="shared" si="33"/>
        <v>0</v>
      </c>
      <c r="J98" s="86"/>
      <c r="K98" s="82" t="e">
        <f>J98/I98*100</f>
        <v>#DIV/0!</v>
      </c>
      <c r="L98" s="82"/>
    </row>
    <row r="99" spans="1:12" ht="12.75">
      <c r="A99" s="113" t="s">
        <v>234</v>
      </c>
      <c r="B99" s="113"/>
      <c r="C99" s="97" t="s">
        <v>235</v>
      </c>
      <c r="D99" s="98">
        <f>D100+D101</f>
        <v>33940.8</v>
      </c>
      <c r="E99" s="98">
        <f aca="true" t="shared" si="34" ref="E99:K99">E100+E101</f>
        <v>12354.000000000002</v>
      </c>
      <c r="F99" s="98">
        <f t="shared" si="34"/>
        <v>9550.6</v>
      </c>
      <c r="G99" s="98">
        <f t="shared" si="34"/>
        <v>5739.6</v>
      </c>
      <c r="H99" s="98">
        <f t="shared" si="34"/>
        <v>6309.7</v>
      </c>
      <c r="I99" s="98">
        <f t="shared" si="34"/>
        <v>27644.200000000004</v>
      </c>
      <c r="J99" s="98">
        <f t="shared" si="34"/>
        <v>32968.7</v>
      </c>
      <c r="K99" s="98">
        <f t="shared" si="34"/>
        <v>221.60548932406002</v>
      </c>
      <c r="L99" s="82">
        <f t="shared" si="32"/>
        <v>97.13589544147455</v>
      </c>
    </row>
    <row r="100" spans="1:12" ht="24">
      <c r="A100" s="99" t="s">
        <v>236</v>
      </c>
      <c r="B100" s="88"/>
      <c r="C100" s="100" t="s">
        <v>237</v>
      </c>
      <c r="D100" s="85">
        <v>30940.8</v>
      </c>
      <c r="E100" s="86">
        <f>3618.8+1550.7+3641.6+15+144+8.2+15+360.7</f>
        <v>9354.000000000002</v>
      </c>
      <c r="F100" s="86">
        <f>2067.5+3618.8+119.2+250+298.7+3196.4</f>
        <v>9550.6</v>
      </c>
      <c r="G100" s="86">
        <f>2067.5+3618.8+53.3</f>
        <v>5739.6</v>
      </c>
      <c r="H100" s="86">
        <f>2067.5+3618.9+644.8-21.5</f>
        <v>6309.7</v>
      </c>
      <c r="I100" s="87">
        <f>E100+F100+G100</f>
        <v>24644.200000000004</v>
      </c>
      <c r="J100" s="86">
        <v>29968.7</v>
      </c>
      <c r="K100" s="87">
        <f>J100/I100*100</f>
        <v>121.60548932406002</v>
      </c>
      <c r="L100" s="87">
        <f t="shared" si="32"/>
        <v>96.85819371186267</v>
      </c>
    </row>
    <row r="101" spans="1:12" ht="12.75">
      <c r="A101" s="101" t="s">
        <v>238</v>
      </c>
      <c r="B101" s="101"/>
      <c r="C101" s="102" t="s">
        <v>239</v>
      </c>
      <c r="D101" s="85">
        <f>E101+F101+G101+H101</f>
        <v>3000</v>
      </c>
      <c r="E101" s="86">
        <v>3000</v>
      </c>
      <c r="F101" s="86"/>
      <c r="G101" s="86"/>
      <c r="H101" s="86"/>
      <c r="I101" s="87">
        <f>E101+F101+G101</f>
        <v>3000</v>
      </c>
      <c r="J101" s="86">
        <v>3000</v>
      </c>
      <c r="K101" s="87">
        <f>J101/I101*100</f>
        <v>100</v>
      </c>
      <c r="L101" s="87">
        <f>J101/D101*100</f>
        <v>100</v>
      </c>
    </row>
    <row r="102" spans="1:12" ht="12.75">
      <c r="A102" s="83"/>
      <c r="B102" s="110"/>
      <c r="C102" s="111" t="s">
        <v>244</v>
      </c>
      <c r="D102" s="112">
        <f>D99+D91</f>
        <v>36428.3</v>
      </c>
      <c r="E102" s="112">
        <f aca="true" t="shared" si="35" ref="E102:K102">E99+E91</f>
        <v>12720.300000000001</v>
      </c>
      <c r="F102" s="112">
        <f t="shared" si="35"/>
        <v>10198.2</v>
      </c>
      <c r="G102" s="112">
        <f t="shared" si="35"/>
        <v>6360.700000000001</v>
      </c>
      <c r="H102" s="112">
        <f t="shared" si="35"/>
        <v>6707.4</v>
      </c>
      <c r="I102" s="112">
        <f t="shared" si="35"/>
        <v>29279.200000000004</v>
      </c>
      <c r="J102" s="112">
        <f t="shared" si="35"/>
        <v>35299.2</v>
      </c>
      <c r="K102" s="112">
        <f t="shared" si="35"/>
        <v>364.14371562375413</v>
      </c>
      <c r="L102" s="82">
        <f t="shared" si="32"/>
        <v>96.9004867095088</v>
      </c>
    </row>
    <row r="103" spans="1:12" ht="12.75">
      <c r="A103" s="176"/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8"/>
    </row>
    <row r="104" spans="1:12" ht="12.75">
      <c r="A104" s="179" t="s">
        <v>250</v>
      </c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1"/>
    </row>
    <row r="105" spans="1:12" ht="12.75">
      <c r="A105" s="80" t="s">
        <v>204</v>
      </c>
      <c r="B105" s="80"/>
      <c r="C105" s="81" t="s">
        <v>205</v>
      </c>
      <c r="D105" s="82">
        <f aca="true" t="shared" si="36" ref="D105:I105">D106+D107+D111+D108+D109+D112+D110+D113</f>
        <v>1237</v>
      </c>
      <c r="E105" s="82">
        <f t="shared" si="36"/>
        <v>165.7</v>
      </c>
      <c r="F105" s="82">
        <f t="shared" si="36"/>
        <v>302.1</v>
      </c>
      <c r="G105" s="82">
        <f t="shared" si="36"/>
        <v>361.09999999999997</v>
      </c>
      <c r="H105" s="82">
        <f t="shared" si="36"/>
        <v>408.1</v>
      </c>
      <c r="I105" s="82">
        <f t="shared" si="36"/>
        <v>828.9</v>
      </c>
      <c r="J105" s="82">
        <f>J106+J107+J111+J108+J109+J112+J110+J113</f>
        <v>1250.5</v>
      </c>
      <c r="K105" s="82">
        <f>J105/I105*100</f>
        <v>150.86258897333818</v>
      </c>
      <c r="L105" s="82">
        <f>J105/D105*100</f>
        <v>101.09135004042038</v>
      </c>
    </row>
    <row r="106" spans="1:12" ht="12.75">
      <c r="A106" s="83" t="s">
        <v>206</v>
      </c>
      <c r="B106" s="83"/>
      <c r="C106" s="84" t="s">
        <v>207</v>
      </c>
      <c r="D106" s="85">
        <f aca="true" t="shared" si="37" ref="D106:D113">E106+F106+G106+H106</f>
        <v>844</v>
      </c>
      <c r="E106" s="86">
        <v>129.6</v>
      </c>
      <c r="F106" s="86">
        <v>223.6</v>
      </c>
      <c r="G106" s="86">
        <v>198.2</v>
      </c>
      <c r="H106" s="86">
        <v>292.6</v>
      </c>
      <c r="I106" s="87">
        <f>E106+F106+G106</f>
        <v>551.4</v>
      </c>
      <c r="J106" s="86">
        <v>897.2</v>
      </c>
      <c r="K106" s="87">
        <f aca="true" t="shared" si="38" ref="K106:K116">J106/I106*100</f>
        <v>162.71309394269136</v>
      </c>
      <c r="L106" s="87">
        <f aca="true" t="shared" si="39" ref="L106:L116">J106/D106*100</f>
        <v>106.30331753554503</v>
      </c>
    </row>
    <row r="107" spans="1:12" ht="12.75">
      <c r="A107" s="88" t="s">
        <v>210</v>
      </c>
      <c r="B107" s="88"/>
      <c r="C107" s="84" t="s">
        <v>211</v>
      </c>
      <c r="D107" s="85">
        <f t="shared" si="37"/>
        <v>88</v>
      </c>
      <c r="E107" s="86">
        <f>0.4+3.8+6.6</f>
        <v>10.8</v>
      </c>
      <c r="F107" s="86">
        <f>2.1+6.1+14.2</f>
        <v>22.4</v>
      </c>
      <c r="G107" s="86">
        <f>3.6+12.5+14.1+3</f>
        <v>33.2</v>
      </c>
      <c r="H107" s="86">
        <f>7.7+2.8+11.1</f>
        <v>21.6</v>
      </c>
      <c r="I107" s="87">
        <f aca="true" t="shared" si="40" ref="I107:I113">E107+F107+G107</f>
        <v>66.4</v>
      </c>
      <c r="J107" s="86">
        <v>50.5</v>
      </c>
      <c r="K107" s="87">
        <f t="shared" si="38"/>
        <v>76.05421686746988</v>
      </c>
      <c r="L107" s="87">
        <f t="shared" si="39"/>
        <v>57.38636363636363</v>
      </c>
    </row>
    <row r="108" spans="1:12" ht="12.75">
      <c r="A108" s="88" t="s">
        <v>212</v>
      </c>
      <c r="B108" s="88"/>
      <c r="C108" s="84" t="s">
        <v>213</v>
      </c>
      <c r="D108" s="85">
        <f t="shared" si="37"/>
        <v>36</v>
      </c>
      <c r="E108" s="86">
        <v>5.6</v>
      </c>
      <c r="F108" s="86">
        <v>2</v>
      </c>
      <c r="G108" s="86">
        <f>12.5+5</f>
        <v>17.5</v>
      </c>
      <c r="H108" s="86">
        <v>10.9</v>
      </c>
      <c r="I108" s="87">
        <f t="shared" si="40"/>
        <v>25.1</v>
      </c>
      <c r="J108" s="86">
        <v>26.1</v>
      </c>
      <c r="K108" s="87">
        <f t="shared" si="38"/>
        <v>103.98406374501991</v>
      </c>
      <c r="L108" s="87">
        <f t="shared" si="39"/>
        <v>72.50000000000001</v>
      </c>
    </row>
    <row r="109" spans="1:12" ht="24">
      <c r="A109" s="90" t="s">
        <v>216</v>
      </c>
      <c r="B109" s="91"/>
      <c r="C109" s="84" t="s">
        <v>217</v>
      </c>
      <c r="D109" s="85">
        <f t="shared" si="37"/>
        <v>184</v>
      </c>
      <c r="E109" s="86">
        <f>2.2</f>
        <v>2.2</v>
      </c>
      <c r="F109" s="86">
        <f>35.8</f>
        <v>35.8</v>
      </c>
      <c r="G109" s="86">
        <f>53.1+0.4+28</f>
        <v>81.5</v>
      </c>
      <c r="H109" s="86">
        <f>55.6+8.9</f>
        <v>64.5</v>
      </c>
      <c r="I109" s="87">
        <f t="shared" si="40"/>
        <v>119.5</v>
      </c>
      <c r="J109" s="86">
        <v>138.1</v>
      </c>
      <c r="K109" s="87">
        <f t="shared" si="38"/>
        <v>115.56485355648536</v>
      </c>
      <c r="L109" s="87">
        <f t="shared" si="39"/>
        <v>75.05434782608695</v>
      </c>
    </row>
    <row r="110" spans="1:12" ht="24">
      <c r="A110" s="93" t="s">
        <v>220</v>
      </c>
      <c r="B110" s="93"/>
      <c r="C110" s="84" t="s">
        <v>221</v>
      </c>
      <c r="D110" s="85">
        <f t="shared" si="37"/>
        <v>70</v>
      </c>
      <c r="E110" s="86">
        <v>17.5</v>
      </c>
      <c r="F110" s="86">
        <v>17.5</v>
      </c>
      <c r="G110" s="86">
        <v>17.5</v>
      </c>
      <c r="H110" s="86">
        <v>17.5</v>
      </c>
      <c r="I110" s="87">
        <f t="shared" si="40"/>
        <v>52.5</v>
      </c>
      <c r="J110" s="86">
        <v>90</v>
      </c>
      <c r="K110" s="87">
        <f t="shared" si="38"/>
        <v>171.42857142857142</v>
      </c>
      <c r="L110" s="87">
        <f t="shared" si="39"/>
        <v>128.57142857142858</v>
      </c>
    </row>
    <row r="111" spans="1:12" ht="24">
      <c r="A111" s="92" t="s">
        <v>222</v>
      </c>
      <c r="B111" s="92"/>
      <c r="C111" s="84" t="s">
        <v>223</v>
      </c>
      <c r="D111" s="85">
        <f t="shared" si="37"/>
        <v>15</v>
      </c>
      <c r="E111" s="86"/>
      <c r="F111" s="86">
        <v>0.8</v>
      </c>
      <c r="G111" s="86">
        <v>13.2</v>
      </c>
      <c r="H111" s="86">
        <v>1</v>
      </c>
      <c r="I111" s="87">
        <f t="shared" si="40"/>
        <v>14</v>
      </c>
      <c r="J111" s="86">
        <v>14.1</v>
      </c>
      <c r="K111" s="87">
        <f t="shared" si="38"/>
        <v>100.71428571428571</v>
      </c>
      <c r="L111" s="87">
        <f t="shared" si="39"/>
        <v>94</v>
      </c>
    </row>
    <row r="112" spans="1:12" ht="12.75">
      <c r="A112" s="83" t="s">
        <v>226</v>
      </c>
      <c r="B112" s="83"/>
      <c r="C112" s="84" t="s">
        <v>227</v>
      </c>
      <c r="D112" s="85">
        <f t="shared" si="37"/>
        <v>0</v>
      </c>
      <c r="E112" s="86"/>
      <c r="F112" s="86"/>
      <c r="G112" s="86"/>
      <c r="H112" s="86"/>
      <c r="I112" s="87">
        <f t="shared" si="40"/>
        <v>0</v>
      </c>
      <c r="J112" s="86"/>
      <c r="K112" s="87"/>
      <c r="L112" s="87"/>
    </row>
    <row r="113" spans="1:12" ht="12.75">
      <c r="A113" s="92" t="s">
        <v>228</v>
      </c>
      <c r="B113" s="127"/>
      <c r="C113" s="96" t="s">
        <v>229</v>
      </c>
      <c r="D113" s="85">
        <f t="shared" si="37"/>
        <v>0</v>
      </c>
      <c r="E113" s="86"/>
      <c r="F113" s="86"/>
      <c r="G113" s="86"/>
      <c r="H113" s="86"/>
      <c r="I113" s="87">
        <f t="shared" si="40"/>
        <v>0</v>
      </c>
      <c r="J113" s="86">
        <v>34.5</v>
      </c>
      <c r="K113" s="87"/>
      <c r="L113" s="87"/>
    </row>
    <row r="114" spans="1:12" ht="12.75">
      <c r="A114" s="80" t="s">
        <v>234</v>
      </c>
      <c r="B114" s="80"/>
      <c r="C114" s="97" t="s">
        <v>235</v>
      </c>
      <c r="D114" s="98">
        <f>D115</f>
        <v>37627</v>
      </c>
      <c r="E114" s="98">
        <f aca="true" t="shared" si="41" ref="E114:K114">E115</f>
        <v>7019.1</v>
      </c>
      <c r="F114" s="98">
        <f t="shared" si="41"/>
        <v>12685.300000000001</v>
      </c>
      <c r="G114" s="98">
        <f t="shared" si="41"/>
        <v>8999</v>
      </c>
      <c r="H114" s="98">
        <f t="shared" si="41"/>
        <v>8841</v>
      </c>
      <c r="I114" s="98">
        <f t="shared" si="41"/>
        <v>28703.4</v>
      </c>
      <c r="J114" s="98">
        <f t="shared" si="41"/>
        <v>35777.5</v>
      </c>
      <c r="K114" s="98">
        <f t="shared" si="41"/>
        <v>124.64551237832451</v>
      </c>
      <c r="L114" s="82">
        <f t="shared" si="39"/>
        <v>95.08464666330029</v>
      </c>
    </row>
    <row r="115" spans="1:12" ht="24">
      <c r="A115" s="99" t="s">
        <v>236</v>
      </c>
      <c r="B115" s="88"/>
      <c r="C115" s="100" t="s">
        <v>237</v>
      </c>
      <c r="D115" s="85">
        <v>37627</v>
      </c>
      <c r="E115" s="86">
        <f>1759.3+4077.6+510.1+36.7+6+28.8+100+27+35+438.6</f>
        <v>7019.1</v>
      </c>
      <c r="F115" s="86">
        <f>9777.7+2907.6</f>
        <v>12685.300000000001</v>
      </c>
      <c r="G115" s="86">
        <f>8800+37.3+161.7</f>
        <v>8999</v>
      </c>
      <c r="H115" s="86">
        <f>2023.2+4689.3+586.6+42.2+6.9+33.1+115+474.9+582.1+287.7</f>
        <v>8841</v>
      </c>
      <c r="I115" s="87">
        <f>E115+F115+G115</f>
        <v>28703.4</v>
      </c>
      <c r="J115" s="86">
        <v>35777.5</v>
      </c>
      <c r="K115" s="87">
        <f t="shared" si="38"/>
        <v>124.64551237832451</v>
      </c>
      <c r="L115" s="87">
        <f t="shared" si="39"/>
        <v>95.08464666330029</v>
      </c>
    </row>
    <row r="116" spans="1:12" ht="12.75">
      <c r="A116" s="83"/>
      <c r="B116" s="110"/>
      <c r="C116" s="111" t="s">
        <v>244</v>
      </c>
      <c r="D116" s="112">
        <f>D114+D105</f>
        <v>38864</v>
      </c>
      <c r="E116" s="112">
        <f aca="true" t="shared" si="42" ref="E116:J116">E114+E105</f>
        <v>7184.8</v>
      </c>
      <c r="F116" s="112">
        <f t="shared" si="42"/>
        <v>12987.400000000001</v>
      </c>
      <c r="G116" s="112">
        <f t="shared" si="42"/>
        <v>9360.1</v>
      </c>
      <c r="H116" s="112">
        <f t="shared" si="42"/>
        <v>9249.1</v>
      </c>
      <c r="I116" s="112">
        <f t="shared" si="42"/>
        <v>29532.300000000003</v>
      </c>
      <c r="J116" s="112">
        <f t="shared" si="42"/>
        <v>37028</v>
      </c>
      <c r="K116" s="82">
        <f t="shared" si="38"/>
        <v>125.38136210183426</v>
      </c>
      <c r="L116" s="82">
        <f t="shared" si="39"/>
        <v>95.27583367641004</v>
      </c>
    </row>
    <row r="117" spans="1:12" ht="12.75">
      <c r="A117" s="176"/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8"/>
    </row>
    <row r="118" spans="1:12" ht="12.75">
      <c r="A118" s="179" t="s">
        <v>251</v>
      </c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1"/>
    </row>
    <row r="119" spans="1:12" ht="12.75">
      <c r="A119" s="80" t="s">
        <v>204</v>
      </c>
      <c r="B119" s="80"/>
      <c r="C119" s="81" t="s">
        <v>205</v>
      </c>
      <c r="D119" s="82">
        <f aca="true" t="shared" si="43" ref="D119:J119">D120+D121+D122+D123+D125+D127+D124+D126</f>
        <v>2352.5</v>
      </c>
      <c r="E119" s="82">
        <f t="shared" si="43"/>
        <v>470.49999999999994</v>
      </c>
      <c r="F119" s="82">
        <f t="shared" si="43"/>
        <v>705.8000000000001</v>
      </c>
      <c r="G119" s="82">
        <f t="shared" si="43"/>
        <v>635.0999999999999</v>
      </c>
      <c r="H119" s="82">
        <f t="shared" si="43"/>
        <v>541.1</v>
      </c>
      <c r="I119" s="82">
        <f t="shared" si="43"/>
        <v>1811.3999999999999</v>
      </c>
      <c r="J119" s="82">
        <f t="shared" si="43"/>
        <v>2510.1</v>
      </c>
      <c r="K119" s="82">
        <f>J119/I119*100</f>
        <v>138.57237495859556</v>
      </c>
      <c r="L119" s="82">
        <f>J119/D119*100</f>
        <v>106.69925611052071</v>
      </c>
    </row>
    <row r="120" spans="1:12" ht="12.75">
      <c r="A120" s="83" t="s">
        <v>206</v>
      </c>
      <c r="B120" s="83"/>
      <c r="C120" s="84" t="s">
        <v>207</v>
      </c>
      <c r="D120" s="85">
        <f aca="true" t="shared" si="44" ref="D120:D127">E120+F120+G120+H120</f>
        <v>1793.5</v>
      </c>
      <c r="E120" s="86">
        <v>358.7</v>
      </c>
      <c r="F120" s="86">
        <v>538.1</v>
      </c>
      <c r="G120" s="86">
        <v>484.2</v>
      </c>
      <c r="H120" s="86">
        <v>412.5</v>
      </c>
      <c r="I120" s="87">
        <f>E120+F120+G120</f>
        <v>1381</v>
      </c>
      <c r="J120" s="86">
        <v>1527.6</v>
      </c>
      <c r="K120" s="87">
        <f aca="true" t="shared" si="45" ref="K120:K131">J120/I120*100</f>
        <v>110.6154960173787</v>
      </c>
      <c r="L120" s="87">
        <f aca="true" t="shared" si="46" ref="L120:L131">J120/D120*100</f>
        <v>85.17424031223864</v>
      </c>
    </row>
    <row r="121" spans="1:12" ht="12.75">
      <c r="A121" s="88" t="s">
        <v>210</v>
      </c>
      <c r="B121" s="88"/>
      <c r="C121" s="84" t="s">
        <v>211</v>
      </c>
      <c r="D121" s="85">
        <f t="shared" si="44"/>
        <v>232</v>
      </c>
      <c r="E121" s="86">
        <v>46.4</v>
      </c>
      <c r="F121" s="86">
        <v>69.6</v>
      </c>
      <c r="G121" s="86">
        <v>62.6</v>
      </c>
      <c r="H121" s="86">
        <v>53.4</v>
      </c>
      <c r="I121" s="87">
        <f aca="true" t="shared" si="47" ref="I121:I130">E121+F121+G121</f>
        <v>178.6</v>
      </c>
      <c r="J121" s="86">
        <v>173.1</v>
      </c>
      <c r="K121" s="87">
        <f t="shared" si="45"/>
        <v>96.9204927211646</v>
      </c>
      <c r="L121" s="87">
        <f t="shared" si="46"/>
        <v>74.61206896551724</v>
      </c>
    </row>
    <row r="122" spans="1:12" ht="12.75">
      <c r="A122" s="88" t="s">
        <v>212</v>
      </c>
      <c r="B122" s="88"/>
      <c r="C122" s="84" t="s">
        <v>213</v>
      </c>
      <c r="D122" s="85">
        <f t="shared" si="44"/>
        <v>35</v>
      </c>
      <c r="E122" s="86">
        <v>7</v>
      </c>
      <c r="F122" s="86">
        <v>10.5</v>
      </c>
      <c r="G122" s="86">
        <v>9.5</v>
      </c>
      <c r="H122" s="86">
        <v>8</v>
      </c>
      <c r="I122" s="87">
        <f t="shared" si="47"/>
        <v>27</v>
      </c>
      <c r="J122" s="86">
        <v>46.2</v>
      </c>
      <c r="K122" s="87">
        <f t="shared" si="45"/>
        <v>171.11111111111111</v>
      </c>
      <c r="L122" s="87">
        <f t="shared" si="46"/>
        <v>132</v>
      </c>
    </row>
    <row r="123" spans="1:12" ht="24">
      <c r="A123" s="90" t="s">
        <v>216</v>
      </c>
      <c r="B123" s="91"/>
      <c r="C123" s="84" t="s">
        <v>217</v>
      </c>
      <c r="D123" s="85">
        <f t="shared" si="44"/>
        <v>180</v>
      </c>
      <c r="E123" s="86">
        <v>36</v>
      </c>
      <c r="F123" s="86">
        <v>54</v>
      </c>
      <c r="G123" s="86">
        <v>48.6</v>
      </c>
      <c r="H123" s="86">
        <v>41.4</v>
      </c>
      <c r="I123" s="87">
        <f t="shared" si="47"/>
        <v>138.6</v>
      </c>
      <c r="J123" s="86">
        <v>284.6</v>
      </c>
      <c r="K123" s="87">
        <f t="shared" si="45"/>
        <v>205.33910533910537</v>
      </c>
      <c r="L123" s="87">
        <f t="shared" si="46"/>
        <v>158.11111111111111</v>
      </c>
    </row>
    <row r="124" spans="1:12" ht="24">
      <c r="A124" s="93" t="s">
        <v>220</v>
      </c>
      <c r="B124" s="93"/>
      <c r="C124" s="84" t="s">
        <v>221</v>
      </c>
      <c r="D124" s="85">
        <f t="shared" si="44"/>
        <v>90</v>
      </c>
      <c r="E124" s="86">
        <v>18</v>
      </c>
      <c r="F124" s="86">
        <v>27</v>
      </c>
      <c r="G124" s="86">
        <v>24.3</v>
      </c>
      <c r="H124" s="86">
        <v>20.7</v>
      </c>
      <c r="I124" s="87">
        <f t="shared" si="47"/>
        <v>69.3</v>
      </c>
      <c r="J124" s="86">
        <v>41.4</v>
      </c>
      <c r="K124" s="87">
        <f t="shared" si="45"/>
        <v>59.74025974025974</v>
      </c>
      <c r="L124" s="87">
        <f t="shared" si="46"/>
        <v>46</v>
      </c>
    </row>
    <row r="125" spans="1:12" ht="24">
      <c r="A125" s="93" t="s">
        <v>222</v>
      </c>
      <c r="B125" s="93"/>
      <c r="C125" s="84" t="s">
        <v>223</v>
      </c>
      <c r="D125" s="85">
        <f t="shared" si="44"/>
        <v>22</v>
      </c>
      <c r="E125" s="86">
        <v>4.4</v>
      </c>
      <c r="F125" s="86">
        <v>6.6</v>
      </c>
      <c r="G125" s="86">
        <v>5.9</v>
      </c>
      <c r="H125" s="86">
        <v>5.1</v>
      </c>
      <c r="I125" s="87">
        <f t="shared" si="47"/>
        <v>16.9</v>
      </c>
      <c r="J125" s="86">
        <v>101.6</v>
      </c>
      <c r="K125" s="87">
        <f t="shared" si="45"/>
        <v>601.1834319526628</v>
      </c>
      <c r="L125" s="87">
        <f t="shared" si="46"/>
        <v>461.8181818181818</v>
      </c>
    </row>
    <row r="126" spans="1:12" ht="12.75">
      <c r="A126" s="83" t="s">
        <v>226</v>
      </c>
      <c r="B126" s="83"/>
      <c r="C126" s="84" t="s">
        <v>227</v>
      </c>
      <c r="D126" s="85"/>
      <c r="E126" s="86"/>
      <c r="F126" s="86"/>
      <c r="G126" s="86"/>
      <c r="H126" s="86"/>
      <c r="I126" s="87">
        <f t="shared" si="47"/>
        <v>0</v>
      </c>
      <c r="J126" s="86">
        <v>323.4</v>
      </c>
      <c r="K126" s="87"/>
      <c r="L126" s="87"/>
    </row>
    <row r="127" spans="1:12" ht="12.75">
      <c r="A127" s="93" t="s">
        <v>228</v>
      </c>
      <c r="B127" s="127"/>
      <c r="C127" s="96" t="s">
        <v>229</v>
      </c>
      <c r="D127" s="85">
        <f t="shared" si="44"/>
        <v>0</v>
      </c>
      <c r="E127" s="86"/>
      <c r="F127" s="86"/>
      <c r="G127" s="86"/>
      <c r="H127" s="86"/>
      <c r="I127" s="87">
        <f t="shared" si="47"/>
        <v>0</v>
      </c>
      <c r="J127" s="85">
        <v>12.2</v>
      </c>
      <c r="K127" s="87"/>
      <c r="L127" s="87"/>
    </row>
    <row r="128" spans="1:12" ht="12.75">
      <c r="A128" s="113" t="s">
        <v>234</v>
      </c>
      <c r="B128" s="113"/>
      <c r="C128" s="97" t="s">
        <v>235</v>
      </c>
      <c r="D128" s="98">
        <f>D129+D130</f>
        <v>57685.5</v>
      </c>
      <c r="E128" s="98">
        <f aca="true" t="shared" si="48" ref="E128:J128">E129+E130</f>
        <v>9380.999999999998</v>
      </c>
      <c r="F128" s="98">
        <f t="shared" si="48"/>
        <v>20115.5</v>
      </c>
      <c r="G128" s="98">
        <f t="shared" si="48"/>
        <v>14280.3</v>
      </c>
      <c r="H128" s="98">
        <f t="shared" si="48"/>
        <v>13622.400000000001</v>
      </c>
      <c r="I128" s="98">
        <f t="shared" si="48"/>
        <v>43776.8</v>
      </c>
      <c r="J128" s="98">
        <f t="shared" si="48"/>
        <v>54525.8</v>
      </c>
      <c r="K128" s="82">
        <f t="shared" si="45"/>
        <v>124.55410171597741</v>
      </c>
      <c r="L128" s="82">
        <f t="shared" si="46"/>
        <v>94.52254032642519</v>
      </c>
    </row>
    <row r="129" spans="1:12" ht="24">
      <c r="A129" s="99" t="s">
        <v>236</v>
      </c>
      <c r="B129" s="88"/>
      <c r="C129" s="100" t="s">
        <v>237</v>
      </c>
      <c r="D129" s="85">
        <v>57373.2</v>
      </c>
      <c r="E129" s="86">
        <f>8298.3+30+37.3+1015.4</f>
        <v>9380.999999999998</v>
      </c>
      <c r="F129" s="86">
        <f>15232.6+168.9+4714</f>
        <v>20115.5</v>
      </c>
      <c r="G129" s="86">
        <f>13987.8+79.6+95.4+117.5</f>
        <v>14280.3</v>
      </c>
      <c r="H129" s="86">
        <f>9643.1+3531.8+135.2</f>
        <v>13310.100000000002</v>
      </c>
      <c r="I129" s="87">
        <f t="shared" si="47"/>
        <v>43776.8</v>
      </c>
      <c r="J129" s="86">
        <v>54213.5</v>
      </c>
      <c r="K129" s="87">
        <f t="shared" si="45"/>
        <v>123.84071014784087</v>
      </c>
      <c r="L129" s="87">
        <f t="shared" si="46"/>
        <v>94.4927248262255</v>
      </c>
    </row>
    <row r="130" spans="1:12" ht="12.75">
      <c r="A130" s="101" t="s">
        <v>238</v>
      </c>
      <c r="B130" s="101"/>
      <c r="C130" s="102" t="s">
        <v>239</v>
      </c>
      <c r="D130" s="85">
        <f>E130+F130+G130+H130</f>
        <v>312.3</v>
      </c>
      <c r="E130" s="86"/>
      <c r="F130" s="86"/>
      <c r="G130" s="86"/>
      <c r="H130" s="86">
        <v>312.3</v>
      </c>
      <c r="I130" s="87">
        <f t="shared" si="47"/>
        <v>0</v>
      </c>
      <c r="J130" s="86">
        <v>312.3</v>
      </c>
      <c r="K130" s="87"/>
      <c r="L130" s="87">
        <f>J130/D130*100</f>
        <v>100</v>
      </c>
    </row>
    <row r="131" spans="1:12" ht="12.75">
      <c r="A131" s="83"/>
      <c r="B131" s="110"/>
      <c r="C131" s="111" t="s">
        <v>244</v>
      </c>
      <c r="D131" s="112">
        <f>D128+D119</f>
        <v>60038</v>
      </c>
      <c r="E131" s="112">
        <f aca="true" t="shared" si="49" ref="E131:J131">E128+E119</f>
        <v>9851.499999999998</v>
      </c>
      <c r="F131" s="112">
        <f t="shared" si="49"/>
        <v>20821.3</v>
      </c>
      <c r="G131" s="112">
        <f t="shared" si="49"/>
        <v>14915.4</v>
      </c>
      <c r="H131" s="112">
        <f t="shared" si="49"/>
        <v>14163.500000000002</v>
      </c>
      <c r="I131" s="112">
        <f t="shared" si="49"/>
        <v>45588.200000000004</v>
      </c>
      <c r="J131" s="112">
        <f t="shared" si="49"/>
        <v>57035.9</v>
      </c>
      <c r="K131" s="82">
        <f t="shared" si="45"/>
        <v>125.11110331182192</v>
      </c>
      <c r="L131" s="82">
        <f t="shared" si="46"/>
        <v>94.99966687764416</v>
      </c>
    </row>
    <row r="132" spans="1:12" ht="12.75">
      <c r="A132" s="184"/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6"/>
    </row>
    <row r="133" spans="1:12" ht="12.75">
      <c r="A133" s="179" t="s">
        <v>252</v>
      </c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1"/>
    </row>
    <row r="134" spans="1:12" ht="12.75">
      <c r="A134" s="80" t="s">
        <v>204</v>
      </c>
      <c r="B134" s="80"/>
      <c r="C134" s="81" t="s">
        <v>205</v>
      </c>
      <c r="D134" s="82">
        <f aca="true" t="shared" si="50" ref="D134:I134">D135+D136+D138+D140+D137+D141+D139+D142</f>
        <v>15260.5</v>
      </c>
      <c r="E134" s="82">
        <f t="shared" si="50"/>
        <v>3025</v>
      </c>
      <c r="F134" s="82">
        <f t="shared" si="50"/>
        <v>4088</v>
      </c>
      <c r="G134" s="82">
        <f t="shared" si="50"/>
        <v>4574</v>
      </c>
      <c r="H134" s="82">
        <f t="shared" si="50"/>
        <v>3573.5</v>
      </c>
      <c r="I134" s="82">
        <f t="shared" si="50"/>
        <v>11687</v>
      </c>
      <c r="J134" s="82">
        <f>J135+J136+J138+J140+J137+J141+J139+J142</f>
        <v>12655.4</v>
      </c>
      <c r="K134" s="82">
        <f>J134/I134*100</f>
        <v>108.28612988790964</v>
      </c>
      <c r="L134" s="82">
        <f>J134/D134*100</f>
        <v>82.92913076242587</v>
      </c>
    </row>
    <row r="135" spans="1:12" ht="12.75">
      <c r="A135" s="83" t="s">
        <v>206</v>
      </c>
      <c r="B135" s="83"/>
      <c r="C135" s="84" t="s">
        <v>207</v>
      </c>
      <c r="D135" s="85">
        <f aca="true" t="shared" si="51" ref="D135:D143">E135+F135+G135+H135</f>
        <v>13404.5</v>
      </c>
      <c r="E135" s="86">
        <f>2600+3</f>
        <v>2603</v>
      </c>
      <c r="F135" s="86">
        <f>3600+1+3+6</f>
        <v>3610</v>
      </c>
      <c r="G135" s="86">
        <f>4083</f>
        <v>4083</v>
      </c>
      <c r="H135" s="86">
        <v>3108.5</v>
      </c>
      <c r="I135" s="87">
        <f>E135+F135+G135</f>
        <v>10296</v>
      </c>
      <c r="J135" s="86">
        <v>11031.4</v>
      </c>
      <c r="K135" s="87">
        <f aca="true" t="shared" si="52" ref="K135:K146">J135/I135*100</f>
        <v>107.14257964257965</v>
      </c>
      <c r="L135" s="87">
        <f aca="true" t="shared" si="53" ref="L135:L146">J135/D135*100</f>
        <v>82.2962437987243</v>
      </c>
    </row>
    <row r="136" spans="1:12" ht="12.75">
      <c r="A136" s="88" t="s">
        <v>210</v>
      </c>
      <c r="B136" s="88"/>
      <c r="C136" s="84" t="s">
        <v>211</v>
      </c>
      <c r="D136" s="85">
        <v>727.3</v>
      </c>
      <c r="E136" s="86">
        <f>75+50+20</f>
        <v>145</v>
      </c>
      <c r="F136" s="86">
        <v>122.3</v>
      </c>
      <c r="G136" s="86">
        <f>75+60+39</f>
        <v>174</v>
      </c>
      <c r="H136" s="86">
        <f>75+50+23</f>
        <v>148</v>
      </c>
      <c r="I136" s="87">
        <f aca="true" t="shared" si="54" ref="I136:I142">E136+F136+G136</f>
        <v>441.3</v>
      </c>
      <c r="J136" s="86">
        <v>724.6</v>
      </c>
      <c r="K136" s="87">
        <f t="shared" si="52"/>
        <v>164.1966915930206</v>
      </c>
      <c r="L136" s="87">
        <f t="shared" si="53"/>
        <v>99.62876392135296</v>
      </c>
    </row>
    <row r="137" spans="1:12" ht="12.75">
      <c r="A137" s="88" t="s">
        <v>212</v>
      </c>
      <c r="B137" s="88"/>
      <c r="C137" s="84" t="s">
        <v>213</v>
      </c>
      <c r="D137" s="85">
        <f t="shared" si="51"/>
        <v>120</v>
      </c>
      <c r="E137" s="86">
        <v>30</v>
      </c>
      <c r="F137" s="86">
        <v>32</v>
      </c>
      <c r="G137" s="86">
        <v>30</v>
      </c>
      <c r="H137" s="86">
        <v>28</v>
      </c>
      <c r="I137" s="87">
        <f t="shared" si="54"/>
        <v>92</v>
      </c>
      <c r="J137" s="86">
        <v>74.4</v>
      </c>
      <c r="K137" s="87">
        <f t="shared" si="52"/>
        <v>80.86956521739131</v>
      </c>
      <c r="L137" s="87">
        <f t="shared" si="53"/>
        <v>62</v>
      </c>
    </row>
    <row r="138" spans="1:12" ht="24">
      <c r="A138" s="90" t="s">
        <v>216</v>
      </c>
      <c r="B138" s="91"/>
      <c r="C138" s="84" t="s">
        <v>217</v>
      </c>
      <c r="D138" s="85">
        <v>958</v>
      </c>
      <c r="E138" s="86">
        <v>245</v>
      </c>
      <c r="F138" s="86">
        <v>285</v>
      </c>
      <c r="G138" s="86">
        <v>285</v>
      </c>
      <c r="H138" s="86">
        <v>287</v>
      </c>
      <c r="I138" s="87">
        <f t="shared" si="54"/>
        <v>815</v>
      </c>
      <c r="J138" s="86">
        <v>744</v>
      </c>
      <c r="K138" s="87">
        <f t="shared" si="52"/>
        <v>91.28834355828221</v>
      </c>
      <c r="L138" s="87">
        <f t="shared" si="53"/>
        <v>77.66179540709813</v>
      </c>
    </row>
    <row r="139" spans="1:12" ht="24">
      <c r="A139" s="93" t="s">
        <v>220</v>
      </c>
      <c r="B139" s="93"/>
      <c r="C139" s="84" t="s">
        <v>221</v>
      </c>
      <c r="D139" s="85">
        <f t="shared" si="51"/>
        <v>0</v>
      </c>
      <c r="E139" s="86"/>
      <c r="F139" s="86"/>
      <c r="G139" s="86"/>
      <c r="H139" s="86"/>
      <c r="I139" s="87">
        <f t="shared" si="54"/>
        <v>0</v>
      </c>
      <c r="J139" s="86"/>
      <c r="K139" s="87"/>
      <c r="L139" s="87"/>
    </row>
    <row r="140" spans="1:12" ht="24">
      <c r="A140" s="92" t="s">
        <v>222</v>
      </c>
      <c r="B140" s="92"/>
      <c r="C140" s="84" t="s">
        <v>223</v>
      </c>
      <c r="D140" s="85">
        <v>39</v>
      </c>
      <c r="E140" s="86">
        <v>2</v>
      </c>
      <c r="F140" s="86">
        <v>27</v>
      </c>
      <c r="G140" s="86">
        <v>2</v>
      </c>
      <c r="H140" s="86">
        <v>2</v>
      </c>
      <c r="I140" s="87">
        <f t="shared" si="54"/>
        <v>31</v>
      </c>
      <c r="J140" s="86">
        <v>39.4</v>
      </c>
      <c r="K140" s="87">
        <f>J140/I140*100</f>
        <v>127.09677419354838</v>
      </c>
      <c r="L140" s="87">
        <f>J140/D140*100</f>
        <v>101.02564102564102</v>
      </c>
    </row>
    <row r="141" spans="1:12" ht="12.75">
      <c r="A141" s="83" t="s">
        <v>226</v>
      </c>
      <c r="B141" s="83"/>
      <c r="C141" s="84" t="s">
        <v>227</v>
      </c>
      <c r="D141" s="85">
        <f t="shared" si="51"/>
        <v>11.7</v>
      </c>
      <c r="E141" s="86"/>
      <c r="F141" s="86">
        <v>11.7</v>
      </c>
      <c r="G141" s="86"/>
      <c r="H141" s="86"/>
      <c r="I141" s="87">
        <f t="shared" si="54"/>
        <v>11.7</v>
      </c>
      <c r="J141" s="86">
        <v>25.2</v>
      </c>
      <c r="K141" s="87">
        <f>J141/I141*100</f>
        <v>215.3846153846154</v>
      </c>
      <c r="L141" s="87">
        <f>J141/D141*100</f>
        <v>215.3846153846154</v>
      </c>
    </row>
    <row r="142" spans="1:12" ht="12.75">
      <c r="A142" s="92" t="s">
        <v>228</v>
      </c>
      <c r="B142" s="128"/>
      <c r="C142" s="96" t="s">
        <v>229</v>
      </c>
      <c r="D142" s="85">
        <f t="shared" si="51"/>
        <v>0</v>
      </c>
      <c r="E142" s="86"/>
      <c r="F142" s="86"/>
      <c r="G142" s="86"/>
      <c r="H142" s="86"/>
      <c r="I142" s="87">
        <f t="shared" si="54"/>
        <v>0</v>
      </c>
      <c r="J142" s="86">
        <v>16.4</v>
      </c>
      <c r="K142" s="87"/>
      <c r="L142" s="87"/>
    </row>
    <row r="143" spans="1:12" ht="12.75">
      <c r="A143" s="92" t="s">
        <v>232</v>
      </c>
      <c r="B143" s="128"/>
      <c r="C143" s="96" t="s">
        <v>233</v>
      </c>
      <c r="D143" s="85">
        <f t="shared" si="51"/>
        <v>0</v>
      </c>
      <c r="E143" s="86"/>
      <c r="F143" s="86"/>
      <c r="G143" s="86"/>
      <c r="H143" s="86"/>
      <c r="I143" s="82">
        <f>E143</f>
        <v>0</v>
      </c>
      <c r="J143" s="86"/>
      <c r="K143" s="82"/>
      <c r="L143" s="82"/>
    </row>
    <row r="144" spans="1:12" ht="12.75">
      <c r="A144" s="80" t="s">
        <v>234</v>
      </c>
      <c r="B144" s="80"/>
      <c r="C144" s="97" t="s">
        <v>235</v>
      </c>
      <c r="D144" s="98">
        <f>D145</f>
        <v>38217.7</v>
      </c>
      <c r="E144" s="98">
        <f aca="true" t="shared" si="55" ref="E144:J144">E145</f>
        <v>12257.5</v>
      </c>
      <c r="F144" s="98">
        <f t="shared" si="55"/>
        <v>12254.5</v>
      </c>
      <c r="G144" s="98">
        <f t="shared" si="55"/>
        <v>6332.3</v>
      </c>
      <c r="H144" s="98">
        <f t="shared" si="55"/>
        <v>7168.199999999999</v>
      </c>
      <c r="I144" s="98">
        <f t="shared" si="55"/>
        <v>30844.3</v>
      </c>
      <c r="J144" s="98">
        <f t="shared" si="55"/>
        <v>35935.1</v>
      </c>
      <c r="K144" s="82">
        <f t="shared" si="52"/>
        <v>116.50483233530993</v>
      </c>
      <c r="L144" s="82">
        <f t="shared" si="53"/>
        <v>94.02737475044286</v>
      </c>
    </row>
    <row r="145" spans="1:12" ht="24">
      <c r="A145" s="99" t="s">
        <v>236</v>
      </c>
      <c r="B145" s="88"/>
      <c r="C145" s="100" t="s">
        <v>237</v>
      </c>
      <c r="D145" s="85">
        <v>38217.7</v>
      </c>
      <c r="E145" s="86">
        <v>12257.5</v>
      </c>
      <c r="F145" s="86">
        <v>12254.5</v>
      </c>
      <c r="G145" s="86">
        <f>3001.8+3000+21+72+237.4+0.1</f>
        <v>6332.3</v>
      </c>
      <c r="H145" s="86">
        <f>3193.8+3000+22+72+231.9+2469.6-1821.1</f>
        <v>7168.199999999999</v>
      </c>
      <c r="I145" s="87">
        <f>E145+F145+G145</f>
        <v>30844.3</v>
      </c>
      <c r="J145" s="86">
        <v>35935.1</v>
      </c>
      <c r="K145" s="87">
        <f t="shared" si="52"/>
        <v>116.50483233530993</v>
      </c>
      <c r="L145" s="87">
        <f t="shared" si="53"/>
        <v>94.02737475044286</v>
      </c>
    </row>
    <row r="146" spans="1:12" ht="12.75">
      <c r="A146" s="83"/>
      <c r="B146" s="110"/>
      <c r="C146" s="111" t="s">
        <v>244</v>
      </c>
      <c r="D146" s="112">
        <f>D144+D134</f>
        <v>53478.2</v>
      </c>
      <c r="E146" s="112">
        <f aca="true" t="shared" si="56" ref="E146:J146">E144+E134</f>
        <v>15282.5</v>
      </c>
      <c r="F146" s="112">
        <f t="shared" si="56"/>
        <v>16342.5</v>
      </c>
      <c r="G146" s="112">
        <f t="shared" si="56"/>
        <v>10906.3</v>
      </c>
      <c r="H146" s="112">
        <f t="shared" si="56"/>
        <v>10741.699999999999</v>
      </c>
      <c r="I146" s="112">
        <f t="shared" si="56"/>
        <v>42531.3</v>
      </c>
      <c r="J146" s="112">
        <f t="shared" si="56"/>
        <v>48590.5</v>
      </c>
      <c r="K146" s="82">
        <f t="shared" si="52"/>
        <v>114.24644908573214</v>
      </c>
      <c r="L146" s="82">
        <f t="shared" si="53"/>
        <v>90.86038797117331</v>
      </c>
    </row>
    <row r="147" spans="1:12" ht="12.75">
      <c r="A147" s="176"/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  <c r="L147" s="178"/>
    </row>
    <row r="148" spans="1:12" ht="12.75">
      <c r="A148" s="179" t="s">
        <v>253</v>
      </c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1"/>
    </row>
    <row r="149" spans="1:12" ht="12.75">
      <c r="A149" s="80" t="s">
        <v>204</v>
      </c>
      <c r="B149" s="80"/>
      <c r="C149" s="81" t="s">
        <v>205</v>
      </c>
      <c r="D149" s="82">
        <f aca="true" t="shared" si="57" ref="D149:J149">D150+D151+D152+D153+D155+D156+D157+D154</f>
        <v>3801</v>
      </c>
      <c r="E149" s="82">
        <f t="shared" si="57"/>
        <v>630.5</v>
      </c>
      <c r="F149" s="82">
        <f t="shared" si="57"/>
        <v>862.5</v>
      </c>
      <c r="G149" s="82">
        <f t="shared" si="57"/>
        <v>977.5</v>
      </c>
      <c r="H149" s="82">
        <f t="shared" si="57"/>
        <v>1330.5</v>
      </c>
      <c r="I149" s="82">
        <f t="shared" si="57"/>
        <v>2470.5</v>
      </c>
      <c r="J149" s="82">
        <f t="shared" si="57"/>
        <v>3796.7</v>
      </c>
      <c r="K149" s="82">
        <f>J149/I149*100</f>
        <v>153.68144100384538</v>
      </c>
      <c r="L149" s="82">
        <f>J149/D149*100</f>
        <v>99.88687187582215</v>
      </c>
    </row>
    <row r="150" spans="1:12" ht="12.75">
      <c r="A150" s="83" t="s">
        <v>206</v>
      </c>
      <c r="B150" s="83"/>
      <c r="C150" s="84" t="s">
        <v>207</v>
      </c>
      <c r="D150" s="85">
        <f aca="true" t="shared" si="58" ref="D150:D157">E150+F150+G150+H150</f>
        <v>2996.5</v>
      </c>
      <c r="E150" s="86">
        <f>540</f>
        <v>540</v>
      </c>
      <c r="F150" s="86">
        <v>650</v>
      </c>
      <c r="G150" s="86">
        <f>650</f>
        <v>650</v>
      </c>
      <c r="H150" s="86">
        <v>1156.5</v>
      </c>
      <c r="I150" s="87">
        <f>E150+F150+G150</f>
        <v>1840</v>
      </c>
      <c r="J150" s="86">
        <v>2736.2</v>
      </c>
      <c r="K150" s="87">
        <f aca="true" t="shared" si="59" ref="K150:K161">J150/I150*100</f>
        <v>148.7065217391304</v>
      </c>
      <c r="L150" s="87">
        <f aca="true" t="shared" si="60" ref="L150:L161">J150/D150*100</f>
        <v>91.31319873185383</v>
      </c>
    </row>
    <row r="151" spans="1:12" ht="12.75">
      <c r="A151" s="88" t="s">
        <v>210</v>
      </c>
      <c r="B151" s="88"/>
      <c r="C151" s="84" t="s">
        <v>211</v>
      </c>
      <c r="D151" s="85">
        <f t="shared" si="58"/>
        <v>255</v>
      </c>
      <c r="E151" s="86">
        <f>47</f>
        <v>47</v>
      </c>
      <c r="F151" s="86">
        <f>47</f>
        <v>47</v>
      </c>
      <c r="G151" s="86">
        <f>69+14</f>
        <v>83</v>
      </c>
      <c r="H151" s="86">
        <f>10+21+47</f>
        <v>78</v>
      </c>
      <c r="I151" s="87">
        <f aca="true" t="shared" si="61" ref="I151:I160">E151+F151+G151</f>
        <v>177</v>
      </c>
      <c r="J151" s="86">
        <v>307.3</v>
      </c>
      <c r="K151" s="87">
        <f t="shared" si="59"/>
        <v>173.61581920903956</v>
      </c>
      <c r="L151" s="87">
        <f t="shared" si="60"/>
        <v>120.50980392156862</v>
      </c>
    </row>
    <row r="152" spans="1:12" ht="12.75">
      <c r="A152" s="88" t="s">
        <v>212</v>
      </c>
      <c r="B152" s="88"/>
      <c r="C152" s="84" t="s">
        <v>213</v>
      </c>
      <c r="D152" s="85">
        <f t="shared" si="58"/>
        <v>60</v>
      </c>
      <c r="E152" s="86">
        <v>4</v>
      </c>
      <c r="F152" s="86">
        <v>10</v>
      </c>
      <c r="G152" s="86">
        <v>40</v>
      </c>
      <c r="H152" s="86">
        <v>6</v>
      </c>
      <c r="I152" s="87">
        <f t="shared" si="61"/>
        <v>54</v>
      </c>
      <c r="J152" s="86">
        <v>57.2</v>
      </c>
      <c r="K152" s="87">
        <f>J152/I152*100</f>
        <v>105.92592592592594</v>
      </c>
      <c r="L152" s="87">
        <f>J152/D152*100</f>
        <v>95.33333333333334</v>
      </c>
    </row>
    <row r="153" spans="1:12" ht="24">
      <c r="A153" s="90" t="s">
        <v>216</v>
      </c>
      <c r="B153" s="91"/>
      <c r="C153" s="84" t="s">
        <v>217</v>
      </c>
      <c r="D153" s="85">
        <f t="shared" si="58"/>
        <v>403.5</v>
      </c>
      <c r="E153" s="86">
        <f>30</f>
        <v>30</v>
      </c>
      <c r="F153" s="86">
        <f>25+118</f>
        <v>143</v>
      </c>
      <c r="G153" s="86">
        <f>124+30</f>
        <v>154</v>
      </c>
      <c r="H153" s="86">
        <f>46.5+30</f>
        <v>76.5</v>
      </c>
      <c r="I153" s="87">
        <f t="shared" si="61"/>
        <v>327</v>
      </c>
      <c r="J153" s="86">
        <v>445.2</v>
      </c>
      <c r="K153" s="87">
        <f t="shared" si="59"/>
        <v>136.14678899082568</v>
      </c>
      <c r="L153" s="87">
        <f t="shared" si="60"/>
        <v>110.33457249070631</v>
      </c>
    </row>
    <row r="154" spans="1:12" ht="24">
      <c r="A154" s="93" t="s">
        <v>220</v>
      </c>
      <c r="B154" s="93"/>
      <c r="C154" s="84" t="s">
        <v>221</v>
      </c>
      <c r="D154" s="85">
        <f t="shared" si="58"/>
        <v>61</v>
      </c>
      <c r="E154" s="86">
        <v>9.5</v>
      </c>
      <c r="F154" s="86">
        <v>9.5</v>
      </c>
      <c r="G154" s="86">
        <v>32.5</v>
      </c>
      <c r="H154" s="86">
        <v>9.5</v>
      </c>
      <c r="I154" s="87">
        <f t="shared" si="61"/>
        <v>51.5</v>
      </c>
      <c r="J154" s="86">
        <v>70.3</v>
      </c>
      <c r="K154" s="87">
        <f t="shared" si="59"/>
        <v>136.50485436893203</v>
      </c>
      <c r="L154" s="87">
        <f t="shared" si="60"/>
        <v>115.24590163934425</v>
      </c>
    </row>
    <row r="155" spans="1:12" ht="24">
      <c r="A155" s="92" t="s">
        <v>222</v>
      </c>
      <c r="B155" s="92"/>
      <c r="C155" s="84" t="s">
        <v>223</v>
      </c>
      <c r="D155" s="85">
        <f t="shared" si="58"/>
        <v>25</v>
      </c>
      <c r="E155" s="86"/>
      <c r="F155" s="86">
        <f>3</f>
        <v>3</v>
      </c>
      <c r="G155" s="86">
        <v>18</v>
      </c>
      <c r="H155" s="86">
        <f>4</f>
        <v>4</v>
      </c>
      <c r="I155" s="87">
        <f t="shared" si="61"/>
        <v>21</v>
      </c>
      <c r="J155" s="86">
        <v>180.5</v>
      </c>
      <c r="K155" s="87">
        <f t="shared" si="59"/>
        <v>859.5238095238095</v>
      </c>
      <c r="L155" s="87">
        <f t="shared" si="60"/>
        <v>722</v>
      </c>
    </row>
    <row r="156" spans="1:12" ht="12.75">
      <c r="A156" s="83" t="s">
        <v>226</v>
      </c>
      <c r="B156" s="83"/>
      <c r="C156" s="84" t="s">
        <v>227</v>
      </c>
      <c r="D156" s="85">
        <f t="shared" si="58"/>
        <v>0</v>
      </c>
      <c r="E156" s="86"/>
      <c r="F156" s="86"/>
      <c r="G156" s="86"/>
      <c r="H156" s="86"/>
      <c r="I156" s="87">
        <f t="shared" si="61"/>
        <v>0</v>
      </c>
      <c r="J156" s="86"/>
      <c r="K156" s="87"/>
      <c r="L156" s="87"/>
    </row>
    <row r="157" spans="1:12" ht="12.75">
      <c r="A157" s="120" t="s">
        <v>228</v>
      </c>
      <c r="B157" s="95"/>
      <c r="C157" s="96" t="s">
        <v>229</v>
      </c>
      <c r="D157" s="85">
        <f t="shared" si="58"/>
        <v>0</v>
      </c>
      <c r="E157" s="86"/>
      <c r="F157" s="86"/>
      <c r="G157" s="86"/>
      <c r="H157" s="86"/>
      <c r="I157" s="87">
        <f t="shared" si="61"/>
        <v>0</v>
      </c>
      <c r="J157" s="86"/>
      <c r="K157" s="87"/>
      <c r="L157" s="87"/>
    </row>
    <row r="158" spans="1:12" ht="12.75">
      <c r="A158" s="80" t="s">
        <v>234</v>
      </c>
      <c r="B158" s="80"/>
      <c r="C158" s="97" t="s">
        <v>235</v>
      </c>
      <c r="D158" s="98">
        <f>D159+D160</f>
        <v>32361</v>
      </c>
      <c r="E158" s="98">
        <f aca="true" t="shared" si="62" ref="E158:J158">E159+E160</f>
        <v>5587</v>
      </c>
      <c r="F158" s="98">
        <f t="shared" si="62"/>
        <v>10347.1</v>
      </c>
      <c r="G158" s="98">
        <f t="shared" si="62"/>
        <v>7959.1</v>
      </c>
      <c r="H158" s="98">
        <f t="shared" si="62"/>
        <v>8289</v>
      </c>
      <c r="I158" s="98">
        <f t="shared" si="62"/>
        <v>23893.2</v>
      </c>
      <c r="J158" s="98">
        <f t="shared" si="62"/>
        <v>30804.3</v>
      </c>
      <c r="K158" s="82">
        <f t="shared" si="59"/>
        <v>128.92496609914116</v>
      </c>
      <c r="L158" s="82">
        <f t="shared" si="60"/>
        <v>95.18958005006026</v>
      </c>
    </row>
    <row r="159" spans="1:12" ht="24">
      <c r="A159" s="99" t="s">
        <v>236</v>
      </c>
      <c r="B159" s="88"/>
      <c r="C159" s="100" t="s">
        <v>237</v>
      </c>
      <c r="D159" s="85">
        <v>32011</v>
      </c>
      <c r="E159" s="86">
        <v>5587</v>
      </c>
      <c r="F159" s="86">
        <v>10347.1</v>
      </c>
      <c r="G159" s="86">
        <v>7609.1</v>
      </c>
      <c r="H159" s="86">
        <f>2130.1+2334.7+3824.2</f>
        <v>8289</v>
      </c>
      <c r="I159" s="87">
        <f t="shared" si="61"/>
        <v>23543.2</v>
      </c>
      <c r="J159" s="86">
        <v>30454.3</v>
      </c>
      <c r="K159" s="87">
        <f t="shared" si="59"/>
        <v>129.3549729858303</v>
      </c>
      <c r="L159" s="87">
        <f t="shared" si="60"/>
        <v>95.13698416169441</v>
      </c>
    </row>
    <row r="160" spans="1:12" ht="12.75">
      <c r="A160" s="101" t="s">
        <v>238</v>
      </c>
      <c r="B160" s="101"/>
      <c r="C160" s="102" t="s">
        <v>239</v>
      </c>
      <c r="D160" s="85">
        <f>E160+F160+G160+H160</f>
        <v>350</v>
      </c>
      <c r="E160" s="86"/>
      <c r="F160" s="86"/>
      <c r="G160" s="86">
        <v>350</v>
      </c>
      <c r="H160" s="86"/>
      <c r="I160" s="87">
        <f t="shared" si="61"/>
        <v>350</v>
      </c>
      <c r="J160" s="86">
        <v>350</v>
      </c>
      <c r="K160" s="87">
        <f t="shared" si="59"/>
        <v>100</v>
      </c>
      <c r="L160" s="87">
        <f t="shared" si="60"/>
        <v>100</v>
      </c>
    </row>
    <row r="161" spans="1:12" ht="12.75">
      <c r="A161" s="83"/>
      <c r="B161" s="110"/>
      <c r="C161" s="111" t="s">
        <v>244</v>
      </c>
      <c r="D161" s="112">
        <f>D158+D149</f>
        <v>36162</v>
      </c>
      <c r="E161" s="112">
        <f aca="true" t="shared" si="63" ref="E161:J161">E158+E149</f>
        <v>6217.5</v>
      </c>
      <c r="F161" s="112">
        <f t="shared" si="63"/>
        <v>11209.6</v>
      </c>
      <c r="G161" s="112">
        <f t="shared" si="63"/>
        <v>8936.6</v>
      </c>
      <c r="H161" s="112">
        <f t="shared" si="63"/>
        <v>9619.5</v>
      </c>
      <c r="I161" s="112">
        <f t="shared" si="63"/>
        <v>26363.7</v>
      </c>
      <c r="J161" s="112">
        <f t="shared" si="63"/>
        <v>34601</v>
      </c>
      <c r="K161" s="82">
        <f t="shared" si="59"/>
        <v>131.24485561586573</v>
      </c>
      <c r="L161" s="82">
        <f t="shared" si="60"/>
        <v>95.6833139759969</v>
      </c>
    </row>
    <row r="162" spans="1:12" ht="12.75">
      <c r="A162" s="176"/>
      <c r="B162" s="177"/>
      <c r="C162" s="177"/>
      <c r="D162" s="177"/>
      <c r="E162" s="177"/>
      <c r="F162" s="177"/>
      <c r="G162" s="177"/>
      <c r="H162" s="177"/>
      <c r="I162" s="177"/>
      <c r="J162" s="177"/>
      <c r="K162" s="177"/>
      <c r="L162" s="178"/>
    </row>
    <row r="163" spans="1:12" ht="12.75">
      <c r="A163" s="179" t="s">
        <v>254</v>
      </c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1"/>
    </row>
    <row r="164" spans="1:12" ht="12.75">
      <c r="A164" s="80" t="s">
        <v>204</v>
      </c>
      <c r="B164" s="80"/>
      <c r="C164" s="81" t="s">
        <v>205</v>
      </c>
      <c r="D164" s="82">
        <f aca="true" t="shared" si="64" ref="D164:J164">D165+D166+D167+D168+D169+D171+D173+D172+D170</f>
        <v>16626.4</v>
      </c>
      <c r="E164" s="82">
        <f t="shared" si="64"/>
        <v>3671.4</v>
      </c>
      <c r="F164" s="82">
        <f t="shared" si="64"/>
        <v>4444.8</v>
      </c>
      <c r="G164" s="82">
        <f t="shared" si="64"/>
        <v>4178.9</v>
      </c>
      <c r="H164" s="82">
        <f t="shared" si="64"/>
        <v>4331.3</v>
      </c>
      <c r="I164" s="82">
        <f t="shared" si="64"/>
        <v>12295.1</v>
      </c>
      <c r="J164" s="82">
        <f t="shared" si="64"/>
        <v>12615.2</v>
      </c>
      <c r="K164" s="82">
        <f>J164/I164*100</f>
        <v>102.60347618156827</v>
      </c>
      <c r="L164" s="82">
        <f>J164/D164*100</f>
        <v>75.87451282298032</v>
      </c>
    </row>
    <row r="165" spans="1:12" ht="12.75">
      <c r="A165" s="83" t="s">
        <v>206</v>
      </c>
      <c r="B165" s="83"/>
      <c r="C165" s="84" t="s">
        <v>207</v>
      </c>
      <c r="D165" s="85">
        <f>E165+F165+G165+H165</f>
        <v>13504</v>
      </c>
      <c r="E165" s="86">
        <v>3376</v>
      </c>
      <c r="F165" s="86">
        <v>3376</v>
      </c>
      <c r="G165" s="86">
        <v>3376</v>
      </c>
      <c r="H165" s="86">
        <v>3376</v>
      </c>
      <c r="I165" s="87">
        <f>E165+F165+G165</f>
        <v>10128</v>
      </c>
      <c r="J165" s="86">
        <v>11528.5</v>
      </c>
      <c r="K165" s="87">
        <f aca="true" t="shared" si="65" ref="K165:K176">J165/I165*100</f>
        <v>113.82800157977884</v>
      </c>
      <c r="L165" s="87">
        <f aca="true" t="shared" si="66" ref="L165:L176">J165/D165*100</f>
        <v>85.37100118483413</v>
      </c>
    </row>
    <row r="166" spans="1:12" ht="12.75">
      <c r="A166" s="88" t="s">
        <v>208</v>
      </c>
      <c r="B166" s="88"/>
      <c r="C166" s="84" t="s">
        <v>209</v>
      </c>
      <c r="D166" s="85">
        <f>E166+F166+G166+H166</f>
        <v>0</v>
      </c>
      <c r="E166" s="86"/>
      <c r="F166" s="86"/>
      <c r="G166" s="86"/>
      <c r="H166" s="86"/>
      <c r="I166" s="87">
        <f aca="true" t="shared" si="67" ref="I166:I173">E166+F166+G166</f>
        <v>0</v>
      </c>
      <c r="J166" s="86"/>
      <c r="K166" s="87"/>
      <c r="L166" s="87"/>
    </row>
    <row r="167" spans="1:12" ht="12.75">
      <c r="A167" s="88" t="s">
        <v>210</v>
      </c>
      <c r="B167" s="88"/>
      <c r="C167" s="84" t="s">
        <v>211</v>
      </c>
      <c r="D167" s="85">
        <f aca="true" t="shared" si="68" ref="D167:D173">E167+F167+G167+H167</f>
        <v>1469</v>
      </c>
      <c r="E167" s="86">
        <f>15+9+62.5</f>
        <v>86.5</v>
      </c>
      <c r="F167" s="86">
        <f>65+57+92.5</f>
        <v>214.5</v>
      </c>
      <c r="G167" s="86">
        <f>75+55+362.5</f>
        <v>492.5</v>
      </c>
      <c r="H167" s="86">
        <f>25+24+626.5</f>
        <v>675.5</v>
      </c>
      <c r="I167" s="87">
        <f t="shared" si="67"/>
        <v>793.5</v>
      </c>
      <c r="J167" s="86">
        <v>-631.9</v>
      </c>
      <c r="K167" s="87">
        <f t="shared" si="65"/>
        <v>-79.63453056080655</v>
      </c>
      <c r="L167" s="87">
        <f t="shared" si="66"/>
        <v>-43.015656909462216</v>
      </c>
    </row>
    <row r="168" spans="1:12" ht="12.75">
      <c r="A168" s="88" t="s">
        <v>212</v>
      </c>
      <c r="B168" s="88"/>
      <c r="C168" s="84" t="s">
        <v>213</v>
      </c>
      <c r="D168" s="85">
        <f t="shared" si="68"/>
        <v>190</v>
      </c>
      <c r="E168" s="86">
        <v>47.4</v>
      </c>
      <c r="F168" s="86">
        <v>47.4</v>
      </c>
      <c r="G168" s="86">
        <v>47.4</v>
      </c>
      <c r="H168" s="86">
        <v>47.8</v>
      </c>
      <c r="I168" s="87">
        <f t="shared" si="67"/>
        <v>142.2</v>
      </c>
      <c r="J168" s="86">
        <v>143.3</v>
      </c>
      <c r="K168" s="87">
        <f t="shared" si="65"/>
        <v>100.77355836849509</v>
      </c>
      <c r="L168" s="87">
        <f t="shared" si="66"/>
        <v>75.42105263157896</v>
      </c>
    </row>
    <row r="169" spans="1:12" ht="24">
      <c r="A169" s="90" t="s">
        <v>216</v>
      </c>
      <c r="B169" s="91"/>
      <c r="C169" s="84" t="s">
        <v>217</v>
      </c>
      <c r="D169" s="85">
        <f t="shared" si="68"/>
        <v>710</v>
      </c>
      <c r="E169" s="86">
        <f>50+60</f>
        <v>110</v>
      </c>
      <c r="F169" s="86">
        <f>126+100+30</f>
        <v>256</v>
      </c>
      <c r="G169" s="86">
        <f>74+100+30</f>
        <v>204</v>
      </c>
      <c r="H169" s="86">
        <f>100+40</f>
        <v>140</v>
      </c>
      <c r="I169" s="87">
        <f t="shared" si="67"/>
        <v>570</v>
      </c>
      <c r="J169" s="86">
        <v>782</v>
      </c>
      <c r="K169" s="87">
        <f t="shared" si="65"/>
        <v>137.19298245614036</v>
      </c>
      <c r="L169" s="87">
        <f t="shared" si="66"/>
        <v>110.14084507042254</v>
      </c>
    </row>
    <row r="170" spans="1:12" ht="24">
      <c r="A170" s="93" t="s">
        <v>220</v>
      </c>
      <c r="B170" s="93"/>
      <c r="C170" s="84" t="s">
        <v>221</v>
      </c>
      <c r="D170" s="85">
        <f t="shared" si="68"/>
        <v>85</v>
      </c>
      <c r="E170" s="86">
        <v>39</v>
      </c>
      <c r="F170" s="86">
        <v>40</v>
      </c>
      <c r="G170" s="86">
        <v>0</v>
      </c>
      <c r="H170" s="86">
        <v>6</v>
      </c>
      <c r="I170" s="87">
        <f t="shared" si="67"/>
        <v>79</v>
      </c>
      <c r="J170" s="86">
        <v>171.7</v>
      </c>
      <c r="K170" s="87">
        <f t="shared" si="65"/>
        <v>217.34177215189874</v>
      </c>
      <c r="L170" s="87">
        <f t="shared" si="66"/>
        <v>202</v>
      </c>
    </row>
    <row r="171" spans="1:12" ht="24">
      <c r="A171" s="93" t="s">
        <v>222</v>
      </c>
      <c r="B171" s="93"/>
      <c r="C171" s="84" t="s">
        <v>223</v>
      </c>
      <c r="D171" s="85">
        <f t="shared" si="68"/>
        <v>170.5</v>
      </c>
      <c r="E171" s="86">
        <v>12.5</v>
      </c>
      <c r="F171" s="86">
        <f>82-22.5</f>
        <v>59.5</v>
      </c>
      <c r="G171" s="86">
        <v>12.5</v>
      </c>
      <c r="H171" s="86">
        <f>63.5+22.5</f>
        <v>86</v>
      </c>
      <c r="I171" s="87">
        <f t="shared" si="67"/>
        <v>84.5</v>
      </c>
      <c r="J171" s="86">
        <v>104.4</v>
      </c>
      <c r="K171" s="87">
        <f t="shared" si="65"/>
        <v>123.55029585798817</v>
      </c>
      <c r="L171" s="87">
        <f t="shared" si="66"/>
        <v>61.2316715542522</v>
      </c>
    </row>
    <row r="172" spans="1:12" ht="12.75">
      <c r="A172" s="83" t="s">
        <v>226</v>
      </c>
      <c r="B172" s="83"/>
      <c r="C172" s="84" t="s">
        <v>227</v>
      </c>
      <c r="D172" s="85">
        <f t="shared" si="68"/>
        <v>497.9</v>
      </c>
      <c r="E172" s="86"/>
      <c r="F172" s="86">
        <v>451.4</v>
      </c>
      <c r="G172" s="86">
        <v>46.5</v>
      </c>
      <c r="H172" s="86"/>
      <c r="I172" s="87">
        <f t="shared" si="67"/>
        <v>497.9</v>
      </c>
      <c r="J172" s="86">
        <v>515.2</v>
      </c>
      <c r="K172" s="87">
        <f t="shared" si="65"/>
        <v>103.47459329182568</v>
      </c>
      <c r="L172" s="87">
        <f t="shared" si="66"/>
        <v>103.47459329182568</v>
      </c>
    </row>
    <row r="173" spans="1:12" ht="12.75">
      <c r="A173" s="120" t="s">
        <v>228</v>
      </c>
      <c r="B173" s="95"/>
      <c r="C173" s="96" t="s">
        <v>229</v>
      </c>
      <c r="D173" s="85">
        <f t="shared" si="68"/>
        <v>0</v>
      </c>
      <c r="E173" s="86"/>
      <c r="F173" s="86"/>
      <c r="G173" s="86"/>
      <c r="H173" s="86"/>
      <c r="I173" s="87">
        <f t="shared" si="67"/>
        <v>0</v>
      </c>
      <c r="J173" s="86">
        <v>2</v>
      </c>
      <c r="K173" s="87" t="e">
        <f t="shared" si="65"/>
        <v>#DIV/0!</v>
      </c>
      <c r="L173" s="87"/>
    </row>
    <row r="174" spans="1:12" ht="12.75">
      <c r="A174" s="80" t="s">
        <v>234</v>
      </c>
      <c r="B174" s="80"/>
      <c r="C174" s="97" t="s">
        <v>235</v>
      </c>
      <c r="D174" s="114">
        <f>D175</f>
        <v>59247.7</v>
      </c>
      <c r="E174" s="114">
        <f aca="true" t="shared" si="69" ref="E174:J174">E175</f>
        <v>14217</v>
      </c>
      <c r="F174" s="114">
        <f t="shared" si="69"/>
        <v>13443.9</v>
      </c>
      <c r="G174" s="114">
        <f t="shared" si="69"/>
        <v>20071.7</v>
      </c>
      <c r="H174" s="114">
        <f t="shared" si="69"/>
        <v>11455.5</v>
      </c>
      <c r="I174" s="114">
        <f t="shared" si="69"/>
        <v>47732.600000000006</v>
      </c>
      <c r="J174" s="114">
        <f t="shared" si="69"/>
        <v>56461.6</v>
      </c>
      <c r="K174" s="82">
        <f t="shared" si="65"/>
        <v>118.28729212320299</v>
      </c>
      <c r="L174" s="82">
        <f t="shared" si="66"/>
        <v>95.29753897619655</v>
      </c>
    </row>
    <row r="175" spans="1:12" ht="24">
      <c r="A175" s="99" t="s">
        <v>236</v>
      </c>
      <c r="B175" s="88"/>
      <c r="C175" s="100" t="s">
        <v>237</v>
      </c>
      <c r="D175" s="85">
        <v>59247.7</v>
      </c>
      <c r="E175" s="86">
        <v>14217</v>
      </c>
      <c r="F175" s="86">
        <v>13443.9</v>
      </c>
      <c r="G175" s="86">
        <f>2710.5+4575+2647.6+9279.5+764.7+58.4+36</f>
        <v>20071.7</v>
      </c>
      <c r="H175" s="86">
        <f>2710.6+4575+4120.6+49.3</f>
        <v>11455.5</v>
      </c>
      <c r="I175" s="87">
        <f>E175+F175+G175</f>
        <v>47732.600000000006</v>
      </c>
      <c r="J175" s="86">
        <v>56461.6</v>
      </c>
      <c r="K175" s="87">
        <f t="shared" si="65"/>
        <v>118.28729212320299</v>
      </c>
      <c r="L175" s="87">
        <f t="shared" si="66"/>
        <v>95.29753897619655</v>
      </c>
    </row>
    <row r="176" spans="1:12" ht="12.75">
      <c r="A176" s="83"/>
      <c r="B176" s="110"/>
      <c r="C176" s="111" t="s">
        <v>244</v>
      </c>
      <c r="D176" s="112">
        <f>D174+D164</f>
        <v>75874.1</v>
      </c>
      <c r="E176" s="112">
        <f aca="true" t="shared" si="70" ref="E176:J176">E174+E164</f>
        <v>17888.4</v>
      </c>
      <c r="F176" s="112">
        <f t="shared" si="70"/>
        <v>17888.7</v>
      </c>
      <c r="G176" s="112">
        <f t="shared" si="70"/>
        <v>24250.6</v>
      </c>
      <c r="H176" s="112">
        <f>H174+H164</f>
        <v>15786.8</v>
      </c>
      <c r="I176" s="112">
        <f t="shared" si="70"/>
        <v>60027.700000000004</v>
      </c>
      <c r="J176" s="112">
        <f t="shared" si="70"/>
        <v>69076.8</v>
      </c>
      <c r="K176" s="82">
        <f t="shared" si="65"/>
        <v>115.07487376661108</v>
      </c>
      <c r="L176" s="82">
        <f t="shared" si="66"/>
        <v>91.04134348875309</v>
      </c>
    </row>
    <row r="177" spans="1:12" ht="12.75">
      <c r="A177" s="176"/>
      <c r="B177" s="177"/>
      <c r="C177" s="177"/>
      <c r="D177" s="177"/>
      <c r="E177" s="177"/>
      <c r="F177" s="177"/>
      <c r="G177" s="177"/>
      <c r="H177" s="177"/>
      <c r="I177" s="177"/>
      <c r="J177" s="177"/>
      <c r="K177" s="177"/>
      <c r="L177" s="178"/>
    </row>
    <row r="178" spans="1:12" ht="12.75">
      <c r="A178" s="179" t="s">
        <v>255</v>
      </c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1"/>
    </row>
    <row r="179" spans="1:12" ht="12.75">
      <c r="A179" s="80" t="s">
        <v>204</v>
      </c>
      <c r="B179" s="80"/>
      <c r="C179" s="81" t="s">
        <v>205</v>
      </c>
      <c r="D179" s="82">
        <f>D180+D182+D184+D185+D183+D186+D187+D188+D181</f>
        <v>1597.3000000000002</v>
      </c>
      <c r="E179" s="82">
        <f aca="true" t="shared" si="71" ref="E179:J179">E180+E182+E184+E185+E183+E186+E187+E188+E181</f>
        <v>167.2</v>
      </c>
      <c r="F179" s="82">
        <f t="shared" si="71"/>
        <v>614.6</v>
      </c>
      <c r="G179" s="82">
        <f t="shared" si="71"/>
        <v>404.2</v>
      </c>
      <c r="H179" s="82">
        <f t="shared" si="71"/>
        <v>411.3</v>
      </c>
      <c r="I179" s="82">
        <f t="shared" si="71"/>
        <v>1186</v>
      </c>
      <c r="J179" s="82">
        <f t="shared" si="71"/>
        <v>1578.0000000000002</v>
      </c>
      <c r="K179" s="82">
        <f aca="true" t="shared" si="72" ref="K179:K187">J179/I179*100</f>
        <v>133.0522765598651</v>
      </c>
      <c r="L179" s="82">
        <f>J179/D179*100</f>
        <v>98.79171101233332</v>
      </c>
    </row>
    <row r="180" spans="1:12" ht="12.75">
      <c r="A180" s="83" t="s">
        <v>206</v>
      </c>
      <c r="B180" s="83"/>
      <c r="C180" s="84" t="s">
        <v>207</v>
      </c>
      <c r="D180" s="85">
        <f aca="true" t="shared" si="73" ref="D180:D188">E180+F180+G180+H180</f>
        <v>1024.5</v>
      </c>
      <c r="E180" s="86">
        <v>120</v>
      </c>
      <c r="F180" s="86">
        <v>306.4</v>
      </c>
      <c r="G180" s="86">
        <v>280</v>
      </c>
      <c r="H180" s="86">
        <v>318.1</v>
      </c>
      <c r="I180" s="87">
        <f>E180+F180+G180</f>
        <v>706.4</v>
      </c>
      <c r="J180" s="86">
        <v>928.1</v>
      </c>
      <c r="K180" s="87">
        <f t="shared" si="72"/>
        <v>131.38448471121177</v>
      </c>
      <c r="L180" s="87">
        <f aca="true" t="shared" si="74" ref="L180:L191">J180/D180*100</f>
        <v>90.59053196681307</v>
      </c>
    </row>
    <row r="181" spans="1:12" ht="36">
      <c r="A181" s="88" t="s">
        <v>208</v>
      </c>
      <c r="B181" s="129" t="s">
        <v>256</v>
      </c>
      <c r="C181" s="84" t="s">
        <v>209</v>
      </c>
      <c r="D181" s="85">
        <f t="shared" si="73"/>
        <v>13.2</v>
      </c>
      <c r="E181" s="86"/>
      <c r="F181" s="86">
        <v>13.2</v>
      </c>
      <c r="G181" s="86"/>
      <c r="H181" s="86"/>
      <c r="I181" s="87">
        <f aca="true" t="shared" si="75" ref="I181:I187">E181+F181+G181</f>
        <v>13.2</v>
      </c>
      <c r="J181" s="86">
        <v>13.2</v>
      </c>
      <c r="K181" s="87">
        <f t="shared" si="72"/>
        <v>100</v>
      </c>
      <c r="L181" s="87">
        <f>J181/D181*100</f>
        <v>100</v>
      </c>
    </row>
    <row r="182" spans="1:12" ht="12.75">
      <c r="A182" s="88" t="s">
        <v>210</v>
      </c>
      <c r="B182" s="88"/>
      <c r="C182" s="84" t="s">
        <v>211</v>
      </c>
      <c r="D182" s="85">
        <f t="shared" si="73"/>
        <v>92</v>
      </c>
      <c r="E182" s="86">
        <v>5</v>
      </c>
      <c r="F182" s="86">
        <v>8</v>
      </c>
      <c r="G182" s="86">
        <v>39</v>
      </c>
      <c r="H182" s="86">
        <v>40</v>
      </c>
      <c r="I182" s="87">
        <f t="shared" si="75"/>
        <v>52</v>
      </c>
      <c r="J182" s="86">
        <v>64.2</v>
      </c>
      <c r="K182" s="87">
        <f t="shared" si="72"/>
        <v>123.46153846153847</v>
      </c>
      <c r="L182" s="87">
        <f t="shared" si="74"/>
        <v>69.78260869565219</v>
      </c>
    </row>
    <row r="183" spans="1:12" ht="12.75">
      <c r="A183" s="88" t="s">
        <v>212</v>
      </c>
      <c r="B183" s="88"/>
      <c r="C183" s="84" t="s">
        <v>213</v>
      </c>
      <c r="D183" s="85">
        <f t="shared" si="73"/>
        <v>27</v>
      </c>
      <c r="E183" s="86">
        <v>5</v>
      </c>
      <c r="F183" s="86">
        <v>7</v>
      </c>
      <c r="G183" s="86">
        <v>8</v>
      </c>
      <c r="H183" s="86">
        <v>7</v>
      </c>
      <c r="I183" s="87">
        <f t="shared" si="75"/>
        <v>20</v>
      </c>
      <c r="J183" s="86">
        <v>21.2</v>
      </c>
      <c r="K183" s="87">
        <f t="shared" si="72"/>
        <v>106</v>
      </c>
      <c r="L183" s="87">
        <f t="shared" si="74"/>
        <v>78.51851851851852</v>
      </c>
    </row>
    <row r="184" spans="1:12" ht="24">
      <c r="A184" s="90" t="s">
        <v>216</v>
      </c>
      <c r="B184" s="91"/>
      <c r="C184" s="84" t="s">
        <v>217</v>
      </c>
      <c r="D184" s="85">
        <f t="shared" si="73"/>
        <v>217.89999999999998</v>
      </c>
      <c r="E184" s="86">
        <f>21+11.2+5</f>
        <v>37.2</v>
      </c>
      <c r="F184" s="86">
        <v>90.2</v>
      </c>
      <c r="G184" s="86">
        <f>33+11.3</f>
        <v>44.3</v>
      </c>
      <c r="H184" s="86">
        <f>35+11.2</f>
        <v>46.2</v>
      </c>
      <c r="I184" s="87">
        <f t="shared" si="75"/>
        <v>171.7</v>
      </c>
      <c r="J184" s="86">
        <v>318.3</v>
      </c>
      <c r="K184" s="87">
        <f t="shared" si="72"/>
        <v>185.38147932440305</v>
      </c>
      <c r="L184" s="87">
        <f t="shared" si="74"/>
        <v>146.07618173474071</v>
      </c>
    </row>
    <row r="185" spans="1:12" ht="24">
      <c r="A185" s="92" t="s">
        <v>222</v>
      </c>
      <c r="B185" s="92"/>
      <c r="C185" s="84" t="s">
        <v>223</v>
      </c>
      <c r="D185" s="85">
        <f t="shared" si="73"/>
        <v>0.7</v>
      </c>
      <c r="E185" s="86"/>
      <c r="F185" s="86">
        <v>0.7</v>
      </c>
      <c r="G185" s="86"/>
      <c r="H185" s="86"/>
      <c r="I185" s="87">
        <f t="shared" si="75"/>
        <v>0.7</v>
      </c>
      <c r="J185" s="86">
        <v>1</v>
      </c>
      <c r="K185" s="87">
        <f t="shared" si="72"/>
        <v>142.85714285714286</v>
      </c>
      <c r="L185" s="87">
        <f t="shared" si="74"/>
        <v>142.85714285714286</v>
      </c>
    </row>
    <row r="186" spans="1:12" ht="12.75">
      <c r="A186" s="92" t="s">
        <v>226</v>
      </c>
      <c r="B186" s="128"/>
      <c r="C186" s="84" t="s">
        <v>227</v>
      </c>
      <c r="D186" s="85">
        <f t="shared" si="73"/>
        <v>222</v>
      </c>
      <c r="E186" s="86"/>
      <c r="F186" s="86">
        <v>189.1</v>
      </c>
      <c r="G186" s="86">
        <v>32.9</v>
      </c>
      <c r="H186" s="86"/>
      <c r="I186" s="87">
        <f t="shared" si="75"/>
        <v>222</v>
      </c>
      <c r="J186" s="86">
        <v>222</v>
      </c>
      <c r="K186" s="87">
        <f t="shared" si="72"/>
        <v>100</v>
      </c>
      <c r="L186" s="87">
        <f t="shared" si="74"/>
        <v>100</v>
      </c>
    </row>
    <row r="187" spans="1:12" ht="12.75">
      <c r="A187" s="120" t="s">
        <v>228</v>
      </c>
      <c r="B187" s="95"/>
      <c r="C187" s="96" t="s">
        <v>229</v>
      </c>
      <c r="D187" s="85">
        <f t="shared" si="73"/>
        <v>0</v>
      </c>
      <c r="E187" s="86"/>
      <c r="F187" s="86"/>
      <c r="G187" s="86"/>
      <c r="H187" s="86"/>
      <c r="I187" s="87">
        <f t="shared" si="75"/>
        <v>0</v>
      </c>
      <c r="J187" s="86">
        <v>10</v>
      </c>
      <c r="K187" s="87" t="e">
        <f t="shared" si="72"/>
        <v>#DIV/0!</v>
      </c>
      <c r="L187" s="87"/>
    </row>
    <row r="188" spans="1:12" ht="12.75">
      <c r="A188" s="94" t="s">
        <v>232</v>
      </c>
      <c r="B188" s="95"/>
      <c r="C188" s="96" t="s">
        <v>233</v>
      </c>
      <c r="D188" s="85">
        <f t="shared" si="73"/>
        <v>0</v>
      </c>
      <c r="E188" s="85"/>
      <c r="F188" s="85"/>
      <c r="G188" s="85"/>
      <c r="H188" s="85"/>
      <c r="I188" s="82">
        <f>E188</f>
        <v>0</v>
      </c>
      <c r="J188" s="86"/>
      <c r="K188" s="82"/>
      <c r="L188" s="82"/>
    </row>
    <row r="189" spans="1:12" ht="12.75">
      <c r="A189" s="80" t="s">
        <v>234</v>
      </c>
      <c r="B189" s="80"/>
      <c r="C189" s="97" t="s">
        <v>235</v>
      </c>
      <c r="D189" s="98">
        <f aca="true" t="shared" si="76" ref="D189:J189">D190</f>
        <v>27066</v>
      </c>
      <c r="E189" s="98">
        <f t="shared" si="76"/>
        <v>5713.1</v>
      </c>
      <c r="F189" s="98">
        <f t="shared" si="76"/>
        <v>9956.2</v>
      </c>
      <c r="G189" s="98">
        <f t="shared" si="76"/>
        <v>4907.900000000001</v>
      </c>
      <c r="H189" s="98">
        <f t="shared" si="76"/>
        <v>6271.500000000001</v>
      </c>
      <c r="I189" s="98">
        <f t="shared" si="76"/>
        <v>20577.2</v>
      </c>
      <c r="J189" s="98">
        <f t="shared" si="76"/>
        <v>25546.9</v>
      </c>
      <c r="K189" s="82">
        <f>J189/I189*100</f>
        <v>124.15148805474021</v>
      </c>
      <c r="L189" s="82">
        <f t="shared" si="74"/>
        <v>94.38742333555015</v>
      </c>
    </row>
    <row r="190" spans="1:12" ht="24">
      <c r="A190" s="99" t="s">
        <v>236</v>
      </c>
      <c r="B190" s="88"/>
      <c r="C190" s="100" t="s">
        <v>237</v>
      </c>
      <c r="D190" s="85">
        <v>27066</v>
      </c>
      <c r="E190" s="86">
        <v>5713.1</v>
      </c>
      <c r="F190" s="86">
        <v>9956.2</v>
      </c>
      <c r="G190" s="86">
        <f>1935+2867.3+105.6</f>
        <v>4907.900000000001</v>
      </c>
      <c r="H190" s="86">
        <f>1932.6+2869.1+135.1+1245.4+89.3</f>
        <v>6271.500000000001</v>
      </c>
      <c r="I190" s="87">
        <f>E190+F190+G190</f>
        <v>20577.2</v>
      </c>
      <c r="J190" s="86">
        <v>25546.9</v>
      </c>
      <c r="K190" s="87">
        <f>J190/I190*100</f>
        <v>124.15148805474021</v>
      </c>
      <c r="L190" s="87">
        <f t="shared" si="74"/>
        <v>94.38742333555015</v>
      </c>
    </row>
    <row r="191" spans="1:12" ht="12.75">
      <c r="A191" s="83"/>
      <c r="B191" s="110"/>
      <c r="C191" s="111" t="s">
        <v>244</v>
      </c>
      <c r="D191" s="112">
        <f>D189+D179</f>
        <v>28663.3</v>
      </c>
      <c r="E191" s="112">
        <f aca="true" t="shared" si="77" ref="E191:J191">E189+E179</f>
        <v>5880.3</v>
      </c>
      <c r="F191" s="112">
        <f t="shared" si="77"/>
        <v>10570.800000000001</v>
      </c>
      <c r="G191" s="112">
        <f t="shared" si="77"/>
        <v>5312.1</v>
      </c>
      <c r="H191" s="112">
        <f t="shared" si="77"/>
        <v>6682.800000000001</v>
      </c>
      <c r="I191" s="112">
        <f t="shared" si="77"/>
        <v>21763.2</v>
      </c>
      <c r="J191" s="112">
        <f t="shared" si="77"/>
        <v>27124.9</v>
      </c>
      <c r="K191" s="82">
        <f>J191/I191*100</f>
        <v>124.63654242023232</v>
      </c>
      <c r="L191" s="82">
        <f t="shared" si="74"/>
        <v>94.63285804495645</v>
      </c>
    </row>
    <row r="192" spans="1:12" ht="12.75">
      <c r="A192" s="176"/>
      <c r="B192" s="177"/>
      <c r="C192" s="177"/>
      <c r="D192" s="177"/>
      <c r="E192" s="177"/>
      <c r="F192" s="177"/>
      <c r="G192" s="177"/>
      <c r="H192" s="177"/>
      <c r="I192" s="177"/>
      <c r="J192" s="177"/>
      <c r="K192" s="177"/>
      <c r="L192" s="178"/>
    </row>
    <row r="193" spans="1:12" ht="12.75">
      <c r="A193" s="179" t="s">
        <v>257</v>
      </c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1"/>
    </row>
    <row r="194" spans="1:12" ht="12.75">
      <c r="A194" s="80" t="s">
        <v>204</v>
      </c>
      <c r="B194" s="130"/>
      <c r="C194" s="81" t="s">
        <v>205</v>
      </c>
      <c r="D194" s="82">
        <f aca="true" t="shared" si="78" ref="D194:I194">D195+D196+D197+D198+D200+D201+D203+D205+D202+D199+D208+D206+D204+D207</f>
        <v>914793.2</v>
      </c>
      <c r="E194" s="82">
        <f t="shared" si="78"/>
        <v>210577.90000000002</v>
      </c>
      <c r="F194" s="82">
        <f t="shared" si="78"/>
        <v>251604.30000000005</v>
      </c>
      <c r="G194" s="82">
        <f t="shared" si="78"/>
        <v>210928.1</v>
      </c>
      <c r="H194" s="82">
        <f t="shared" si="78"/>
        <v>240521.70000000007</v>
      </c>
      <c r="I194" s="82">
        <f t="shared" si="78"/>
        <v>673110.2999999999</v>
      </c>
      <c r="J194" s="82">
        <f>J195+J196+J197+J198+J200+J201+J203+J205+J202+J199+J208+J206+J204+J207+0.1</f>
        <v>821102.8999999998</v>
      </c>
      <c r="K194" s="82">
        <f>J194/I194*100</f>
        <v>121.98638172673928</v>
      </c>
      <c r="L194" s="82">
        <f>J194/D194*100</f>
        <v>89.75830821654553</v>
      </c>
    </row>
    <row r="195" spans="1:12" ht="36">
      <c r="A195" s="83" t="s">
        <v>206</v>
      </c>
      <c r="B195" s="131" t="s">
        <v>258</v>
      </c>
      <c r="C195" s="84" t="s">
        <v>207</v>
      </c>
      <c r="D195" s="86">
        <f aca="true" t="shared" si="79" ref="D195:J195">D9+D32+D44+D59+D75+D92+D106+D120+D135+D150+D165+D180</f>
        <v>684430.5999999999</v>
      </c>
      <c r="E195" s="86">
        <f t="shared" si="79"/>
        <v>162288.20000000004</v>
      </c>
      <c r="F195" s="86">
        <f t="shared" si="79"/>
        <v>175446.00000000006</v>
      </c>
      <c r="G195" s="86">
        <f t="shared" si="79"/>
        <v>155448.80000000002</v>
      </c>
      <c r="H195" s="86">
        <f t="shared" si="79"/>
        <v>190355.70000000004</v>
      </c>
      <c r="I195" s="86">
        <f t="shared" si="79"/>
        <v>493183</v>
      </c>
      <c r="J195" s="86">
        <f t="shared" si="79"/>
        <v>601066.6999999998</v>
      </c>
      <c r="K195" s="87">
        <f aca="true" t="shared" si="80" ref="K195:K213">J195/I195*100</f>
        <v>121.87498352538506</v>
      </c>
      <c r="L195" s="87">
        <f aca="true" t="shared" si="81" ref="L195:L213">J195/D195*100</f>
        <v>87.81996304665512</v>
      </c>
    </row>
    <row r="196" spans="1:12" ht="36">
      <c r="A196" s="88" t="s">
        <v>208</v>
      </c>
      <c r="B196" s="129" t="s">
        <v>256</v>
      </c>
      <c r="C196" s="84" t="s">
        <v>209</v>
      </c>
      <c r="D196" s="86">
        <f aca="true" t="shared" si="82" ref="D196:J196">D10+D45+D60+D181</f>
        <v>34273.29999999999</v>
      </c>
      <c r="E196" s="86">
        <f t="shared" si="82"/>
        <v>7330.3</v>
      </c>
      <c r="F196" s="86">
        <f t="shared" si="82"/>
        <v>12926.900000000001</v>
      </c>
      <c r="G196" s="86">
        <f t="shared" si="82"/>
        <v>6911.9</v>
      </c>
      <c r="H196" s="86">
        <f t="shared" si="82"/>
        <v>7104.2</v>
      </c>
      <c r="I196" s="86">
        <f t="shared" si="82"/>
        <v>27169.1</v>
      </c>
      <c r="J196" s="86">
        <f t="shared" si="82"/>
        <v>33566.399999999994</v>
      </c>
      <c r="K196" s="87">
        <f t="shared" si="80"/>
        <v>123.54623450905622</v>
      </c>
      <c r="L196" s="87">
        <f t="shared" si="81"/>
        <v>97.93746152252629</v>
      </c>
    </row>
    <row r="197" spans="1:12" ht="36">
      <c r="A197" s="88" t="s">
        <v>210</v>
      </c>
      <c r="B197" s="129" t="s">
        <v>259</v>
      </c>
      <c r="C197" s="84" t="s">
        <v>211</v>
      </c>
      <c r="D197" s="86">
        <f aca="true" t="shared" si="83" ref="D197:I197">D11+D33+D46+D61+D77+D93+D107+D121+D136+D151+D167+D182</f>
        <v>32229.5</v>
      </c>
      <c r="E197" s="86">
        <f t="shared" si="83"/>
        <v>8273.599999999999</v>
      </c>
      <c r="F197" s="86">
        <f t="shared" si="83"/>
        <v>6745.1</v>
      </c>
      <c r="G197" s="86">
        <f t="shared" si="83"/>
        <v>8297.599999999999</v>
      </c>
      <c r="H197" s="86">
        <f t="shared" si="83"/>
        <v>9093</v>
      </c>
      <c r="I197" s="86">
        <f t="shared" si="83"/>
        <v>23316.3</v>
      </c>
      <c r="J197" s="86">
        <f>J11+J33+J46+J61+J77+J93+J107+J121+J136+J151+J167+J182</f>
        <v>26508.199999999993</v>
      </c>
      <c r="K197" s="87">
        <f t="shared" si="80"/>
        <v>113.68956481088335</v>
      </c>
      <c r="L197" s="87">
        <f t="shared" si="81"/>
        <v>82.2482508261065</v>
      </c>
    </row>
    <row r="198" spans="1:12" ht="36">
      <c r="A198" s="88" t="s">
        <v>212</v>
      </c>
      <c r="B198" s="129" t="s">
        <v>260</v>
      </c>
      <c r="C198" s="84" t="s">
        <v>213</v>
      </c>
      <c r="D198" s="86">
        <f>D12+D34+D47+D62+D78+D94+D108+D122+D137+D152+D168+D183</f>
        <v>3697.6</v>
      </c>
      <c r="E198" s="86">
        <f>E12+E34+E62+E78+E94+E108+E122+E137+E152+E168+E183</f>
        <v>1136.8999999999999</v>
      </c>
      <c r="F198" s="86">
        <f>F12+F34+F62+F78+F94+F108+F122+F137+F152+F168+F183</f>
        <v>703.3000000000001</v>
      </c>
      <c r="G198" s="86">
        <f>G12+G34+G62+G78+G94+G108+G122+G137+G152+G168+G183</f>
        <v>896.7</v>
      </c>
      <c r="H198" s="86">
        <f>H12+H34+H62+H78+H94+H108+H122+H137+H152+H168+H183</f>
        <v>968.6999999999999</v>
      </c>
      <c r="I198" s="86">
        <f>I12+I34+I62+I78+I94+I108+I122+I137+I152+I168+I183</f>
        <v>2736.8999999999996</v>
      </c>
      <c r="J198" s="86">
        <f>J12+J34+J47+J62+J78+J94+J108+J122+J137+J152+J168+J183-0.1</f>
        <v>3418.7999999999997</v>
      </c>
      <c r="K198" s="87">
        <f t="shared" si="80"/>
        <v>124.91504987394497</v>
      </c>
      <c r="L198" s="87">
        <f t="shared" si="81"/>
        <v>92.45997403721333</v>
      </c>
    </row>
    <row r="199" spans="1:12" ht="24">
      <c r="A199" s="89" t="s">
        <v>214</v>
      </c>
      <c r="B199" s="129" t="s">
        <v>261</v>
      </c>
      <c r="C199" s="84" t="s">
        <v>215</v>
      </c>
      <c r="D199" s="85">
        <f>E199+F199+G199+H199</f>
        <v>1.6</v>
      </c>
      <c r="E199" s="132">
        <f aca="true" t="shared" si="84" ref="E199:J199">E13</f>
        <v>0</v>
      </c>
      <c r="F199" s="132">
        <f t="shared" si="84"/>
        <v>0</v>
      </c>
      <c r="G199" s="132">
        <f t="shared" si="84"/>
        <v>1.6</v>
      </c>
      <c r="H199" s="132">
        <f t="shared" si="84"/>
        <v>0</v>
      </c>
      <c r="I199" s="132">
        <f t="shared" si="84"/>
        <v>1.6</v>
      </c>
      <c r="J199" s="132">
        <f t="shared" si="84"/>
        <v>1.6</v>
      </c>
      <c r="K199" s="87">
        <f>J199/I199*100</f>
        <v>100</v>
      </c>
      <c r="L199" s="87">
        <f>J199/D199*100</f>
        <v>100</v>
      </c>
    </row>
    <row r="200" spans="1:12" ht="36">
      <c r="A200" s="90" t="s">
        <v>216</v>
      </c>
      <c r="B200" s="133" t="s">
        <v>262</v>
      </c>
      <c r="C200" s="84" t="s">
        <v>217</v>
      </c>
      <c r="D200" s="86">
        <f aca="true" t="shared" si="85" ref="D200:I200">D14+D35+D48+D63+D79+D95+D109+D123+D138+D153+D169+D184</f>
        <v>95337.4</v>
      </c>
      <c r="E200" s="86">
        <f t="shared" si="85"/>
        <v>19497.3</v>
      </c>
      <c r="F200" s="86">
        <f t="shared" si="85"/>
        <v>24420.2</v>
      </c>
      <c r="G200" s="86">
        <f t="shared" si="85"/>
        <v>28907.199999999997</v>
      </c>
      <c r="H200" s="86">
        <f t="shared" si="85"/>
        <v>22109.700000000004</v>
      </c>
      <c r="I200" s="86">
        <f t="shared" si="85"/>
        <v>72824.70000000001</v>
      </c>
      <c r="J200" s="86">
        <f>J14+J35+J48+J63+J79+J95+J109+J123+J138+J153+J169+J184-0.1</f>
        <v>88601.5</v>
      </c>
      <c r="K200" s="87">
        <f t="shared" si="80"/>
        <v>121.66407825916205</v>
      </c>
      <c r="L200" s="87">
        <f t="shared" si="81"/>
        <v>92.93467201748737</v>
      </c>
    </row>
    <row r="201" spans="1:12" ht="12.75">
      <c r="A201" s="92" t="s">
        <v>218</v>
      </c>
      <c r="B201" s="134" t="s">
        <v>263</v>
      </c>
      <c r="C201" s="84" t="s">
        <v>219</v>
      </c>
      <c r="D201" s="86">
        <f aca="true" t="shared" si="86" ref="D201:J201">D15</f>
        <v>18500</v>
      </c>
      <c r="E201" s="86">
        <f t="shared" si="86"/>
        <v>5530.5</v>
      </c>
      <c r="F201" s="86">
        <f t="shared" si="86"/>
        <v>4949.5</v>
      </c>
      <c r="G201" s="86">
        <f t="shared" si="86"/>
        <v>4259.5</v>
      </c>
      <c r="H201" s="86">
        <f t="shared" si="86"/>
        <v>3760.5</v>
      </c>
      <c r="I201" s="86">
        <f t="shared" si="86"/>
        <v>14739.5</v>
      </c>
      <c r="J201" s="86">
        <f t="shared" si="86"/>
        <v>17622.3</v>
      </c>
      <c r="K201" s="87">
        <f t="shared" si="80"/>
        <v>119.5583296584009</v>
      </c>
      <c r="L201" s="87">
        <f t="shared" si="81"/>
        <v>95.25567567567568</v>
      </c>
    </row>
    <row r="202" spans="1:12" ht="24">
      <c r="A202" s="93" t="s">
        <v>220</v>
      </c>
      <c r="B202" s="135" t="s">
        <v>264</v>
      </c>
      <c r="C202" s="84" t="s">
        <v>221</v>
      </c>
      <c r="D202" s="136">
        <f aca="true" t="shared" si="87" ref="D202:J202">D16+D80+D96+D124+D139+D154+D170+D110+D64</f>
        <v>19457</v>
      </c>
      <c r="E202" s="136">
        <f t="shared" si="87"/>
        <v>1915.6</v>
      </c>
      <c r="F202" s="136">
        <f t="shared" si="87"/>
        <v>16280.2</v>
      </c>
      <c r="G202" s="136">
        <f t="shared" si="87"/>
        <v>431.40000000000003</v>
      </c>
      <c r="H202" s="136">
        <f t="shared" si="87"/>
        <v>805.0000000000001</v>
      </c>
      <c r="I202" s="136">
        <f t="shared" si="87"/>
        <v>18627.2</v>
      </c>
      <c r="J202" s="136">
        <f t="shared" si="87"/>
        <v>19943.2</v>
      </c>
      <c r="K202" s="87">
        <f>J202/I202*100</f>
        <v>107.06493729599724</v>
      </c>
      <c r="L202" s="87">
        <f>J202/D202*100</f>
        <v>102.49884360384438</v>
      </c>
    </row>
    <row r="203" spans="1:12" ht="24">
      <c r="A203" s="93" t="s">
        <v>222</v>
      </c>
      <c r="B203" s="135" t="s">
        <v>265</v>
      </c>
      <c r="C203" s="84" t="s">
        <v>223</v>
      </c>
      <c r="D203" s="86">
        <f aca="true" t="shared" si="88" ref="D203:J203">D17+D36+D49+D65+D81+D97+D111+D140+D155+D171+D185+D125</f>
        <v>15134.900000000001</v>
      </c>
      <c r="E203" s="86">
        <f t="shared" si="88"/>
        <v>3548.5</v>
      </c>
      <c r="F203" s="86">
        <f t="shared" si="88"/>
        <v>3329.8999999999996</v>
      </c>
      <c r="G203" s="86">
        <f t="shared" si="88"/>
        <v>3534.6</v>
      </c>
      <c r="H203" s="86">
        <f t="shared" si="88"/>
        <v>4692.599999999999</v>
      </c>
      <c r="I203" s="86">
        <f t="shared" si="88"/>
        <v>10413</v>
      </c>
      <c r="J203" s="86">
        <f t="shared" si="88"/>
        <v>13745.000000000002</v>
      </c>
      <c r="K203" s="87">
        <f t="shared" si="80"/>
        <v>131.99846345913764</v>
      </c>
      <c r="L203" s="87">
        <f t="shared" si="81"/>
        <v>90.81658947201502</v>
      </c>
    </row>
    <row r="204" spans="1:12" ht="12.75">
      <c r="A204" s="93" t="s">
        <v>224</v>
      </c>
      <c r="B204" s="93"/>
      <c r="C204" s="84" t="s">
        <v>225</v>
      </c>
      <c r="D204" s="86">
        <f aca="true" t="shared" si="89" ref="D204:J204">D18</f>
        <v>20</v>
      </c>
      <c r="E204" s="86">
        <f t="shared" si="89"/>
        <v>3.2</v>
      </c>
      <c r="F204" s="86">
        <f t="shared" si="89"/>
        <v>4.3</v>
      </c>
      <c r="G204" s="86">
        <f t="shared" si="89"/>
        <v>4</v>
      </c>
      <c r="H204" s="86">
        <f t="shared" si="89"/>
        <v>8.5</v>
      </c>
      <c r="I204" s="86">
        <f t="shared" si="89"/>
        <v>11.5</v>
      </c>
      <c r="J204" s="86">
        <f t="shared" si="89"/>
        <v>11.5</v>
      </c>
      <c r="K204" s="87">
        <f t="shared" si="80"/>
        <v>100</v>
      </c>
      <c r="L204" s="87">
        <f t="shared" si="81"/>
        <v>57.49999999999999</v>
      </c>
    </row>
    <row r="205" spans="1:12" ht="36">
      <c r="A205" s="83" t="s">
        <v>226</v>
      </c>
      <c r="B205" s="131" t="s">
        <v>266</v>
      </c>
      <c r="C205" s="84" t="s">
        <v>227</v>
      </c>
      <c r="D205" s="86">
        <f aca="true" t="shared" si="90" ref="D205:I205">D19+D172+D186+D66+D126+D50+D141</f>
        <v>11711.300000000001</v>
      </c>
      <c r="E205" s="86">
        <f t="shared" si="90"/>
        <v>1053.8</v>
      </c>
      <c r="F205" s="86">
        <f t="shared" si="90"/>
        <v>6798.9</v>
      </c>
      <c r="G205" s="86">
        <f t="shared" si="90"/>
        <v>2234.8</v>
      </c>
      <c r="H205" s="86">
        <f t="shared" si="90"/>
        <v>1623.8</v>
      </c>
      <c r="I205" s="86">
        <f t="shared" si="90"/>
        <v>10087.500000000002</v>
      </c>
      <c r="J205" s="86">
        <f>J19+J172+J186+J66+J126+J50+J141-0.1</f>
        <v>16609.100000000002</v>
      </c>
      <c r="K205" s="87">
        <f t="shared" si="80"/>
        <v>164.65030978934323</v>
      </c>
      <c r="L205" s="87">
        <f t="shared" si="81"/>
        <v>141.82114709724794</v>
      </c>
    </row>
    <row r="206" spans="1:12" ht="24">
      <c r="A206" s="94" t="s">
        <v>228</v>
      </c>
      <c r="B206" s="137" t="s">
        <v>261</v>
      </c>
      <c r="C206" s="96" t="s">
        <v>229</v>
      </c>
      <c r="D206" s="86">
        <f aca="true" t="shared" si="91" ref="D206:I206">D20+D37+D51+D67+D83+D98+D113+D127+D142+D157+D173+D187</f>
        <v>0</v>
      </c>
      <c r="E206" s="86">
        <f t="shared" si="91"/>
        <v>0</v>
      </c>
      <c r="F206" s="86">
        <f t="shared" si="91"/>
        <v>0</v>
      </c>
      <c r="G206" s="86">
        <f t="shared" si="91"/>
        <v>0</v>
      </c>
      <c r="H206" s="86">
        <f t="shared" si="91"/>
        <v>0</v>
      </c>
      <c r="I206" s="86">
        <f t="shared" si="91"/>
        <v>0</v>
      </c>
      <c r="J206" s="86">
        <f>J20+J37+J51+J67+J83+J98+J113+J127+J142+J157+J173+J187-10+0.1</f>
        <v>8.49999999999986</v>
      </c>
      <c r="K206" s="87"/>
      <c r="L206" s="87"/>
    </row>
    <row r="207" spans="1:12" ht="24">
      <c r="A207" s="94" t="s">
        <v>230</v>
      </c>
      <c r="B207" s="95"/>
      <c r="C207" s="96" t="s">
        <v>231</v>
      </c>
      <c r="D207" s="85">
        <f>E207+F207+G207+H207</f>
        <v>0</v>
      </c>
      <c r="E207" s="86">
        <f aca="true" t="shared" si="92" ref="E207:H208">E21</f>
        <v>0</v>
      </c>
      <c r="F207" s="86">
        <f t="shared" si="92"/>
        <v>0</v>
      </c>
      <c r="G207" s="86">
        <f t="shared" si="92"/>
        <v>0</v>
      </c>
      <c r="H207" s="86">
        <f t="shared" si="92"/>
        <v>0</v>
      </c>
      <c r="I207" s="87">
        <f>E207</f>
        <v>0</v>
      </c>
      <c r="J207" s="86">
        <f>J21</f>
        <v>0</v>
      </c>
      <c r="K207" s="87"/>
      <c r="L207" s="87"/>
    </row>
    <row r="208" spans="1:12" ht="24">
      <c r="A208" s="94" t="s">
        <v>232</v>
      </c>
      <c r="B208" s="137" t="s">
        <v>261</v>
      </c>
      <c r="C208" s="96" t="s">
        <v>233</v>
      </c>
      <c r="D208" s="85">
        <f>E208+F208+G208+H208</f>
        <v>0</v>
      </c>
      <c r="E208" s="86">
        <f t="shared" si="92"/>
        <v>0</v>
      </c>
      <c r="F208" s="86">
        <f t="shared" si="92"/>
        <v>0</v>
      </c>
      <c r="G208" s="86">
        <f t="shared" si="92"/>
        <v>0</v>
      </c>
      <c r="H208" s="86">
        <f t="shared" si="92"/>
        <v>0</v>
      </c>
      <c r="I208" s="87">
        <f>E208</f>
        <v>0</v>
      </c>
      <c r="J208" s="86">
        <f>J22+J188+J84+J143</f>
        <v>0</v>
      </c>
      <c r="K208" s="87"/>
      <c r="L208" s="87"/>
    </row>
    <row r="209" spans="1:12" ht="12.75">
      <c r="A209" s="80" t="s">
        <v>234</v>
      </c>
      <c r="B209" s="130"/>
      <c r="C209" s="97" t="s">
        <v>235</v>
      </c>
      <c r="D209" s="98">
        <f aca="true" t="shared" si="93" ref="D209:I209">D210+D211+D212</f>
        <v>3307471.5</v>
      </c>
      <c r="E209" s="98">
        <f t="shared" si="93"/>
        <v>584926.2999999999</v>
      </c>
      <c r="F209" s="98">
        <f t="shared" si="93"/>
        <v>1329122.8</v>
      </c>
      <c r="G209" s="98">
        <f t="shared" si="93"/>
        <v>674168.8</v>
      </c>
      <c r="H209" s="98">
        <f t="shared" si="93"/>
        <v>740797.0000000001</v>
      </c>
      <c r="I209" s="98">
        <f t="shared" si="93"/>
        <v>2588217.9000000004</v>
      </c>
      <c r="J209" s="98">
        <f>J210+J211+J212+0.1</f>
        <v>2801848.1</v>
      </c>
      <c r="K209" s="82">
        <f t="shared" si="80"/>
        <v>108.25394956120194</v>
      </c>
      <c r="L209" s="82">
        <f t="shared" si="81"/>
        <v>84.71269064601161</v>
      </c>
    </row>
    <row r="210" spans="1:12" ht="36">
      <c r="A210" s="99" t="s">
        <v>236</v>
      </c>
      <c r="B210" s="129" t="s">
        <v>267</v>
      </c>
      <c r="C210" s="100" t="s">
        <v>237</v>
      </c>
      <c r="D210" s="105">
        <f>D24-27251.5</f>
        <v>3285769.7</v>
      </c>
      <c r="E210" s="105">
        <f>E24-5301.3</f>
        <v>575631.2999999999</v>
      </c>
      <c r="F210" s="105">
        <f>F24-7951.9-535.1</f>
        <v>1332998.3</v>
      </c>
      <c r="G210" s="105">
        <f>G24-7243.1</f>
        <v>664493.8</v>
      </c>
      <c r="H210" s="105">
        <f>H24-6170-50.2</f>
        <v>734189.7000000001</v>
      </c>
      <c r="I210" s="105">
        <f>E210+F210+G210</f>
        <v>2573123.4000000004</v>
      </c>
      <c r="J210" s="105">
        <f>J24-26522</f>
        <v>2784615.9</v>
      </c>
      <c r="K210" s="107">
        <f t="shared" si="80"/>
        <v>108.21929099863613</v>
      </c>
      <c r="L210" s="107">
        <f t="shared" si="81"/>
        <v>84.74775027598555</v>
      </c>
    </row>
    <row r="211" spans="1:12" ht="36">
      <c r="A211" s="101" t="s">
        <v>238</v>
      </c>
      <c r="B211" s="101" t="s">
        <v>268</v>
      </c>
      <c r="C211" s="102" t="s">
        <v>239</v>
      </c>
      <c r="D211" s="106">
        <f>D25+D87+D101+D160+D130</f>
        <v>36892.3</v>
      </c>
      <c r="E211" s="106">
        <f aca="true" t="shared" si="94" ref="E211:J211">E25+E87+E101+E160+E130</f>
        <v>9295</v>
      </c>
      <c r="F211" s="106">
        <f t="shared" si="94"/>
        <v>11315</v>
      </c>
      <c r="G211" s="106">
        <f t="shared" si="94"/>
        <v>9675</v>
      </c>
      <c r="H211" s="106">
        <f t="shared" si="94"/>
        <v>6607.3</v>
      </c>
      <c r="I211" s="106">
        <f t="shared" si="94"/>
        <v>30285</v>
      </c>
      <c r="J211" s="106">
        <f t="shared" si="94"/>
        <v>38865</v>
      </c>
      <c r="K211" s="107">
        <f t="shared" si="80"/>
        <v>128.3308568598316</v>
      </c>
      <c r="L211" s="107">
        <f t="shared" si="81"/>
        <v>105.34718626922148</v>
      </c>
    </row>
    <row r="212" spans="1:12" ht="36">
      <c r="A212" s="99" t="s">
        <v>242</v>
      </c>
      <c r="B212" s="138"/>
      <c r="C212" s="122" t="s">
        <v>243</v>
      </c>
      <c r="D212" s="105">
        <f>E212+F212+G212+H212</f>
        <v>-15190.5</v>
      </c>
      <c r="E212" s="106">
        <f aca="true" t="shared" si="95" ref="E212:J212">E27</f>
        <v>0</v>
      </c>
      <c r="F212" s="106">
        <f t="shared" si="95"/>
        <v>-15190.5</v>
      </c>
      <c r="G212" s="106">
        <f t="shared" si="95"/>
        <v>0</v>
      </c>
      <c r="H212" s="106">
        <f t="shared" si="95"/>
        <v>0</v>
      </c>
      <c r="I212" s="105">
        <f>E212+F212+G212</f>
        <v>-15190.5</v>
      </c>
      <c r="J212" s="106">
        <f t="shared" si="95"/>
        <v>-21632.9</v>
      </c>
      <c r="K212" s="107">
        <f>J212/I212*100</f>
        <v>142.41071722458116</v>
      </c>
      <c r="L212" s="107">
        <f>J212/D212*100</f>
        <v>142.41071722458116</v>
      </c>
    </row>
    <row r="213" spans="1:12" ht="12.75">
      <c r="A213" s="139"/>
      <c r="B213" s="140"/>
      <c r="C213" s="141" t="s">
        <v>244</v>
      </c>
      <c r="D213" s="142">
        <f>D209+D194</f>
        <v>4222264.7</v>
      </c>
      <c r="E213" s="142">
        <f aca="true" t="shared" si="96" ref="E213:J213">E209+E194</f>
        <v>795504.2</v>
      </c>
      <c r="F213" s="142">
        <f t="shared" si="96"/>
        <v>1580727.1</v>
      </c>
      <c r="G213" s="142">
        <f t="shared" si="96"/>
        <v>885096.9</v>
      </c>
      <c r="H213" s="142">
        <f t="shared" si="96"/>
        <v>981318.7000000002</v>
      </c>
      <c r="I213" s="142">
        <f t="shared" si="96"/>
        <v>3261328.2</v>
      </c>
      <c r="J213" s="142">
        <f t="shared" si="96"/>
        <v>3622951</v>
      </c>
      <c r="K213" s="82">
        <f t="shared" si="80"/>
        <v>111.08820633262239</v>
      </c>
      <c r="L213" s="82">
        <f t="shared" si="81"/>
        <v>85.80587095830349</v>
      </c>
    </row>
  </sheetData>
  <sheetProtection/>
  <mergeCells count="27">
    <mergeCell ref="A178:L178"/>
    <mergeCell ref="A192:L192"/>
    <mergeCell ref="A193:L193"/>
    <mergeCell ref="A133:L133"/>
    <mergeCell ref="A147:L147"/>
    <mergeCell ref="A148:L148"/>
    <mergeCell ref="A162:L162"/>
    <mergeCell ref="A163:L163"/>
    <mergeCell ref="A177:L177"/>
    <mergeCell ref="A90:L90"/>
    <mergeCell ref="A103:L103"/>
    <mergeCell ref="A104:L104"/>
    <mergeCell ref="A117:L117"/>
    <mergeCell ref="A118:L118"/>
    <mergeCell ref="A132:L132"/>
    <mergeCell ref="A42:L42"/>
    <mergeCell ref="A56:L56"/>
    <mergeCell ref="A57:L57"/>
    <mergeCell ref="A72:L72"/>
    <mergeCell ref="A73:L73"/>
    <mergeCell ref="A89:L89"/>
    <mergeCell ref="A1:L1"/>
    <mergeCell ref="A2:L2"/>
    <mergeCell ref="A7:L7"/>
    <mergeCell ref="A29:L29"/>
    <mergeCell ref="A30:L30"/>
    <mergeCell ref="C41:L4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"/>
  <sheetViews>
    <sheetView zoomScalePageLayoutView="0" workbookViewId="0" topLeftCell="A118">
      <selection activeCell="C148" sqref="C148"/>
    </sheetView>
  </sheetViews>
  <sheetFormatPr defaultColWidth="9.00390625" defaultRowHeight="12.75"/>
  <cols>
    <col min="2" max="2" width="49.875" style="0" customWidth="1"/>
    <col min="3" max="3" width="13.75390625" style="0" customWidth="1"/>
    <col min="4" max="4" width="12.875" style="0" customWidth="1"/>
    <col min="5" max="5" width="6.25390625" style="0" customWidth="1"/>
    <col min="6" max="6" width="12.625" style="0" customWidth="1"/>
    <col min="7" max="7" width="10.875" style="0" customWidth="1"/>
    <col min="8" max="8" width="6.875" style="0" customWidth="1"/>
    <col min="9" max="9" width="12.625" style="0" customWidth="1"/>
    <col min="10" max="10" width="11.875" style="0" customWidth="1"/>
  </cols>
  <sheetData>
    <row r="1" spans="1:11" ht="14.25" customHeight="1">
      <c r="A1" s="151" t="s">
        <v>270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2.75" customHeight="1">
      <c r="A3" s="152" t="s">
        <v>98</v>
      </c>
      <c r="B3" s="154" t="s">
        <v>97</v>
      </c>
      <c r="C3" s="156" t="s">
        <v>113</v>
      </c>
      <c r="D3" s="156"/>
      <c r="E3" s="156"/>
      <c r="F3" s="157" t="s">
        <v>112</v>
      </c>
      <c r="G3" s="157"/>
      <c r="H3" s="157"/>
      <c r="I3" s="158" t="s">
        <v>111</v>
      </c>
      <c r="J3" s="158"/>
      <c r="K3" s="159"/>
    </row>
    <row r="4" spans="1:11" ht="12.75" customHeight="1">
      <c r="A4" s="153"/>
      <c r="B4" s="155"/>
      <c r="C4" s="143" t="s">
        <v>78</v>
      </c>
      <c r="D4" s="143" t="s">
        <v>271</v>
      </c>
      <c r="E4" s="143" t="s">
        <v>77</v>
      </c>
      <c r="F4" s="143" t="s">
        <v>78</v>
      </c>
      <c r="G4" s="160" t="s">
        <v>271</v>
      </c>
      <c r="H4" s="160" t="s">
        <v>77</v>
      </c>
      <c r="I4" s="161" t="s">
        <v>78</v>
      </c>
      <c r="J4" s="163" t="s">
        <v>272</v>
      </c>
      <c r="K4" s="146" t="s">
        <v>77</v>
      </c>
    </row>
    <row r="5" spans="1:11" ht="12.75">
      <c r="A5" s="153"/>
      <c r="B5" s="155"/>
      <c r="C5" s="144"/>
      <c r="D5" s="143"/>
      <c r="E5" s="150"/>
      <c r="F5" s="144"/>
      <c r="G5" s="160"/>
      <c r="H5" s="144"/>
      <c r="I5" s="162"/>
      <c r="J5" s="163"/>
      <c r="K5" s="147"/>
    </row>
    <row r="6" spans="1:11" ht="12.75">
      <c r="A6" s="153"/>
      <c r="B6" s="148" t="s">
        <v>0</v>
      </c>
      <c r="C6" s="148"/>
      <c r="D6" s="148"/>
      <c r="E6" s="148"/>
      <c r="F6" s="148"/>
      <c r="G6" s="148"/>
      <c r="H6" s="148"/>
      <c r="I6" s="148"/>
      <c r="J6" s="148"/>
      <c r="K6" s="149"/>
    </row>
    <row r="7" spans="1:11" ht="12.75">
      <c r="A7" s="153"/>
      <c r="B7" s="148"/>
      <c r="C7" s="148"/>
      <c r="D7" s="148"/>
      <c r="E7" s="148"/>
      <c r="F7" s="148"/>
      <c r="G7" s="148"/>
      <c r="H7" s="148"/>
      <c r="I7" s="148"/>
      <c r="J7" s="148"/>
      <c r="K7" s="149"/>
    </row>
    <row r="8" spans="1:11" ht="12.75">
      <c r="A8" s="153"/>
      <c r="B8" s="148"/>
      <c r="C8" s="148"/>
      <c r="D8" s="148"/>
      <c r="E8" s="148"/>
      <c r="F8" s="148"/>
      <c r="G8" s="148"/>
      <c r="H8" s="148"/>
      <c r="I8" s="148"/>
      <c r="J8" s="148"/>
      <c r="K8" s="149"/>
    </row>
    <row r="9" spans="1:11" ht="12.75">
      <c r="A9" s="13" t="s">
        <v>1</v>
      </c>
      <c r="B9" s="4" t="s">
        <v>2</v>
      </c>
      <c r="C9" s="24">
        <f>SUM(C10:C17)</f>
        <v>267168.1</v>
      </c>
      <c r="D9" s="24">
        <f>SUM(D10:D17)</f>
        <v>232625.2</v>
      </c>
      <c r="E9" s="24">
        <f>D9/C9*100</f>
        <v>87.0707243866315</v>
      </c>
      <c r="F9" s="24">
        <f>F10+F11+F12+F13+F14+F16+F17+F15</f>
        <v>198187.7</v>
      </c>
      <c r="G9" s="24">
        <f>SUM(G10:G17)</f>
        <v>178360.09999999998</v>
      </c>
      <c r="H9" s="35">
        <f>G9/F9*100</f>
        <v>89.99554462764337</v>
      </c>
      <c r="I9" s="24">
        <f>SUM(I10:I17)</f>
        <v>464641.8</v>
      </c>
      <c r="J9" s="24">
        <f>SUM(J10:J17)</f>
        <v>410271.3</v>
      </c>
      <c r="K9" s="36">
        <f>J9/I9*100</f>
        <v>88.29840535225199</v>
      </c>
    </row>
    <row r="10" spans="1:11" ht="12.75">
      <c r="A10" s="14" t="s">
        <v>3</v>
      </c>
      <c r="B10" s="3" t="s">
        <v>4</v>
      </c>
      <c r="C10" s="22">
        <v>16088</v>
      </c>
      <c r="D10" s="22">
        <v>14712.5</v>
      </c>
      <c r="E10" s="22">
        <f>D10/C10*100</f>
        <v>91.45014917951269</v>
      </c>
      <c r="F10" s="25">
        <v>34775.9</v>
      </c>
      <c r="G10" s="23">
        <v>32138.1</v>
      </c>
      <c r="H10" s="25">
        <f>G10/F10*100</f>
        <v>92.41486201651142</v>
      </c>
      <c r="I10" s="40">
        <f aca="true" t="shared" si="0" ref="I10:J84">C10+F10</f>
        <v>50863.9</v>
      </c>
      <c r="J10" s="46">
        <f t="shared" si="0"/>
        <v>46850.6</v>
      </c>
      <c r="K10" s="37">
        <f aca="true" t="shared" si="1" ref="K10:K86">J10/I10*100</f>
        <v>92.10972811758437</v>
      </c>
    </row>
    <row r="11" spans="1:11" ht="22.5">
      <c r="A11" s="14" t="s">
        <v>5</v>
      </c>
      <c r="B11" s="3" t="s">
        <v>89</v>
      </c>
      <c r="C11" s="22">
        <v>26759</v>
      </c>
      <c r="D11" s="22">
        <v>24286.4</v>
      </c>
      <c r="E11" s="22">
        <f aca="true" t="shared" si="2" ref="E11:E19">D11/C11*100</f>
        <v>90.75974438506671</v>
      </c>
      <c r="F11" s="25">
        <v>0</v>
      </c>
      <c r="G11" s="23">
        <v>0</v>
      </c>
      <c r="H11" s="25">
        <v>0</v>
      </c>
      <c r="I11" s="40">
        <f t="shared" si="0"/>
        <v>26759</v>
      </c>
      <c r="J11" s="46">
        <f t="shared" si="0"/>
        <v>24286.4</v>
      </c>
      <c r="K11" s="37">
        <f t="shared" si="1"/>
        <v>90.75974438506671</v>
      </c>
    </row>
    <row r="12" spans="1:11" ht="12.75">
      <c r="A12" s="14" t="s">
        <v>6</v>
      </c>
      <c r="B12" s="3" t="s">
        <v>7</v>
      </c>
      <c r="C12" s="22">
        <v>118002.1</v>
      </c>
      <c r="D12" s="22">
        <v>105985.7</v>
      </c>
      <c r="E12" s="22">
        <f t="shared" si="2"/>
        <v>89.81679139608532</v>
      </c>
      <c r="F12" s="25">
        <v>114598.3</v>
      </c>
      <c r="G12" s="23">
        <v>104054.2</v>
      </c>
      <c r="H12" s="25">
        <f aca="true" t="shared" si="3" ref="H12:H19">G12/F12*100</f>
        <v>90.79907817131667</v>
      </c>
      <c r="I12" s="40">
        <f t="shared" si="0"/>
        <v>232600.40000000002</v>
      </c>
      <c r="J12" s="46">
        <f t="shared" si="0"/>
        <v>210039.9</v>
      </c>
      <c r="K12" s="37">
        <f t="shared" si="1"/>
        <v>90.30074754815554</v>
      </c>
    </row>
    <row r="13" spans="1:11" ht="12.75">
      <c r="A13" s="14" t="s">
        <v>8</v>
      </c>
      <c r="B13" s="3" t="s">
        <v>9</v>
      </c>
      <c r="C13" s="22">
        <v>5.8</v>
      </c>
      <c r="D13" s="22">
        <v>5.8</v>
      </c>
      <c r="E13" s="22">
        <f t="shared" si="2"/>
        <v>100</v>
      </c>
      <c r="F13" s="25">
        <v>0</v>
      </c>
      <c r="G13" s="23">
        <v>0</v>
      </c>
      <c r="H13" s="25">
        <v>0</v>
      </c>
      <c r="I13" s="40">
        <f t="shared" si="0"/>
        <v>5.8</v>
      </c>
      <c r="J13" s="46">
        <f t="shared" si="0"/>
        <v>5.8</v>
      </c>
      <c r="K13" s="37">
        <f t="shared" si="1"/>
        <v>100</v>
      </c>
    </row>
    <row r="14" spans="1:11" ht="12.75">
      <c r="A14" s="14" t="s">
        <v>10</v>
      </c>
      <c r="B14" s="3" t="s">
        <v>11</v>
      </c>
      <c r="C14" s="22">
        <v>29747.8</v>
      </c>
      <c r="D14" s="22">
        <v>26916.2</v>
      </c>
      <c r="E14" s="22">
        <f t="shared" si="2"/>
        <v>90.48131290381139</v>
      </c>
      <c r="F14" s="25">
        <v>594</v>
      </c>
      <c r="G14" s="23">
        <v>551.9</v>
      </c>
      <c r="H14" s="25">
        <f t="shared" si="3"/>
        <v>92.91245791245791</v>
      </c>
      <c r="I14" s="40">
        <f>C14+F14-594</f>
        <v>29747.8</v>
      </c>
      <c r="J14" s="46">
        <f>D14+G14-594</f>
        <v>26874.100000000002</v>
      </c>
      <c r="K14" s="37">
        <f t="shared" si="1"/>
        <v>90.33978983319776</v>
      </c>
    </row>
    <row r="15" spans="1:11" ht="12.75">
      <c r="A15" s="15" t="s">
        <v>12</v>
      </c>
      <c r="B15" s="3" t="s">
        <v>169</v>
      </c>
      <c r="C15" s="22">
        <v>0</v>
      </c>
      <c r="D15" s="22">
        <v>0</v>
      </c>
      <c r="E15" s="22">
        <v>0</v>
      </c>
      <c r="F15" s="25">
        <v>8788.7</v>
      </c>
      <c r="G15" s="23">
        <v>8668.7</v>
      </c>
      <c r="H15" s="25">
        <f t="shared" si="3"/>
        <v>98.63461035192918</v>
      </c>
      <c r="I15" s="40">
        <f>C15+F15</f>
        <v>8788.7</v>
      </c>
      <c r="J15" s="46">
        <f t="shared" si="0"/>
        <v>8668.7</v>
      </c>
      <c r="K15" s="37">
        <f t="shared" si="1"/>
        <v>98.63461035192918</v>
      </c>
    </row>
    <row r="16" spans="1:11" ht="12.75">
      <c r="A16" s="15" t="s">
        <v>13</v>
      </c>
      <c r="B16" s="3" t="s">
        <v>14</v>
      </c>
      <c r="C16" s="22">
        <v>4536</v>
      </c>
      <c r="D16" s="22">
        <v>0</v>
      </c>
      <c r="E16" s="22">
        <f t="shared" si="2"/>
        <v>0</v>
      </c>
      <c r="F16" s="25">
        <v>1176.1</v>
      </c>
      <c r="G16" s="23">
        <v>0</v>
      </c>
      <c r="H16" s="25">
        <f t="shared" si="3"/>
        <v>0</v>
      </c>
      <c r="I16" s="40">
        <f t="shared" si="0"/>
        <v>5712.1</v>
      </c>
      <c r="J16" s="46">
        <f t="shared" si="0"/>
        <v>0</v>
      </c>
      <c r="K16" s="37">
        <f t="shared" si="1"/>
        <v>0</v>
      </c>
    </row>
    <row r="17" spans="1:11" ht="12.75">
      <c r="A17" s="14" t="s">
        <v>80</v>
      </c>
      <c r="B17" s="3" t="s">
        <v>15</v>
      </c>
      <c r="C17" s="22">
        <v>72029.4</v>
      </c>
      <c r="D17" s="22">
        <v>60718.6</v>
      </c>
      <c r="E17" s="22">
        <f t="shared" si="2"/>
        <v>84.29696762710782</v>
      </c>
      <c r="F17" s="25">
        <v>38254.7</v>
      </c>
      <c r="G17" s="23">
        <v>32947.2</v>
      </c>
      <c r="H17" s="25">
        <f t="shared" si="3"/>
        <v>86.12588779940765</v>
      </c>
      <c r="I17" s="40">
        <f>C17+F17-120</f>
        <v>110164.09999999999</v>
      </c>
      <c r="J17" s="46">
        <f>D17+G17-120</f>
        <v>93545.79999999999</v>
      </c>
      <c r="K17" s="37">
        <f t="shared" si="1"/>
        <v>84.91495868436269</v>
      </c>
    </row>
    <row r="18" spans="1:11" ht="12.75">
      <c r="A18" s="13" t="s">
        <v>16</v>
      </c>
      <c r="B18" s="4" t="s">
        <v>17</v>
      </c>
      <c r="C18" s="24">
        <f aca="true" t="shared" si="4" ref="C18:J18">C19</f>
        <v>3567.9</v>
      </c>
      <c r="D18" s="24">
        <f t="shared" si="4"/>
        <v>3567.9</v>
      </c>
      <c r="E18" s="24">
        <f t="shared" si="4"/>
        <v>100</v>
      </c>
      <c r="F18" s="24">
        <f t="shared" si="4"/>
        <v>3567.9</v>
      </c>
      <c r="G18" s="24">
        <f t="shared" si="4"/>
        <v>2951</v>
      </c>
      <c r="H18" s="38">
        <f t="shared" si="4"/>
        <v>82.70971720059418</v>
      </c>
      <c r="I18" s="24">
        <f t="shared" si="4"/>
        <v>3567.9</v>
      </c>
      <c r="J18" s="24">
        <f t="shared" si="4"/>
        <v>2950.9999999999995</v>
      </c>
      <c r="K18" s="39">
        <f t="shared" si="1"/>
        <v>82.70971720059417</v>
      </c>
    </row>
    <row r="19" spans="1:11" ht="12.75">
      <c r="A19" s="14" t="s">
        <v>18</v>
      </c>
      <c r="B19" s="3" t="s">
        <v>19</v>
      </c>
      <c r="C19" s="22">
        <v>3567.9</v>
      </c>
      <c r="D19" s="22">
        <v>3567.9</v>
      </c>
      <c r="E19" s="22">
        <f t="shared" si="2"/>
        <v>100</v>
      </c>
      <c r="F19" s="25">
        <v>3567.9</v>
      </c>
      <c r="G19" s="23">
        <v>2951</v>
      </c>
      <c r="H19" s="25">
        <f t="shared" si="3"/>
        <v>82.70971720059418</v>
      </c>
      <c r="I19" s="40">
        <f>C19+F19-3567.9</f>
        <v>3567.9</v>
      </c>
      <c r="J19" s="46">
        <f>D19+G19-3567.9</f>
        <v>2950.9999999999995</v>
      </c>
      <c r="K19" s="37">
        <f t="shared" si="1"/>
        <v>82.70971720059417</v>
      </c>
    </row>
    <row r="20" spans="1:11" ht="12.75" customHeight="1">
      <c r="A20" s="166" t="s">
        <v>20</v>
      </c>
      <c r="B20" s="167" t="s">
        <v>102</v>
      </c>
      <c r="C20" s="145">
        <f>C23+C24+C22</f>
        <v>32333.800000000003</v>
      </c>
      <c r="D20" s="145">
        <f>D23+D24+D22</f>
        <v>16254.2</v>
      </c>
      <c r="E20" s="145">
        <f>D20/C20*100</f>
        <v>50.269996103149026</v>
      </c>
      <c r="F20" s="145">
        <f>F23+F24+F22</f>
        <v>10606.1</v>
      </c>
      <c r="G20" s="145">
        <f>G23+G24+G22</f>
        <v>7415.2</v>
      </c>
      <c r="H20" s="145">
        <f>G20/F20*100</f>
        <v>69.91448317477678</v>
      </c>
      <c r="I20" s="145">
        <f>I23+I24+I22</f>
        <v>40792.399999999994</v>
      </c>
      <c r="J20" s="145">
        <f>SUM(J22:J24)</f>
        <v>21536.9</v>
      </c>
      <c r="K20" s="145">
        <f>J20/I20*100</f>
        <v>52.796354222845444</v>
      </c>
    </row>
    <row r="21" spans="1:11" ht="12.75">
      <c r="A21" s="166"/>
      <c r="B21" s="167"/>
      <c r="C21" s="145"/>
      <c r="D21" s="145"/>
      <c r="E21" s="145"/>
      <c r="F21" s="145"/>
      <c r="G21" s="145"/>
      <c r="H21" s="145"/>
      <c r="I21" s="145"/>
      <c r="J21" s="145"/>
      <c r="K21" s="145"/>
    </row>
    <row r="22" spans="1:11" ht="12.75">
      <c r="A22" s="15" t="s">
        <v>116</v>
      </c>
      <c r="B22" s="3" t="s">
        <v>103</v>
      </c>
      <c r="C22" s="22">
        <v>5628.2</v>
      </c>
      <c r="D22" s="22">
        <v>4870.7</v>
      </c>
      <c r="E22" s="22">
        <f aca="true" t="shared" si="5" ref="E22:E101">D22/C22*100</f>
        <v>86.54099001456949</v>
      </c>
      <c r="F22" s="26">
        <v>787.5</v>
      </c>
      <c r="G22" s="23">
        <v>505.8</v>
      </c>
      <c r="H22" s="25">
        <f>G22/F22*100</f>
        <v>64.22857142857143</v>
      </c>
      <c r="I22" s="40">
        <f>C22+F22-787.5</f>
        <v>5628.2</v>
      </c>
      <c r="J22" s="46">
        <f>D22+G22-772.5</f>
        <v>4604</v>
      </c>
      <c r="K22" s="37">
        <f>J22/I22*100</f>
        <v>81.80235243950109</v>
      </c>
    </row>
    <row r="23" spans="1:11" ht="12.75">
      <c r="A23" s="14" t="s">
        <v>21</v>
      </c>
      <c r="B23" s="3" t="s">
        <v>117</v>
      </c>
      <c r="C23" s="22">
        <v>17159.9</v>
      </c>
      <c r="D23" s="22">
        <v>11281.8</v>
      </c>
      <c r="E23" s="22">
        <f t="shared" si="5"/>
        <v>65.74513837493224</v>
      </c>
      <c r="F23" s="25">
        <v>9778.6</v>
      </c>
      <c r="G23" s="23">
        <v>6870.2</v>
      </c>
      <c r="H23" s="25">
        <f>G23/F23*100</f>
        <v>70.25750107377333</v>
      </c>
      <c r="I23" s="40">
        <f>C23+F23-1320</f>
        <v>25618.5</v>
      </c>
      <c r="J23" s="46">
        <f>D23+G23-1320</f>
        <v>16832</v>
      </c>
      <c r="K23" s="37">
        <f>J23/I23*100</f>
        <v>65.70251966352441</v>
      </c>
    </row>
    <row r="24" spans="1:11" ht="22.5">
      <c r="A24" s="15" t="s">
        <v>107</v>
      </c>
      <c r="B24" s="3" t="s">
        <v>108</v>
      </c>
      <c r="C24" s="22">
        <v>9545.7</v>
      </c>
      <c r="D24" s="22">
        <v>101.7</v>
      </c>
      <c r="E24" s="22">
        <f t="shared" si="5"/>
        <v>1.065401175398347</v>
      </c>
      <c r="F24" s="25">
        <v>40</v>
      </c>
      <c r="G24" s="23">
        <v>39.2</v>
      </c>
      <c r="H24" s="25">
        <f>G24/F24*100</f>
        <v>98.00000000000001</v>
      </c>
      <c r="I24" s="40">
        <f>C24+F24-40</f>
        <v>9545.7</v>
      </c>
      <c r="J24" s="46">
        <f>D24+G24-40</f>
        <v>100.9</v>
      </c>
      <c r="K24" s="37">
        <f>J24/I24*100</f>
        <v>1.057020438522057</v>
      </c>
    </row>
    <row r="25" spans="1:11" ht="12.75">
      <c r="A25" s="13" t="s">
        <v>22</v>
      </c>
      <c r="B25" s="4" t="s">
        <v>23</v>
      </c>
      <c r="C25" s="24">
        <f>SUM(C26:C45)</f>
        <v>199443.09999999998</v>
      </c>
      <c r="D25" s="24">
        <f>SUM(D26:D45)</f>
        <v>172421.19999999998</v>
      </c>
      <c r="E25" s="24">
        <f>D25/C25*100</f>
        <v>86.45132371087293</v>
      </c>
      <c r="F25" s="24">
        <f>SUM(F26:F45)</f>
        <v>104332.90000000001</v>
      </c>
      <c r="G25" s="24">
        <f>SUM(G26:G45)</f>
        <v>91037.69999999998</v>
      </c>
      <c r="H25" s="35">
        <f>G25/F25*100</f>
        <v>87.25694387868063</v>
      </c>
      <c r="I25" s="24">
        <f>SUM(I26:I45)</f>
        <v>247091.69999999995</v>
      </c>
      <c r="J25" s="24">
        <f>SUM(J26:J45)</f>
        <v>209980.5</v>
      </c>
      <c r="K25" s="36">
        <f t="shared" si="1"/>
        <v>84.98079862658278</v>
      </c>
    </row>
    <row r="26" spans="1:11" ht="12.75">
      <c r="A26" s="15" t="s">
        <v>24</v>
      </c>
      <c r="B26" s="16" t="s">
        <v>99</v>
      </c>
      <c r="C26" s="22">
        <v>12075.3</v>
      </c>
      <c r="D26" s="22">
        <v>9900</v>
      </c>
      <c r="E26" s="22">
        <f t="shared" si="5"/>
        <v>81.98554073190729</v>
      </c>
      <c r="F26" s="56">
        <v>11631.8</v>
      </c>
      <c r="G26" s="28">
        <v>10237.1</v>
      </c>
      <c r="H26" s="25">
        <f>G26/F26*100</f>
        <v>88.00959438779897</v>
      </c>
      <c r="I26" s="40">
        <f>C26+F26-9129.5</f>
        <v>14577.599999999999</v>
      </c>
      <c r="J26" s="40">
        <f>D26+G26-8265.2</f>
        <v>11871.899999999998</v>
      </c>
      <c r="K26" s="37">
        <f t="shared" si="1"/>
        <v>81.43933157721435</v>
      </c>
    </row>
    <row r="27" spans="1:11" ht="12.75">
      <c r="A27" s="14" t="s">
        <v>25</v>
      </c>
      <c r="B27" s="3" t="s">
        <v>26</v>
      </c>
      <c r="C27" s="22">
        <v>48605.6</v>
      </c>
      <c r="D27" s="22">
        <v>38293.6</v>
      </c>
      <c r="E27" s="22">
        <f t="shared" si="5"/>
        <v>78.78433760718929</v>
      </c>
      <c r="F27" s="25">
        <v>0</v>
      </c>
      <c r="G27" s="23">
        <v>0</v>
      </c>
      <c r="H27" s="25">
        <v>0</v>
      </c>
      <c r="I27" s="40">
        <f t="shared" si="0"/>
        <v>48605.6</v>
      </c>
      <c r="J27" s="46">
        <f t="shared" si="0"/>
        <v>38293.6</v>
      </c>
      <c r="K27" s="37">
        <f t="shared" si="1"/>
        <v>78.78433760718929</v>
      </c>
    </row>
    <row r="28" spans="1:11" ht="12.75">
      <c r="A28" s="14" t="s">
        <v>27</v>
      </c>
      <c r="B28" s="3" t="s">
        <v>121</v>
      </c>
      <c r="C28" s="56">
        <v>9650</v>
      </c>
      <c r="D28" s="22">
        <v>7401.3</v>
      </c>
      <c r="E28" s="22">
        <f t="shared" si="5"/>
        <v>76.69740932642488</v>
      </c>
      <c r="F28" s="25">
        <v>0</v>
      </c>
      <c r="G28" s="23">
        <v>0</v>
      </c>
      <c r="H28" s="25">
        <v>0</v>
      </c>
      <c r="I28" s="40">
        <f t="shared" si="0"/>
        <v>9650</v>
      </c>
      <c r="J28" s="46">
        <f t="shared" si="0"/>
        <v>7401.3</v>
      </c>
      <c r="K28" s="37">
        <f t="shared" si="1"/>
        <v>76.69740932642488</v>
      </c>
    </row>
    <row r="29" spans="1:11" ht="12.75">
      <c r="A29" s="14" t="s">
        <v>27</v>
      </c>
      <c r="B29" s="3" t="s">
        <v>119</v>
      </c>
      <c r="C29" s="56">
        <v>17315</v>
      </c>
      <c r="D29" s="22">
        <v>17075.1</v>
      </c>
      <c r="E29" s="22">
        <f t="shared" si="5"/>
        <v>98.61449610164597</v>
      </c>
      <c r="F29" s="28">
        <v>13670.7</v>
      </c>
      <c r="G29" s="26">
        <v>11760.1</v>
      </c>
      <c r="H29" s="25">
        <f>G29/F29*100</f>
        <v>86.0241245876217</v>
      </c>
      <c r="I29" s="40">
        <f t="shared" si="0"/>
        <v>30985.7</v>
      </c>
      <c r="J29" s="46">
        <f t="shared" si="0"/>
        <v>28835.199999999997</v>
      </c>
      <c r="K29" s="37">
        <f t="shared" si="1"/>
        <v>93.05970173338022</v>
      </c>
    </row>
    <row r="30" spans="1:11" ht="12.75">
      <c r="A30" s="14" t="s">
        <v>27</v>
      </c>
      <c r="B30" s="3" t="s">
        <v>120</v>
      </c>
      <c r="C30" s="56">
        <v>7931</v>
      </c>
      <c r="D30" s="22">
        <v>7873.5</v>
      </c>
      <c r="E30" s="22">
        <f t="shared" si="5"/>
        <v>99.27499684781237</v>
      </c>
      <c r="F30" s="26">
        <v>0</v>
      </c>
      <c r="G30" s="26">
        <v>0</v>
      </c>
      <c r="H30" s="25">
        <v>0</v>
      </c>
      <c r="I30" s="40">
        <f t="shared" si="0"/>
        <v>7931</v>
      </c>
      <c r="J30" s="46">
        <f t="shared" si="0"/>
        <v>7873.5</v>
      </c>
      <c r="K30" s="37">
        <f t="shared" si="1"/>
        <v>99.27499684781237</v>
      </c>
    </row>
    <row r="31" spans="1:11" ht="12.75">
      <c r="A31" s="14" t="s">
        <v>74</v>
      </c>
      <c r="B31" s="3" t="s">
        <v>96</v>
      </c>
      <c r="C31" s="56">
        <v>40682</v>
      </c>
      <c r="D31" s="22">
        <v>37761.4</v>
      </c>
      <c r="E31" s="22">
        <f t="shared" si="5"/>
        <v>92.82090359372695</v>
      </c>
      <c r="F31" s="26">
        <v>40312.2</v>
      </c>
      <c r="G31" s="26">
        <v>37113</v>
      </c>
      <c r="H31" s="25">
        <f>G31/F31*100</f>
        <v>92.06394094095585</v>
      </c>
      <c r="I31" s="40">
        <f>C31+F31-36021.8</f>
        <v>44972.399999999994</v>
      </c>
      <c r="J31" s="46">
        <f>D31+G31-33816.7</f>
        <v>41057.7</v>
      </c>
      <c r="K31" s="37">
        <f t="shared" si="1"/>
        <v>91.29532780105131</v>
      </c>
    </row>
    <row r="32" spans="1:11" ht="33.75">
      <c r="A32" s="14" t="s">
        <v>74</v>
      </c>
      <c r="B32" s="2" t="s">
        <v>150</v>
      </c>
      <c r="C32" s="56">
        <v>2092.2</v>
      </c>
      <c r="D32" s="22">
        <v>1155.1</v>
      </c>
      <c r="E32" s="22">
        <f t="shared" si="5"/>
        <v>55.209826976388484</v>
      </c>
      <c r="F32" s="26">
        <v>0</v>
      </c>
      <c r="G32" s="26">
        <v>0</v>
      </c>
      <c r="H32" s="25">
        <v>0</v>
      </c>
      <c r="I32" s="40">
        <f t="shared" si="0"/>
        <v>2092.2</v>
      </c>
      <c r="J32" s="46">
        <f t="shared" si="0"/>
        <v>1155.1</v>
      </c>
      <c r="K32" s="37">
        <f t="shared" si="1"/>
        <v>55.209826976388484</v>
      </c>
    </row>
    <row r="33" spans="1:11" ht="12.75">
      <c r="A33" s="15" t="s">
        <v>74</v>
      </c>
      <c r="B33" s="3" t="s">
        <v>126</v>
      </c>
      <c r="C33" s="56">
        <v>0</v>
      </c>
      <c r="D33" s="22">
        <v>0</v>
      </c>
      <c r="E33" s="22">
        <v>0</v>
      </c>
      <c r="F33" s="28">
        <v>22316.9</v>
      </c>
      <c r="G33" s="28">
        <v>17098</v>
      </c>
      <c r="H33" s="25">
        <f>G33/F33*100</f>
        <v>76.61458356671402</v>
      </c>
      <c r="I33" s="40">
        <f>C33+F33</f>
        <v>22316.9</v>
      </c>
      <c r="J33" s="46">
        <f>D33+G33</f>
        <v>17098</v>
      </c>
      <c r="K33" s="37">
        <f>J33/I33*100</f>
        <v>76.61458356671402</v>
      </c>
    </row>
    <row r="34" spans="1:11" ht="33.75">
      <c r="A34" s="15" t="s">
        <v>74</v>
      </c>
      <c r="B34" s="3" t="s">
        <v>160</v>
      </c>
      <c r="C34" s="56">
        <v>5406.3</v>
      </c>
      <c r="D34" s="22">
        <v>5406.3</v>
      </c>
      <c r="E34" s="22">
        <f t="shared" si="5"/>
        <v>100</v>
      </c>
      <c r="F34" s="28">
        <v>6045</v>
      </c>
      <c r="G34" s="28">
        <v>5456.2</v>
      </c>
      <c r="H34" s="25">
        <f>G34/F34*100</f>
        <v>90.2597187758478</v>
      </c>
      <c r="I34" s="40">
        <f>C34+F34-5406.3</f>
        <v>6044.999999999999</v>
      </c>
      <c r="J34" s="46">
        <f>D34+G34-5406.3</f>
        <v>5456.2</v>
      </c>
      <c r="K34" s="37">
        <f>J34/I34*100</f>
        <v>90.25971877584782</v>
      </c>
    </row>
    <row r="35" spans="1:11" ht="33.75">
      <c r="A35" s="15" t="s">
        <v>74</v>
      </c>
      <c r="B35" s="3" t="s">
        <v>176</v>
      </c>
      <c r="C35" s="56">
        <v>4600</v>
      </c>
      <c r="D35" s="22">
        <v>4600</v>
      </c>
      <c r="E35" s="22">
        <f t="shared" si="5"/>
        <v>100</v>
      </c>
      <c r="F35" s="28">
        <v>4600</v>
      </c>
      <c r="G35" s="28">
        <v>4600</v>
      </c>
      <c r="H35" s="25">
        <f>G35/F35*100</f>
        <v>100</v>
      </c>
      <c r="I35" s="40">
        <f>C35+F35-4600</f>
        <v>4600</v>
      </c>
      <c r="J35" s="46">
        <f>D35+G35-4600</f>
        <v>4600</v>
      </c>
      <c r="K35" s="37">
        <f>J35/I35*100</f>
        <v>100</v>
      </c>
    </row>
    <row r="36" spans="1:11" ht="12.75">
      <c r="A36" s="14" t="s">
        <v>67</v>
      </c>
      <c r="B36" s="3" t="s">
        <v>68</v>
      </c>
      <c r="C36" s="56">
        <v>5618.7</v>
      </c>
      <c r="D36" s="22">
        <v>4657.4</v>
      </c>
      <c r="E36" s="22">
        <f t="shared" si="5"/>
        <v>82.89106020965703</v>
      </c>
      <c r="F36" s="28">
        <v>3677.6</v>
      </c>
      <c r="G36" s="26">
        <v>3158.4</v>
      </c>
      <c r="H36" s="25">
        <f>G36/F36*100</f>
        <v>85.88209701979552</v>
      </c>
      <c r="I36" s="40">
        <f t="shared" si="0"/>
        <v>9296.3</v>
      </c>
      <c r="J36" s="46">
        <f t="shared" si="0"/>
        <v>7815.799999999999</v>
      </c>
      <c r="K36" s="37">
        <f t="shared" si="1"/>
        <v>84.07430913374138</v>
      </c>
    </row>
    <row r="37" spans="1:11" ht="12.75">
      <c r="A37" s="14" t="s">
        <v>28</v>
      </c>
      <c r="B37" s="3" t="s">
        <v>75</v>
      </c>
      <c r="C37" s="56">
        <v>1500.9</v>
      </c>
      <c r="D37" s="56">
        <v>914.6</v>
      </c>
      <c r="E37" s="56">
        <f t="shared" si="5"/>
        <v>60.936771270570986</v>
      </c>
      <c r="F37" s="28">
        <v>552</v>
      </c>
      <c r="G37" s="28">
        <v>257.5</v>
      </c>
      <c r="H37" s="25">
        <f>G37/F37*100</f>
        <v>46.64855072463768</v>
      </c>
      <c r="I37" s="40">
        <f t="shared" si="0"/>
        <v>2052.9</v>
      </c>
      <c r="J37" s="46">
        <f t="shared" si="0"/>
        <v>1172.1</v>
      </c>
      <c r="K37" s="37">
        <f t="shared" si="1"/>
        <v>57.094841443811184</v>
      </c>
    </row>
    <row r="38" spans="1:11" ht="56.25">
      <c r="A38" s="14" t="s">
        <v>28</v>
      </c>
      <c r="B38" s="2" t="s">
        <v>174</v>
      </c>
      <c r="C38" s="56">
        <v>9220.3</v>
      </c>
      <c r="D38" s="56">
        <v>6918.9</v>
      </c>
      <c r="E38" s="56">
        <f t="shared" si="5"/>
        <v>75.03985770528074</v>
      </c>
      <c r="F38" s="28">
        <v>0</v>
      </c>
      <c r="G38" s="28">
        <v>0</v>
      </c>
      <c r="H38" s="25">
        <v>0</v>
      </c>
      <c r="I38" s="40">
        <f t="shared" si="0"/>
        <v>9220.3</v>
      </c>
      <c r="J38" s="46">
        <f t="shared" si="0"/>
        <v>6918.9</v>
      </c>
      <c r="K38" s="37">
        <f t="shared" si="1"/>
        <v>75.03985770528074</v>
      </c>
    </row>
    <row r="39" spans="1:11" ht="33.75">
      <c r="A39" s="14" t="s">
        <v>28</v>
      </c>
      <c r="B39" s="2" t="s">
        <v>152</v>
      </c>
      <c r="C39" s="56">
        <v>1738.3</v>
      </c>
      <c r="D39" s="28">
        <v>1691.8</v>
      </c>
      <c r="E39" s="56">
        <f t="shared" si="5"/>
        <v>97.32497267445204</v>
      </c>
      <c r="F39" s="28">
        <v>0</v>
      </c>
      <c r="G39" s="28">
        <v>0</v>
      </c>
      <c r="H39" s="25">
        <v>0</v>
      </c>
      <c r="I39" s="40">
        <f t="shared" si="0"/>
        <v>1738.3</v>
      </c>
      <c r="J39" s="46">
        <f t="shared" si="0"/>
        <v>1691.8</v>
      </c>
      <c r="K39" s="37">
        <f t="shared" si="1"/>
        <v>97.32497267445204</v>
      </c>
    </row>
    <row r="40" spans="1:11" ht="22.5">
      <c r="A40" s="14" t="s">
        <v>28</v>
      </c>
      <c r="B40" s="2" t="s">
        <v>142</v>
      </c>
      <c r="C40" s="56">
        <v>4500</v>
      </c>
      <c r="D40" s="28">
        <v>4374.5</v>
      </c>
      <c r="E40" s="56">
        <f t="shared" si="5"/>
        <v>97.21111111111111</v>
      </c>
      <c r="F40" s="28">
        <v>0</v>
      </c>
      <c r="G40" s="28">
        <v>0</v>
      </c>
      <c r="H40" s="25">
        <v>0</v>
      </c>
      <c r="I40" s="40">
        <f t="shared" si="0"/>
        <v>4500</v>
      </c>
      <c r="J40" s="46">
        <f t="shared" si="0"/>
        <v>4374.5</v>
      </c>
      <c r="K40" s="37">
        <f t="shared" si="1"/>
        <v>97.21111111111111</v>
      </c>
    </row>
    <row r="41" spans="1:11" ht="22.5">
      <c r="A41" s="15" t="s">
        <v>28</v>
      </c>
      <c r="B41" s="2" t="s">
        <v>109</v>
      </c>
      <c r="C41" s="56">
        <v>18107.5</v>
      </c>
      <c r="D41" s="28">
        <f>16518.4-1104.3</f>
        <v>15414.100000000002</v>
      </c>
      <c r="E41" s="56">
        <f t="shared" si="5"/>
        <v>85.1255004832252</v>
      </c>
      <c r="F41" s="28">
        <v>0</v>
      </c>
      <c r="G41" s="28">
        <v>0</v>
      </c>
      <c r="H41" s="25">
        <v>0</v>
      </c>
      <c r="I41" s="40">
        <f t="shared" si="0"/>
        <v>18107.5</v>
      </c>
      <c r="J41" s="46">
        <f t="shared" si="0"/>
        <v>15414.100000000002</v>
      </c>
      <c r="K41" s="37">
        <f t="shared" si="1"/>
        <v>85.1255004832252</v>
      </c>
    </row>
    <row r="42" spans="1:11" ht="22.5">
      <c r="A42" s="15" t="s">
        <v>28</v>
      </c>
      <c r="B42" s="2" t="s">
        <v>118</v>
      </c>
      <c r="C42" s="56">
        <v>1588.6</v>
      </c>
      <c r="D42" s="28">
        <v>1376.4</v>
      </c>
      <c r="E42" s="56">
        <f t="shared" si="5"/>
        <v>86.64232657686014</v>
      </c>
      <c r="F42" s="28">
        <v>0</v>
      </c>
      <c r="G42" s="28">
        <v>0</v>
      </c>
      <c r="H42" s="25">
        <v>0</v>
      </c>
      <c r="I42" s="40">
        <f t="shared" si="0"/>
        <v>1588.6</v>
      </c>
      <c r="J42" s="46">
        <f t="shared" si="0"/>
        <v>1376.4</v>
      </c>
      <c r="K42" s="37">
        <f>J42/I42*100</f>
        <v>86.64232657686014</v>
      </c>
    </row>
    <row r="43" spans="1:11" ht="33.75">
      <c r="A43" s="15" t="s">
        <v>28</v>
      </c>
      <c r="B43" s="2" t="s">
        <v>273</v>
      </c>
      <c r="C43" s="56">
        <v>4589.9</v>
      </c>
      <c r="D43" s="28">
        <v>3961</v>
      </c>
      <c r="E43" s="56">
        <f t="shared" si="5"/>
        <v>86.29817643085906</v>
      </c>
      <c r="F43" s="28">
        <v>0</v>
      </c>
      <c r="G43" s="28">
        <v>0</v>
      </c>
      <c r="H43" s="25"/>
      <c r="I43" s="40">
        <f t="shared" si="0"/>
        <v>4589.9</v>
      </c>
      <c r="J43" s="46">
        <f t="shared" si="0"/>
        <v>3961</v>
      </c>
      <c r="K43" s="37">
        <f>J43/I43*100</f>
        <v>86.29817643085906</v>
      </c>
    </row>
    <row r="44" spans="1:11" ht="33.75">
      <c r="A44" s="15" t="s">
        <v>28</v>
      </c>
      <c r="B44" s="3" t="s">
        <v>176</v>
      </c>
      <c r="C44" s="56">
        <v>1800</v>
      </c>
      <c r="D44" s="28">
        <v>1672.3</v>
      </c>
      <c r="E44" s="56">
        <f t="shared" si="5"/>
        <v>92.90555555555555</v>
      </c>
      <c r="F44" s="28"/>
      <c r="G44" s="28"/>
      <c r="H44" s="25"/>
      <c r="I44" s="40">
        <f t="shared" si="0"/>
        <v>1800</v>
      </c>
      <c r="J44" s="46">
        <f t="shared" si="0"/>
        <v>1672.3</v>
      </c>
      <c r="K44" s="37">
        <f>J44/I44*100</f>
        <v>92.90555555555555</v>
      </c>
    </row>
    <row r="45" spans="1:11" ht="22.5">
      <c r="A45" s="15" t="s">
        <v>28</v>
      </c>
      <c r="B45" s="2" t="s">
        <v>183</v>
      </c>
      <c r="C45" s="56">
        <v>2421.5</v>
      </c>
      <c r="D45" s="28">
        <v>1973.9</v>
      </c>
      <c r="E45" s="56">
        <f t="shared" si="5"/>
        <v>81.51558951063392</v>
      </c>
      <c r="F45" s="28">
        <v>1526.7</v>
      </c>
      <c r="G45" s="28">
        <v>1357.4</v>
      </c>
      <c r="H45" s="25">
        <f>G45/F45*100</f>
        <v>88.91072247330844</v>
      </c>
      <c r="I45" s="40">
        <f>C45+F45-1526.7</f>
        <v>2421.5</v>
      </c>
      <c r="J45" s="46">
        <f>D45+G45-1390.2</f>
        <v>1941.1000000000001</v>
      </c>
      <c r="K45" s="37">
        <f>J45/I45*100</f>
        <v>80.16105719595292</v>
      </c>
    </row>
    <row r="46" spans="1:11" ht="12.75">
      <c r="A46" s="13" t="s">
        <v>29</v>
      </c>
      <c r="B46" s="4" t="s">
        <v>30</v>
      </c>
      <c r="C46" s="24">
        <f>SUM(C47:C74)</f>
        <v>1078759.6</v>
      </c>
      <c r="D46" s="24">
        <f>SUM(D47:D74)</f>
        <v>897538.4000000001</v>
      </c>
      <c r="E46" s="24">
        <f t="shared" si="5"/>
        <v>83.20096525676342</v>
      </c>
      <c r="F46" s="24">
        <f>SUM(F47:F74)</f>
        <v>186848.2</v>
      </c>
      <c r="G46" s="24">
        <f>SUM(G47:G74)</f>
        <v>157128.6</v>
      </c>
      <c r="H46" s="27">
        <f>G46/F46*100</f>
        <v>84.09425405221992</v>
      </c>
      <c r="I46" s="24">
        <f>SUM(I47:I74)</f>
        <v>1194105.1</v>
      </c>
      <c r="J46" s="24">
        <f>SUM(J47:J74)</f>
        <v>988279.5999999999</v>
      </c>
      <c r="K46" s="36">
        <f t="shared" si="1"/>
        <v>82.76320065964042</v>
      </c>
    </row>
    <row r="47" spans="1:11" ht="12.75">
      <c r="A47" s="14" t="s">
        <v>31</v>
      </c>
      <c r="B47" s="3" t="s">
        <v>71</v>
      </c>
      <c r="C47" s="56">
        <v>1492</v>
      </c>
      <c r="D47" s="56">
        <v>539.7</v>
      </c>
      <c r="E47" s="22">
        <f t="shared" si="5"/>
        <v>36.17292225201073</v>
      </c>
      <c r="F47" s="28">
        <v>34113.5</v>
      </c>
      <c r="G47" s="28">
        <v>25564.7</v>
      </c>
      <c r="H47" s="25">
        <f>G47/F47*100</f>
        <v>74.94012634294342</v>
      </c>
      <c r="I47" s="40">
        <f t="shared" si="0"/>
        <v>35605.5</v>
      </c>
      <c r="J47" s="46">
        <f t="shared" si="0"/>
        <v>26104.4</v>
      </c>
      <c r="K47" s="37">
        <f t="shared" si="1"/>
        <v>73.31563943772733</v>
      </c>
    </row>
    <row r="48" spans="1:11" ht="45">
      <c r="A48" s="14" t="s">
        <v>31</v>
      </c>
      <c r="B48" s="3" t="s">
        <v>129</v>
      </c>
      <c r="C48" s="56">
        <v>590756.3</v>
      </c>
      <c r="D48" s="56">
        <v>515240.7</v>
      </c>
      <c r="E48" s="22">
        <f t="shared" si="5"/>
        <v>87.21713166664495</v>
      </c>
      <c r="F48" s="25">
        <v>0</v>
      </c>
      <c r="G48" s="23">
        <v>0</v>
      </c>
      <c r="H48" s="25">
        <v>0</v>
      </c>
      <c r="I48" s="40">
        <f>C48+F48</f>
        <v>590756.3</v>
      </c>
      <c r="J48" s="46">
        <f>D48+G48</f>
        <v>515240.7</v>
      </c>
      <c r="K48" s="37">
        <f t="shared" si="1"/>
        <v>87.21713166664495</v>
      </c>
    </row>
    <row r="49" spans="1:11" ht="33.75">
      <c r="A49" s="14" t="s">
        <v>31</v>
      </c>
      <c r="B49" s="3" t="s">
        <v>177</v>
      </c>
      <c r="C49" s="56">
        <v>4200</v>
      </c>
      <c r="D49" s="56">
        <v>3869.4</v>
      </c>
      <c r="E49" s="22">
        <f t="shared" si="5"/>
        <v>92.12857142857143</v>
      </c>
      <c r="F49" s="25"/>
      <c r="G49" s="23"/>
      <c r="H49" s="25"/>
      <c r="I49" s="40">
        <f t="shared" si="0"/>
        <v>4200</v>
      </c>
      <c r="J49" s="46">
        <f t="shared" si="0"/>
        <v>3869.4</v>
      </c>
      <c r="K49" s="37">
        <f t="shared" si="1"/>
        <v>92.12857142857143</v>
      </c>
    </row>
    <row r="50" spans="1:11" ht="33.75">
      <c r="A50" s="14" t="s">
        <v>31</v>
      </c>
      <c r="B50" s="3" t="s">
        <v>178</v>
      </c>
      <c r="C50" s="56">
        <v>64095</v>
      </c>
      <c r="D50" s="56">
        <v>50480.4</v>
      </c>
      <c r="E50" s="22">
        <f t="shared" si="5"/>
        <v>78.75871752866838</v>
      </c>
      <c r="F50" s="25">
        <v>0</v>
      </c>
      <c r="G50" s="23">
        <v>0</v>
      </c>
      <c r="H50" s="25">
        <v>0</v>
      </c>
      <c r="I50" s="40">
        <f t="shared" si="0"/>
        <v>64095</v>
      </c>
      <c r="J50" s="46">
        <f t="shared" si="0"/>
        <v>50480.4</v>
      </c>
      <c r="K50" s="37">
        <f t="shared" si="1"/>
        <v>78.75871752866838</v>
      </c>
    </row>
    <row r="51" spans="1:11" ht="22.5">
      <c r="A51" s="15" t="s">
        <v>31</v>
      </c>
      <c r="B51" s="3" t="s">
        <v>161</v>
      </c>
      <c r="C51" s="56">
        <v>30597</v>
      </c>
      <c r="D51" s="56">
        <v>30597</v>
      </c>
      <c r="E51" s="22">
        <f t="shared" si="5"/>
        <v>100</v>
      </c>
      <c r="F51" s="25">
        <v>33027.6</v>
      </c>
      <c r="G51" s="23">
        <v>33027.6</v>
      </c>
      <c r="H51" s="25">
        <f aca="true" t="shared" si="6" ref="H51:H57">G51/F51*100</f>
        <v>100</v>
      </c>
      <c r="I51" s="40">
        <f>C51+F51-30597</f>
        <v>33027.6</v>
      </c>
      <c r="J51" s="46">
        <f>D51+G51-30597</f>
        <v>33027.6</v>
      </c>
      <c r="K51" s="37">
        <f t="shared" si="1"/>
        <v>100</v>
      </c>
    </row>
    <row r="52" spans="1:11" ht="45">
      <c r="A52" s="15" t="s">
        <v>31</v>
      </c>
      <c r="B52" s="3" t="s">
        <v>269</v>
      </c>
      <c r="C52" s="56">
        <v>187.6</v>
      </c>
      <c r="D52" s="56">
        <v>0</v>
      </c>
      <c r="E52" s="22">
        <f t="shared" si="5"/>
        <v>0</v>
      </c>
      <c r="F52" s="25"/>
      <c r="G52" s="23"/>
      <c r="H52" s="25"/>
      <c r="I52" s="40">
        <f>C52+F52</f>
        <v>187.6</v>
      </c>
      <c r="J52" s="46">
        <f t="shared" si="0"/>
        <v>0</v>
      </c>
      <c r="K52" s="37">
        <f t="shared" si="1"/>
        <v>0</v>
      </c>
    </row>
    <row r="53" spans="1:11" ht="40.5" customHeight="1">
      <c r="A53" s="15" t="s">
        <v>31</v>
      </c>
      <c r="B53" s="3" t="s">
        <v>141</v>
      </c>
      <c r="C53" s="56">
        <v>200</v>
      </c>
      <c r="D53" s="56">
        <v>200</v>
      </c>
      <c r="E53" s="22">
        <v>0</v>
      </c>
      <c r="F53" s="25">
        <v>200</v>
      </c>
      <c r="G53" s="23">
        <v>200</v>
      </c>
      <c r="H53" s="25">
        <f t="shared" si="6"/>
        <v>100</v>
      </c>
      <c r="I53" s="40">
        <f>C53+F53-200</f>
        <v>200</v>
      </c>
      <c r="J53" s="46">
        <f>D53+G53-200</f>
        <v>200</v>
      </c>
      <c r="K53" s="37">
        <f t="shared" si="1"/>
        <v>100</v>
      </c>
    </row>
    <row r="54" spans="1:11" ht="45">
      <c r="A54" s="15" t="s">
        <v>31</v>
      </c>
      <c r="B54" s="2" t="s">
        <v>136</v>
      </c>
      <c r="C54" s="56">
        <v>107.7</v>
      </c>
      <c r="D54" s="56">
        <v>107.7</v>
      </c>
      <c r="E54" s="22">
        <v>0</v>
      </c>
      <c r="F54" s="25"/>
      <c r="G54" s="23"/>
      <c r="H54" s="25"/>
      <c r="I54" s="40">
        <f>C54+F54</f>
        <v>107.7</v>
      </c>
      <c r="J54" s="46">
        <f t="shared" si="0"/>
        <v>107.7</v>
      </c>
      <c r="K54" s="37">
        <f t="shared" si="1"/>
        <v>100</v>
      </c>
    </row>
    <row r="55" spans="1:11" ht="33.75">
      <c r="A55" s="14" t="s">
        <v>32</v>
      </c>
      <c r="B55" s="3" t="s">
        <v>70</v>
      </c>
      <c r="C55" s="56">
        <v>6264.4</v>
      </c>
      <c r="D55" s="56">
        <v>6039.6</v>
      </c>
      <c r="E55" s="22">
        <f t="shared" si="5"/>
        <v>96.41146797777921</v>
      </c>
      <c r="F55" s="25">
        <v>11874.6</v>
      </c>
      <c r="G55" s="23">
        <v>11874.6</v>
      </c>
      <c r="H55" s="25">
        <f t="shared" si="6"/>
        <v>100</v>
      </c>
      <c r="I55" s="40">
        <f t="shared" si="0"/>
        <v>18139</v>
      </c>
      <c r="J55" s="46">
        <f t="shared" si="0"/>
        <v>17914.2</v>
      </c>
      <c r="K55" s="37">
        <f t="shared" si="1"/>
        <v>98.7606814047081</v>
      </c>
    </row>
    <row r="56" spans="1:11" ht="33.75">
      <c r="A56" s="14" t="s">
        <v>32</v>
      </c>
      <c r="B56" s="3" t="s">
        <v>106</v>
      </c>
      <c r="C56" s="56">
        <v>8941.6</v>
      </c>
      <c r="D56" s="57">
        <v>7169.5</v>
      </c>
      <c r="E56" s="22">
        <f t="shared" si="5"/>
        <v>80.18139930213832</v>
      </c>
      <c r="F56" s="26">
        <v>650</v>
      </c>
      <c r="G56" s="26">
        <v>433.4</v>
      </c>
      <c r="H56" s="25">
        <f t="shared" si="6"/>
        <v>66.67692307692307</v>
      </c>
      <c r="I56" s="40">
        <f t="shared" si="0"/>
        <v>9591.6</v>
      </c>
      <c r="J56" s="46">
        <f t="shared" si="0"/>
        <v>7602.9</v>
      </c>
      <c r="K56" s="37">
        <f t="shared" si="1"/>
        <v>79.2662329538346</v>
      </c>
    </row>
    <row r="57" spans="1:11" ht="12.75">
      <c r="A57" s="14" t="s">
        <v>32</v>
      </c>
      <c r="B57" s="3" t="s">
        <v>69</v>
      </c>
      <c r="C57" s="56">
        <v>1203.3</v>
      </c>
      <c r="D57" s="57">
        <v>693.6</v>
      </c>
      <c r="E57" s="22">
        <f>D57/C57*100</f>
        <v>57.64148591373722</v>
      </c>
      <c r="F57" s="25">
        <v>20079.4</v>
      </c>
      <c r="G57" s="26">
        <v>14049.8</v>
      </c>
      <c r="H57" s="25">
        <f t="shared" si="6"/>
        <v>69.97121427931113</v>
      </c>
      <c r="I57" s="40">
        <f>C57+F57-230</f>
        <v>21052.7</v>
      </c>
      <c r="J57" s="46">
        <f>D57+G57-230</f>
        <v>14513.4</v>
      </c>
      <c r="K57" s="37">
        <f>J57/I57*100</f>
        <v>68.93842595011566</v>
      </c>
    </row>
    <row r="58" spans="1:11" ht="33.75">
      <c r="A58" s="14" t="s">
        <v>32</v>
      </c>
      <c r="B58" s="3" t="s">
        <v>175</v>
      </c>
      <c r="C58" s="56">
        <v>47718.5</v>
      </c>
      <c r="D58" s="57">
        <v>19337.9</v>
      </c>
      <c r="E58" s="22">
        <f>D58/C58*100</f>
        <v>40.52495363433469</v>
      </c>
      <c r="F58" s="25">
        <v>0</v>
      </c>
      <c r="G58" s="26"/>
      <c r="H58" s="25">
        <v>0</v>
      </c>
      <c r="I58" s="40">
        <f>C58+F58</f>
        <v>47718.5</v>
      </c>
      <c r="J58" s="46">
        <f>D58+G58</f>
        <v>19337.9</v>
      </c>
      <c r="K58" s="37">
        <f>J58/I58*100</f>
        <v>40.52495363433469</v>
      </c>
    </row>
    <row r="59" spans="1:11" ht="33.75">
      <c r="A59" s="15" t="s">
        <v>32</v>
      </c>
      <c r="B59" s="3" t="s">
        <v>144</v>
      </c>
      <c r="C59" s="56">
        <v>137.3</v>
      </c>
      <c r="D59" s="57">
        <v>80.8</v>
      </c>
      <c r="E59" s="22">
        <f t="shared" si="5"/>
        <v>58.84923525127458</v>
      </c>
      <c r="F59" s="25">
        <v>0</v>
      </c>
      <c r="G59" s="26"/>
      <c r="H59" s="25">
        <v>0</v>
      </c>
      <c r="I59" s="50">
        <f>C59+F59</f>
        <v>137.3</v>
      </c>
      <c r="J59" s="40">
        <f>D59+G59</f>
        <v>80.8</v>
      </c>
      <c r="K59" s="46">
        <f>J59/I59*100</f>
        <v>58.84923525127458</v>
      </c>
    </row>
    <row r="60" spans="1:11" ht="33.75">
      <c r="A60" s="14" t="s">
        <v>32</v>
      </c>
      <c r="B60" s="2" t="s">
        <v>127</v>
      </c>
      <c r="C60" s="56">
        <v>27478.8</v>
      </c>
      <c r="D60" s="57">
        <v>15612.9</v>
      </c>
      <c r="E60" s="22">
        <f t="shared" si="5"/>
        <v>56.817983318048825</v>
      </c>
      <c r="F60" s="25"/>
      <c r="G60" s="26"/>
      <c r="H60" s="25">
        <v>0</v>
      </c>
      <c r="I60" s="40">
        <f t="shared" si="0"/>
        <v>27478.8</v>
      </c>
      <c r="J60" s="46">
        <f t="shared" si="0"/>
        <v>15612.9</v>
      </c>
      <c r="K60" s="37">
        <f t="shared" si="1"/>
        <v>56.817983318048825</v>
      </c>
    </row>
    <row r="61" spans="1:11" ht="33.75">
      <c r="A61" s="14" t="s">
        <v>32</v>
      </c>
      <c r="B61" s="2" t="s">
        <v>128</v>
      </c>
      <c r="C61" s="56">
        <v>207926</v>
      </c>
      <c r="D61" s="56">
        <v>174246.7</v>
      </c>
      <c r="E61" s="22">
        <f t="shared" si="5"/>
        <v>83.80226619085637</v>
      </c>
      <c r="F61" s="25">
        <v>0</v>
      </c>
      <c r="G61" s="26"/>
      <c r="H61" s="25">
        <v>0</v>
      </c>
      <c r="I61" s="40">
        <f t="shared" si="0"/>
        <v>207926</v>
      </c>
      <c r="J61" s="46">
        <f t="shared" si="0"/>
        <v>174246.7</v>
      </c>
      <c r="K61" s="37">
        <f t="shared" si="1"/>
        <v>83.80226619085637</v>
      </c>
    </row>
    <row r="62" spans="1:11" ht="45">
      <c r="A62" s="15" t="s">
        <v>32</v>
      </c>
      <c r="B62" s="2" t="s">
        <v>135</v>
      </c>
      <c r="C62" s="56">
        <v>13819.4</v>
      </c>
      <c r="D62" s="57">
        <v>8972.2</v>
      </c>
      <c r="E62" s="22">
        <f t="shared" si="5"/>
        <v>64.92467111452017</v>
      </c>
      <c r="F62" s="25">
        <v>5734.1</v>
      </c>
      <c r="G62" s="26">
        <v>2477.9</v>
      </c>
      <c r="H62" s="25">
        <f>G62/F62*100</f>
        <v>43.21340750946094</v>
      </c>
      <c r="I62" s="40">
        <f>C62+F62-5734.1</f>
        <v>13819.4</v>
      </c>
      <c r="J62" s="46">
        <f>D62+G62-3135.4</f>
        <v>8314.7</v>
      </c>
      <c r="K62" s="37">
        <f t="shared" si="1"/>
        <v>60.16686686831556</v>
      </c>
    </row>
    <row r="63" spans="1:11" ht="56.25">
      <c r="A63" s="15" t="s">
        <v>32</v>
      </c>
      <c r="B63" s="2" t="s">
        <v>179</v>
      </c>
      <c r="C63" s="56">
        <v>26612.6</v>
      </c>
      <c r="D63" s="57">
        <v>24096</v>
      </c>
      <c r="E63" s="22">
        <f t="shared" si="5"/>
        <v>90.54357710257548</v>
      </c>
      <c r="F63" s="25">
        <v>28238.7</v>
      </c>
      <c r="G63" s="26">
        <v>23219.6</v>
      </c>
      <c r="H63" s="25">
        <f>G63/F63*100</f>
        <v>82.22616480220407</v>
      </c>
      <c r="I63" s="40">
        <f>C63+F63-25612.6</f>
        <v>29238.700000000004</v>
      </c>
      <c r="J63" s="46">
        <f>D63+G63-23096</f>
        <v>24219.6</v>
      </c>
      <c r="K63" s="37">
        <f t="shared" si="1"/>
        <v>82.83405212954062</v>
      </c>
    </row>
    <row r="64" spans="1:11" ht="56.25">
      <c r="A64" s="15" t="s">
        <v>32</v>
      </c>
      <c r="B64" s="2" t="s">
        <v>165</v>
      </c>
      <c r="C64" s="56">
        <v>6429</v>
      </c>
      <c r="D64" s="57">
        <v>6429</v>
      </c>
      <c r="E64" s="22">
        <f t="shared" si="5"/>
        <v>100</v>
      </c>
      <c r="F64" s="25">
        <v>6429</v>
      </c>
      <c r="G64" s="26">
        <v>6429</v>
      </c>
      <c r="H64" s="25">
        <f>G64/F64*100</f>
        <v>100</v>
      </c>
      <c r="I64" s="40">
        <f>C64+F64-6429</f>
        <v>6429</v>
      </c>
      <c r="J64" s="46">
        <f>D64+G64-6429</f>
        <v>6429</v>
      </c>
      <c r="K64" s="37">
        <f t="shared" si="1"/>
        <v>100</v>
      </c>
    </row>
    <row r="65" spans="1:11" ht="45">
      <c r="A65" s="15" t="s">
        <v>32</v>
      </c>
      <c r="B65" s="2" t="s">
        <v>136</v>
      </c>
      <c r="C65" s="56">
        <v>259.4</v>
      </c>
      <c r="D65" s="57">
        <v>259.4</v>
      </c>
      <c r="E65" s="22">
        <f t="shared" si="5"/>
        <v>100</v>
      </c>
      <c r="F65" s="25"/>
      <c r="G65" s="26"/>
      <c r="H65" s="25"/>
      <c r="I65" s="40">
        <f>C65+F65</f>
        <v>259.4</v>
      </c>
      <c r="J65" s="46">
        <f>D65+G65</f>
        <v>259.4</v>
      </c>
      <c r="K65" s="37">
        <f t="shared" si="1"/>
        <v>100</v>
      </c>
    </row>
    <row r="66" spans="1:11" ht="22.5">
      <c r="A66" s="14" t="s">
        <v>32</v>
      </c>
      <c r="B66" s="3" t="s">
        <v>145</v>
      </c>
      <c r="C66" s="56">
        <v>8597.1</v>
      </c>
      <c r="D66" s="56">
        <v>6276.4</v>
      </c>
      <c r="E66" s="22">
        <f t="shared" si="5"/>
        <v>73.00601365576763</v>
      </c>
      <c r="F66" s="25">
        <v>0</v>
      </c>
      <c r="G66" s="26"/>
      <c r="H66" s="25">
        <v>0</v>
      </c>
      <c r="I66" s="40">
        <f t="shared" si="0"/>
        <v>8597.1</v>
      </c>
      <c r="J66" s="46">
        <f t="shared" si="0"/>
        <v>6276.4</v>
      </c>
      <c r="K66" s="37">
        <f t="shared" si="1"/>
        <v>73.00601365576763</v>
      </c>
    </row>
    <row r="67" spans="1:11" ht="22.5">
      <c r="A67" s="14" t="s">
        <v>32</v>
      </c>
      <c r="B67" s="3" t="s">
        <v>146</v>
      </c>
      <c r="C67" s="56">
        <v>11673.1</v>
      </c>
      <c r="D67" s="56">
        <v>11417.5</v>
      </c>
      <c r="E67" s="22">
        <f t="shared" si="5"/>
        <v>97.81035029255295</v>
      </c>
      <c r="F67" s="25">
        <v>0</v>
      </c>
      <c r="G67" s="26"/>
      <c r="H67" s="25">
        <v>0</v>
      </c>
      <c r="I67" s="40">
        <f t="shared" si="0"/>
        <v>11673.1</v>
      </c>
      <c r="J67" s="46">
        <f t="shared" si="0"/>
        <v>11417.5</v>
      </c>
      <c r="K67" s="37">
        <f t="shared" si="1"/>
        <v>97.81035029255295</v>
      </c>
    </row>
    <row r="68" spans="1:11" ht="22.5">
      <c r="A68" s="14" t="s">
        <v>32</v>
      </c>
      <c r="B68" s="3" t="s">
        <v>147</v>
      </c>
      <c r="C68" s="56">
        <v>1533.3</v>
      </c>
      <c r="D68" s="56">
        <v>807.5</v>
      </c>
      <c r="E68" s="22">
        <f t="shared" si="5"/>
        <v>52.66418835192069</v>
      </c>
      <c r="F68" s="25">
        <v>0</v>
      </c>
      <c r="G68" s="26"/>
      <c r="H68" s="25">
        <v>0</v>
      </c>
      <c r="I68" s="40">
        <f t="shared" si="0"/>
        <v>1533.3</v>
      </c>
      <c r="J68" s="46">
        <f t="shared" si="0"/>
        <v>807.5</v>
      </c>
      <c r="K68" s="37">
        <f t="shared" si="1"/>
        <v>52.66418835192069</v>
      </c>
    </row>
    <row r="69" spans="1:11" ht="22.5">
      <c r="A69" s="14" t="s">
        <v>32</v>
      </c>
      <c r="B69" s="3" t="s">
        <v>148</v>
      </c>
      <c r="C69" s="56">
        <v>3434.2</v>
      </c>
      <c r="D69" s="56">
        <v>3398.2</v>
      </c>
      <c r="E69" s="22">
        <f t="shared" si="5"/>
        <v>98.95172092481509</v>
      </c>
      <c r="F69" s="25">
        <v>0</v>
      </c>
      <c r="G69" s="26"/>
      <c r="H69" s="25">
        <v>0</v>
      </c>
      <c r="I69" s="40">
        <f>C69+F69</f>
        <v>3434.2</v>
      </c>
      <c r="J69" s="46">
        <f>D69+G69</f>
        <v>3398.2</v>
      </c>
      <c r="K69" s="37">
        <f t="shared" si="1"/>
        <v>98.95172092481509</v>
      </c>
    </row>
    <row r="70" spans="1:11" ht="33.75">
      <c r="A70" s="15" t="s">
        <v>32</v>
      </c>
      <c r="B70" s="3" t="s">
        <v>149</v>
      </c>
      <c r="C70" s="56">
        <v>4583</v>
      </c>
      <c r="D70" s="56">
        <v>2029.1</v>
      </c>
      <c r="E70" s="22">
        <f t="shared" si="5"/>
        <v>44.27449269037748</v>
      </c>
      <c r="F70" s="25">
        <v>0</v>
      </c>
      <c r="G70" s="26"/>
      <c r="H70" s="25">
        <v>0</v>
      </c>
      <c r="I70" s="40">
        <f t="shared" si="0"/>
        <v>4583</v>
      </c>
      <c r="J70" s="46">
        <f t="shared" si="0"/>
        <v>2029.1</v>
      </c>
      <c r="K70" s="37">
        <f t="shared" si="1"/>
        <v>44.27449269037748</v>
      </c>
    </row>
    <row r="71" spans="1:11" ht="33.75">
      <c r="A71" s="14" t="s">
        <v>33</v>
      </c>
      <c r="B71" s="3" t="s">
        <v>166</v>
      </c>
      <c r="C71" s="56">
        <v>2666.6</v>
      </c>
      <c r="D71" s="56">
        <v>2630.8</v>
      </c>
      <c r="E71" s="22">
        <f t="shared" si="5"/>
        <v>98.65746643666093</v>
      </c>
      <c r="F71" s="28">
        <v>700</v>
      </c>
      <c r="G71" s="28">
        <v>500.7</v>
      </c>
      <c r="H71" s="25">
        <f>G71/F71*100</f>
        <v>71.52857142857142</v>
      </c>
      <c r="I71" s="40">
        <f>C71+F71-700</f>
        <v>2666.6</v>
      </c>
      <c r="J71" s="46">
        <f>D71+G71-700</f>
        <v>2431.5</v>
      </c>
      <c r="K71" s="37">
        <f t="shared" si="1"/>
        <v>91.18352958823971</v>
      </c>
    </row>
    <row r="72" spans="1:11" ht="22.5">
      <c r="A72" s="14" t="s">
        <v>33</v>
      </c>
      <c r="B72" s="3" t="s">
        <v>100</v>
      </c>
      <c r="C72" s="56">
        <v>5846.4</v>
      </c>
      <c r="D72" s="56">
        <v>5006.4</v>
      </c>
      <c r="E72" s="22">
        <f t="shared" si="5"/>
        <v>85.63218390804597</v>
      </c>
      <c r="F72" s="28">
        <v>43801.3</v>
      </c>
      <c r="G72" s="28">
        <v>37361.3</v>
      </c>
      <c r="H72" s="25">
        <f>G72/F72*100</f>
        <v>85.29724003625464</v>
      </c>
      <c r="I72" s="40">
        <f>C72+F72</f>
        <v>49647.700000000004</v>
      </c>
      <c r="J72" s="46">
        <f>D72+G72</f>
        <v>42367.700000000004</v>
      </c>
      <c r="K72" s="37">
        <f t="shared" si="1"/>
        <v>85.33668226322669</v>
      </c>
    </row>
    <row r="73" spans="1:11" ht="33.75">
      <c r="A73" s="14" t="s">
        <v>33</v>
      </c>
      <c r="B73" s="3" t="s">
        <v>176</v>
      </c>
      <c r="C73" s="56">
        <v>2000</v>
      </c>
      <c r="D73" s="56">
        <v>2000</v>
      </c>
      <c r="E73" s="22">
        <f t="shared" si="5"/>
        <v>100</v>
      </c>
      <c r="F73" s="28">
        <v>2000</v>
      </c>
      <c r="G73" s="28">
        <v>1990</v>
      </c>
      <c r="H73" s="25">
        <f>G73/F73*100</f>
        <v>99.5</v>
      </c>
      <c r="I73" s="40">
        <f>C73+F73-2000</f>
        <v>2000</v>
      </c>
      <c r="J73" s="46">
        <f>D73+G73-2000</f>
        <v>1990</v>
      </c>
      <c r="K73" s="37">
        <f t="shared" si="1"/>
        <v>99.5</v>
      </c>
    </row>
    <row r="74" spans="1:11" ht="12.75">
      <c r="A74" s="15" t="s">
        <v>138</v>
      </c>
      <c r="B74" s="3" t="s">
        <v>139</v>
      </c>
      <c r="C74" s="56">
        <v>0</v>
      </c>
      <c r="D74" s="22">
        <v>0</v>
      </c>
      <c r="E74" s="22"/>
      <c r="F74" s="28"/>
      <c r="G74" s="28"/>
      <c r="H74" s="25"/>
      <c r="I74" s="40">
        <f t="shared" si="0"/>
        <v>0</v>
      </c>
      <c r="J74" s="46">
        <f t="shared" si="0"/>
        <v>0</v>
      </c>
      <c r="K74" s="37"/>
    </row>
    <row r="75" spans="1:11" ht="12.75">
      <c r="A75" s="17" t="s">
        <v>34</v>
      </c>
      <c r="B75" s="18" t="s">
        <v>35</v>
      </c>
      <c r="C75" s="27">
        <f aca="true" t="shared" si="7" ref="C75:H75">C76</f>
        <v>350</v>
      </c>
      <c r="D75" s="27">
        <f t="shared" si="7"/>
        <v>347.1</v>
      </c>
      <c r="E75" s="24">
        <f>D75/C75*100</f>
        <v>99.17142857142858</v>
      </c>
      <c r="F75" s="27">
        <f t="shared" si="7"/>
        <v>0</v>
      </c>
      <c r="G75" s="27">
        <f t="shared" si="7"/>
        <v>0</v>
      </c>
      <c r="H75" s="35">
        <f t="shared" si="7"/>
        <v>0</v>
      </c>
      <c r="I75" s="27">
        <f t="shared" si="0"/>
        <v>350</v>
      </c>
      <c r="J75" s="27">
        <f t="shared" si="0"/>
        <v>347.1</v>
      </c>
      <c r="K75" s="36">
        <f t="shared" si="1"/>
        <v>99.17142857142858</v>
      </c>
    </row>
    <row r="76" spans="1:11" ht="12.75">
      <c r="A76" s="15" t="s">
        <v>36</v>
      </c>
      <c r="B76" s="19" t="s">
        <v>37</v>
      </c>
      <c r="C76" s="28">
        <v>350</v>
      </c>
      <c r="D76" s="25">
        <v>347.1</v>
      </c>
      <c r="E76" s="22">
        <f t="shared" si="5"/>
        <v>99.17142857142858</v>
      </c>
      <c r="F76" s="25">
        <v>0</v>
      </c>
      <c r="G76" s="23">
        <v>0</v>
      </c>
      <c r="H76" s="25">
        <v>0</v>
      </c>
      <c r="I76" s="40">
        <f t="shared" si="0"/>
        <v>350</v>
      </c>
      <c r="J76" s="46">
        <f t="shared" si="0"/>
        <v>347.1</v>
      </c>
      <c r="K76" s="37">
        <f t="shared" si="1"/>
        <v>99.17142857142858</v>
      </c>
    </row>
    <row r="77" spans="1:11" ht="12.75">
      <c r="A77" s="13" t="s">
        <v>38</v>
      </c>
      <c r="B77" s="4" t="s">
        <v>39</v>
      </c>
      <c r="C77" s="24">
        <f>SUM(C78:C84)</f>
        <v>2197352.1</v>
      </c>
      <c r="D77" s="24">
        <f>SUM(D78:D84)</f>
        <v>1668131.3</v>
      </c>
      <c r="E77" s="24">
        <f>D77/C77*100</f>
        <v>75.91552123121278</v>
      </c>
      <c r="F77" s="27">
        <f>F78+F79+F80+F83+F84</f>
        <v>5247.7</v>
      </c>
      <c r="G77" s="27">
        <f>SUM(G78:G84)</f>
        <v>4263.6</v>
      </c>
      <c r="H77" s="35">
        <f>G77/F77*100</f>
        <v>81.24702250509748</v>
      </c>
      <c r="I77" s="24">
        <f>SUM(I78:I84)</f>
        <v>2202599.8</v>
      </c>
      <c r="J77" s="24">
        <f>SUM(J78:J84)</f>
        <v>1672394.9</v>
      </c>
      <c r="K77" s="36">
        <f t="shared" si="1"/>
        <v>75.92822354746424</v>
      </c>
    </row>
    <row r="78" spans="1:11" ht="12.75">
      <c r="A78" s="14" t="s">
        <v>40</v>
      </c>
      <c r="B78" s="3" t="s">
        <v>41</v>
      </c>
      <c r="C78" s="22">
        <v>368036.9</v>
      </c>
      <c r="D78" s="22">
        <v>364345.6</v>
      </c>
      <c r="E78" s="22">
        <f t="shared" si="5"/>
        <v>98.99702991738056</v>
      </c>
      <c r="F78" s="25">
        <v>0</v>
      </c>
      <c r="G78" s="23">
        <v>0</v>
      </c>
      <c r="H78" s="25">
        <v>0</v>
      </c>
      <c r="I78" s="40">
        <f t="shared" si="0"/>
        <v>368036.9</v>
      </c>
      <c r="J78" s="46">
        <f t="shared" si="0"/>
        <v>364345.6</v>
      </c>
      <c r="K78" s="37">
        <f t="shared" si="1"/>
        <v>98.99702991738056</v>
      </c>
    </row>
    <row r="79" spans="1:11" ht="12.75">
      <c r="A79" s="14" t="s">
        <v>42</v>
      </c>
      <c r="B79" s="3" t="s">
        <v>43</v>
      </c>
      <c r="C79" s="22">
        <f>1739369.4-C80-C81-C82</f>
        <v>1041297.6</v>
      </c>
      <c r="D79" s="22">
        <f>1233440-D80-D81-D82</f>
        <v>828821.9</v>
      </c>
      <c r="E79" s="22">
        <f t="shared" si="5"/>
        <v>79.59510326346665</v>
      </c>
      <c r="F79" s="25">
        <v>0</v>
      </c>
      <c r="G79" s="23">
        <v>0</v>
      </c>
      <c r="H79" s="25">
        <v>0</v>
      </c>
      <c r="I79" s="40">
        <f t="shared" si="0"/>
        <v>1041297.6</v>
      </c>
      <c r="J79" s="46">
        <f t="shared" si="0"/>
        <v>828821.9</v>
      </c>
      <c r="K79" s="37">
        <f t="shared" si="1"/>
        <v>79.59510326346665</v>
      </c>
    </row>
    <row r="80" spans="1:11" ht="12.75">
      <c r="A80" s="14" t="s">
        <v>42</v>
      </c>
      <c r="B80" s="3" t="s">
        <v>76</v>
      </c>
      <c r="C80" s="22">
        <v>41126.4</v>
      </c>
      <c r="D80" s="22">
        <v>30376.3</v>
      </c>
      <c r="E80" s="22">
        <f t="shared" si="5"/>
        <v>73.86082905384376</v>
      </c>
      <c r="F80" s="25">
        <v>0</v>
      </c>
      <c r="G80" s="23">
        <v>0</v>
      </c>
      <c r="H80" s="25">
        <v>0</v>
      </c>
      <c r="I80" s="40">
        <f t="shared" si="0"/>
        <v>41126.4</v>
      </c>
      <c r="J80" s="46">
        <f t="shared" si="0"/>
        <v>30376.3</v>
      </c>
      <c r="K80" s="37">
        <f t="shared" si="1"/>
        <v>73.86082905384376</v>
      </c>
    </row>
    <row r="81" spans="1:11" ht="22.5">
      <c r="A81" s="14" t="s">
        <v>42</v>
      </c>
      <c r="B81" s="3" t="s">
        <v>167</v>
      </c>
      <c r="C81" s="22">
        <v>116216.3</v>
      </c>
      <c r="D81" s="22">
        <v>48875.7</v>
      </c>
      <c r="E81" s="22">
        <f t="shared" si="5"/>
        <v>42.055804564419965</v>
      </c>
      <c r="F81" s="25">
        <v>0</v>
      </c>
      <c r="G81" s="23">
        <v>0</v>
      </c>
      <c r="H81" s="25">
        <v>0</v>
      </c>
      <c r="I81" s="40">
        <f t="shared" si="0"/>
        <v>116216.3</v>
      </c>
      <c r="J81" s="46">
        <f t="shared" si="0"/>
        <v>48875.7</v>
      </c>
      <c r="K81" s="37">
        <f t="shared" si="1"/>
        <v>42.055804564419965</v>
      </c>
    </row>
    <row r="82" spans="1:11" ht="33.75">
      <c r="A82" s="14" t="s">
        <v>42</v>
      </c>
      <c r="B82" s="3" t="s">
        <v>133</v>
      </c>
      <c r="C82" s="22">
        <v>540729.1</v>
      </c>
      <c r="D82" s="22">
        <v>325366.1</v>
      </c>
      <c r="E82" s="22">
        <f>D82/C82*100</f>
        <v>60.17173849160328</v>
      </c>
      <c r="F82" s="25">
        <v>0</v>
      </c>
      <c r="G82" s="23">
        <v>0</v>
      </c>
      <c r="H82" s="25">
        <v>0</v>
      </c>
      <c r="I82" s="40">
        <f>C82+F82</f>
        <v>540729.1</v>
      </c>
      <c r="J82" s="46">
        <f>D82+G82</f>
        <v>325366.1</v>
      </c>
      <c r="K82" s="37">
        <f>J82/I82*100</f>
        <v>60.17173849160328</v>
      </c>
    </row>
    <row r="83" spans="1:11" ht="12.75">
      <c r="A83" s="14" t="s">
        <v>44</v>
      </c>
      <c r="B83" s="3" t="s">
        <v>45</v>
      </c>
      <c r="C83" s="22">
        <v>22285.2</v>
      </c>
      <c r="D83" s="22">
        <v>21261.8</v>
      </c>
      <c r="E83" s="22">
        <f t="shared" si="5"/>
        <v>95.40771453700214</v>
      </c>
      <c r="F83" s="25">
        <v>5247.7</v>
      </c>
      <c r="G83" s="23">
        <v>4263.6</v>
      </c>
      <c r="H83" s="25">
        <f>G83/F83*100</f>
        <v>81.24702250509748</v>
      </c>
      <c r="I83" s="40">
        <f t="shared" si="0"/>
        <v>27532.9</v>
      </c>
      <c r="J83" s="46">
        <f t="shared" si="0"/>
        <v>25525.4</v>
      </c>
      <c r="K83" s="37">
        <f t="shared" si="1"/>
        <v>92.70872301864314</v>
      </c>
    </row>
    <row r="84" spans="1:11" ht="12.75">
      <c r="A84" s="14" t="s">
        <v>46</v>
      </c>
      <c r="B84" s="3" t="s">
        <v>47</v>
      </c>
      <c r="C84" s="22">
        <v>67660.6</v>
      </c>
      <c r="D84" s="22">
        <v>49083.9</v>
      </c>
      <c r="E84" s="22">
        <f t="shared" si="5"/>
        <v>72.54428722181004</v>
      </c>
      <c r="F84" s="25">
        <v>0</v>
      </c>
      <c r="G84" s="23">
        <v>0</v>
      </c>
      <c r="H84" s="25">
        <v>0</v>
      </c>
      <c r="I84" s="40">
        <f t="shared" si="0"/>
        <v>67660.6</v>
      </c>
      <c r="J84" s="46">
        <f t="shared" si="0"/>
        <v>49083.9</v>
      </c>
      <c r="K84" s="37">
        <f t="shared" si="1"/>
        <v>72.54428722181004</v>
      </c>
    </row>
    <row r="85" spans="1:11" ht="12.75">
      <c r="A85" s="13" t="s">
        <v>48</v>
      </c>
      <c r="B85" s="4" t="s">
        <v>49</v>
      </c>
      <c r="C85" s="24">
        <f>SUM(C86:C92)</f>
        <v>275878.60000000003</v>
      </c>
      <c r="D85" s="24">
        <f>SUM(D86:D92)</f>
        <v>170519.50000000003</v>
      </c>
      <c r="E85" s="24">
        <f>D85/C85*100</f>
        <v>61.80961480883258</v>
      </c>
      <c r="F85" s="27">
        <f>SUM(F86:F92)</f>
        <v>87222.1</v>
      </c>
      <c r="G85" s="27">
        <f>SUM(G86:G92)</f>
        <v>72525.3</v>
      </c>
      <c r="H85" s="35">
        <f>G85/F85*100</f>
        <v>83.15014199382954</v>
      </c>
      <c r="I85" s="27">
        <f>SUM(I86:I92)</f>
        <v>357329.3</v>
      </c>
      <c r="J85" s="27">
        <f>SUM(J86:J92)</f>
        <v>237273.5</v>
      </c>
      <c r="K85" s="36">
        <f t="shared" si="1"/>
        <v>66.4019155440094</v>
      </c>
    </row>
    <row r="86" spans="1:11" ht="12.75">
      <c r="A86" s="14" t="s">
        <v>50</v>
      </c>
      <c r="B86" s="3" t="s">
        <v>90</v>
      </c>
      <c r="C86" s="22">
        <f>266623.7-C87-C90-C88-C89</f>
        <v>55105.400000000016</v>
      </c>
      <c r="D86" s="22">
        <f>162447.3-D87-D90-D88-D89</f>
        <v>45627.99999999999</v>
      </c>
      <c r="E86" s="22">
        <f t="shared" si="5"/>
        <v>82.80132255641004</v>
      </c>
      <c r="F86" s="25">
        <f>86359.1-F88</f>
        <v>85320.90000000001</v>
      </c>
      <c r="G86" s="23">
        <f>71753.6-G88</f>
        <v>70828</v>
      </c>
      <c r="H86" s="25">
        <f>G86/F86*100</f>
        <v>83.01365784936633</v>
      </c>
      <c r="I86" s="40">
        <f>C86+F86-4551.3</f>
        <v>135875.00000000003</v>
      </c>
      <c r="J86" s="46">
        <f>D86+G86-4551.2</f>
        <v>111904.8</v>
      </c>
      <c r="K86" s="37">
        <f t="shared" si="1"/>
        <v>82.35863845446181</v>
      </c>
    </row>
    <row r="87" spans="1:11" ht="56.25">
      <c r="A87" s="48" t="s">
        <v>50</v>
      </c>
      <c r="B87" s="49" t="s">
        <v>163</v>
      </c>
      <c r="C87" s="22">
        <v>199190.5</v>
      </c>
      <c r="D87" s="22">
        <v>106537</v>
      </c>
      <c r="E87" s="22">
        <f t="shared" si="5"/>
        <v>53.484980458405396</v>
      </c>
      <c r="F87" s="25">
        <v>0</v>
      </c>
      <c r="G87" s="23">
        <v>0</v>
      </c>
      <c r="H87" s="25">
        <v>0</v>
      </c>
      <c r="I87" s="40">
        <f aca="true" t="shared" si="8" ref="I87:J107">C87+F87</f>
        <v>199190.5</v>
      </c>
      <c r="J87" s="46">
        <f t="shared" si="8"/>
        <v>106537</v>
      </c>
      <c r="K87" s="37">
        <f>J87/I87*100</f>
        <v>53.484980458405396</v>
      </c>
    </row>
    <row r="88" spans="1:11" ht="12.75">
      <c r="A88" s="48" t="s">
        <v>50</v>
      </c>
      <c r="B88" s="49" t="s">
        <v>137</v>
      </c>
      <c r="C88" s="22">
        <v>1855.6</v>
      </c>
      <c r="D88" s="22">
        <v>1730.2</v>
      </c>
      <c r="E88" s="22">
        <f t="shared" si="5"/>
        <v>93.24207803405908</v>
      </c>
      <c r="F88" s="25">
        <v>1038.2</v>
      </c>
      <c r="G88" s="23">
        <v>925.6</v>
      </c>
      <c r="H88" s="25">
        <f>G88/F88*100</f>
        <v>89.15430552879985</v>
      </c>
      <c r="I88" s="40">
        <f>C88+F88-1038.2</f>
        <v>1855.6000000000001</v>
      </c>
      <c r="J88" s="46">
        <f>D88+G88-1038.2</f>
        <v>1617.6000000000001</v>
      </c>
      <c r="K88" s="37">
        <f>J88/I88*100</f>
        <v>87.17395990515197</v>
      </c>
    </row>
    <row r="89" spans="1:11" ht="12.75">
      <c r="A89" s="48" t="s">
        <v>50</v>
      </c>
      <c r="B89" s="49" t="s">
        <v>274</v>
      </c>
      <c r="C89" s="22">
        <v>1210.5</v>
      </c>
      <c r="D89" s="22">
        <v>1210.5</v>
      </c>
      <c r="E89" s="22">
        <f t="shared" si="5"/>
        <v>100</v>
      </c>
      <c r="F89" s="25"/>
      <c r="G89" s="23"/>
      <c r="H89" s="25"/>
      <c r="I89" s="40">
        <f t="shared" si="8"/>
        <v>1210.5</v>
      </c>
      <c r="J89" s="46">
        <f>D89+G89</f>
        <v>1210.5</v>
      </c>
      <c r="K89" s="37">
        <f>J89/I89*100</f>
        <v>100</v>
      </c>
    </row>
    <row r="90" spans="1:11" ht="22.5">
      <c r="A90" s="48" t="s">
        <v>50</v>
      </c>
      <c r="B90" s="49" t="s">
        <v>182</v>
      </c>
      <c r="C90" s="22">
        <v>9261.7</v>
      </c>
      <c r="D90" s="22">
        <v>7341.6</v>
      </c>
      <c r="E90" s="22">
        <f t="shared" si="5"/>
        <v>79.26838485375255</v>
      </c>
      <c r="F90" s="25">
        <v>0</v>
      </c>
      <c r="G90" s="23">
        <v>0</v>
      </c>
      <c r="H90" s="25">
        <v>0</v>
      </c>
      <c r="I90" s="40">
        <f t="shared" si="8"/>
        <v>9261.7</v>
      </c>
      <c r="J90" s="46">
        <f>D90+G90</f>
        <v>7341.6</v>
      </c>
      <c r="K90" s="37">
        <f>J90/I90*100</f>
        <v>79.26838485375255</v>
      </c>
    </row>
    <row r="91" spans="1:11" ht="12.75">
      <c r="A91" s="14" t="s">
        <v>51</v>
      </c>
      <c r="B91" s="3" t="s">
        <v>52</v>
      </c>
      <c r="C91" s="22">
        <v>619</v>
      </c>
      <c r="D91" s="22">
        <v>570</v>
      </c>
      <c r="E91" s="22">
        <f t="shared" si="5"/>
        <v>92.08400646203555</v>
      </c>
      <c r="F91" s="25">
        <v>641.1</v>
      </c>
      <c r="G91" s="23">
        <v>553.8</v>
      </c>
      <c r="H91" s="25">
        <f>G91/F91*100</f>
        <v>86.38277959756667</v>
      </c>
      <c r="I91" s="40">
        <f t="shared" si="8"/>
        <v>1260.1</v>
      </c>
      <c r="J91" s="46">
        <f t="shared" si="8"/>
        <v>1123.8</v>
      </c>
      <c r="K91" s="37">
        <f aca="true" t="shared" si="9" ref="K91:K126">J91/I91*100</f>
        <v>89.18339814300452</v>
      </c>
    </row>
    <row r="92" spans="1:11" ht="12.75">
      <c r="A92" s="14" t="s">
        <v>53</v>
      </c>
      <c r="B92" s="3" t="s">
        <v>91</v>
      </c>
      <c r="C92" s="22">
        <v>8635.9</v>
      </c>
      <c r="D92" s="22">
        <v>7502.2</v>
      </c>
      <c r="E92" s="22">
        <f t="shared" si="5"/>
        <v>86.87224261512986</v>
      </c>
      <c r="F92" s="25">
        <v>221.9</v>
      </c>
      <c r="G92" s="23">
        <v>217.9</v>
      </c>
      <c r="H92" s="25">
        <f>G92/F92*100</f>
        <v>98.19738621000451</v>
      </c>
      <c r="I92" s="40">
        <f>C92+F92-181.9</f>
        <v>8675.9</v>
      </c>
      <c r="J92" s="46">
        <f>D92+G92-181.9</f>
        <v>7538.2</v>
      </c>
      <c r="K92" s="37">
        <f t="shared" si="9"/>
        <v>86.88666305512973</v>
      </c>
    </row>
    <row r="93" spans="1:11" ht="12.75">
      <c r="A93" s="13" t="s">
        <v>54</v>
      </c>
      <c r="B93" s="4" t="s">
        <v>92</v>
      </c>
      <c r="C93" s="24">
        <f>SUM(C94:C97)</f>
        <v>184131</v>
      </c>
      <c r="D93" s="24">
        <f>SUM(D94:D97)</f>
        <v>86523.79999999999</v>
      </c>
      <c r="E93" s="24">
        <f>D93/C93*100</f>
        <v>46.99034926221005</v>
      </c>
      <c r="F93" s="27">
        <f>SUM(F94:F96)</f>
        <v>0</v>
      </c>
      <c r="G93" s="27">
        <f>SUM(G94:G96)</f>
        <v>0</v>
      </c>
      <c r="H93" s="35"/>
      <c r="I93" s="27">
        <f>C93+F93</f>
        <v>184131</v>
      </c>
      <c r="J93" s="27">
        <f t="shared" si="8"/>
        <v>86523.79999999999</v>
      </c>
      <c r="K93" s="36">
        <f t="shared" si="9"/>
        <v>46.99034926221005</v>
      </c>
    </row>
    <row r="94" spans="1:11" ht="12.75">
      <c r="A94" s="14" t="s">
        <v>55</v>
      </c>
      <c r="B94" s="3" t="s">
        <v>56</v>
      </c>
      <c r="C94" s="22">
        <v>91240.9</v>
      </c>
      <c r="D94" s="22">
        <v>46140.2</v>
      </c>
      <c r="E94" s="22">
        <f t="shared" si="5"/>
        <v>50.5696458496135</v>
      </c>
      <c r="F94" s="25">
        <v>0</v>
      </c>
      <c r="G94" s="23">
        <v>0</v>
      </c>
      <c r="H94" s="25">
        <v>0</v>
      </c>
      <c r="I94" s="40">
        <f t="shared" si="8"/>
        <v>91240.9</v>
      </c>
      <c r="J94" s="46">
        <f t="shared" si="8"/>
        <v>46140.2</v>
      </c>
      <c r="K94" s="37">
        <f t="shared" si="9"/>
        <v>50.5696458496135</v>
      </c>
    </row>
    <row r="95" spans="1:11" ht="12.75">
      <c r="A95" s="14" t="s">
        <v>57</v>
      </c>
      <c r="B95" s="3" t="s">
        <v>58</v>
      </c>
      <c r="C95" s="22">
        <v>14329.4</v>
      </c>
      <c r="D95" s="22">
        <v>9123.9</v>
      </c>
      <c r="E95" s="22">
        <f t="shared" si="5"/>
        <v>63.672589222158635</v>
      </c>
      <c r="F95" s="25">
        <v>0</v>
      </c>
      <c r="G95" s="23">
        <v>0</v>
      </c>
      <c r="H95" s="25">
        <v>0</v>
      </c>
      <c r="I95" s="40">
        <f t="shared" si="8"/>
        <v>14329.4</v>
      </c>
      <c r="J95" s="46">
        <f t="shared" si="8"/>
        <v>9123.9</v>
      </c>
      <c r="K95" s="37">
        <f t="shared" si="9"/>
        <v>63.672589222158635</v>
      </c>
    </row>
    <row r="96" spans="1:11" ht="12.75">
      <c r="A96" s="15" t="s">
        <v>104</v>
      </c>
      <c r="B96" s="3" t="s">
        <v>88</v>
      </c>
      <c r="C96" s="22">
        <f>78560.7-C97</f>
        <v>16341.599999999999</v>
      </c>
      <c r="D96" s="25">
        <f>31259.7-D97</f>
        <v>12700.100000000002</v>
      </c>
      <c r="E96" s="22">
        <f t="shared" si="5"/>
        <v>77.71638028100065</v>
      </c>
      <c r="F96" s="25">
        <v>0</v>
      </c>
      <c r="G96" s="23">
        <v>0</v>
      </c>
      <c r="H96" s="25">
        <v>0</v>
      </c>
      <c r="I96" s="40">
        <f t="shared" si="8"/>
        <v>16341.599999999999</v>
      </c>
      <c r="J96" s="46">
        <f t="shared" si="8"/>
        <v>12700.100000000002</v>
      </c>
      <c r="K96" s="37">
        <f t="shared" si="9"/>
        <v>77.71638028100065</v>
      </c>
    </row>
    <row r="97" spans="1:11" ht="22.5">
      <c r="A97" s="15" t="s">
        <v>104</v>
      </c>
      <c r="B97" s="49" t="s">
        <v>132</v>
      </c>
      <c r="C97" s="22">
        <v>62219.1</v>
      </c>
      <c r="D97" s="25">
        <v>18559.6</v>
      </c>
      <c r="E97" s="22">
        <f t="shared" si="5"/>
        <v>29.829425369380143</v>
      </c>
      <c r="F97" s="25">
        <v>0</v>
      </c>
      <c r="G97" s="23">
        <v>0</v>
      </c>
      <c r="H97" s="25">
        <v>0</v>
      </c>
      <c r="I97" s="40">
        <f t="shared" si="8"/>
        <v>62219.1</v>
      </c>
      <c r="J97" s="46">
        <f t="shared" si="8"/>
        <v>18559.6</v>
      </c>
      <c r="K97" s="37">
        <f t="shared" si="9"/>
        <v>29.829425369380143</v>
      </c>
    </row>
    <row r="98" spans="1:11" ht="12.75">
      <c r="A98" s="13">
        <v>10</v>
      </c>
      <c r="B98" s="4" t="s">
        <v>60</v>
      </c>
      <c r="C98" s="24">
        <f>SUM(C99:C113)</f>
        <v>210654.4</v>
      </c>
      <c r="D98" s="24">
        <f>SUM(D99:D113)</f>
        <v>132779.09999999998</v>
      </c>
      <c r="E98" s="24">
        <f>D98/C98*100</f>
        <v>63.031723999118924</v>
      </c>
      <c r="F98" s="24">
        <f>SUM(F99:F111)</f>
        <v>163.5</v>
      </c>
      <c r="G98" s="24">
        <f>SUM(G99:G111)</f>
        <v>143.6</v>
      </c>
      <c r="H98" s="35">
        <f>G98/F98*100</f>
        <v>87.82874617737004</v>
      </c>
      <c r="I98" s="24">
        <f>SUM(I99:I113)</f>
        <v>210817.9</v>
      </c>
      <c r="J98" s="24">
        <f>SUM(J99:J113)</f>
        <v>132922.69999999998</v>
      </c>
      <c r="K98" s="36">
        <f t="shared" si="9"/>
        <v>63.05095535056557</v>
      </c>
    </row>
    <row r="99" spans="1:11" ht="12.75">
      <c r="A99" s="15">
        <v>1001</v>
      </c>
      <c r="B99" s="3" t="s">
        <v>61</v>
      </c>
      <c r="C99" s="22">
        <v>3354.4</v>
      </c>
      <c r="D99" s="22">
        <v>3073.9</v>
      </c>
      <c r="E99" s="22">
        <f t="shared" si="5"/>
        <v>91.63784879561173</v>
      </c>
      <c r="F99" s="25">
        <v>163.5</v>
      </c>
      <c r="G99" s="23">
        <v>143.6</v>
      </c>
      <c r="H99" s="25">
        <f>G99/F99*100</f>
        <v>87.82874617737004</v>
      </c>
      <c r="I99" s="40">
        <f t="shared" si="8"/>
        <v>3517.9</v>
      </c>
      <c r="J99" s="46">
        <f t="shared" si="8"/>
        <v>3217.5</v>
      </c>
      <c r="K99" s="37">
        <f t="shared" si="9"/>
        <v>91.46081469058245</v>
      </c>
    </row>
    <row r="100" spans="1:11" ht="22.5">
      <c r="A100" s="15">
        <v>1003</v>
      </c>
      <c r="B100" s="3" t="s">
        <v>79</v>
      </c>
      <c r="C100" s="22">
        <v>2165.4</v>
      </c>
      <c r="D100" s="22">
        <v>2165.4</v>
      </c>
      <c r="E100" s="22">
        <f t="shared" si="5"/>
        <v>100</v>
      </c>
      <c r="F100" s="25">
        <v>0</v>
      </c>
      <c r="G100" s="23">
        <v>0</v>
      </c>
      <c r="H100" s="25">
        <v>0</v>
      </c>
      <c r="I100" s="40">
        <f t="shared" si="8"/>
        <v>2165.4</v>
      </c>
      <c r="J100" s="46">
        <f t="shared" si="8"/>
        <v>2165.4</v>
      </c>
      <c r="K100" s="37">
        <f t="shared" si="9"/>
        <v>100</v>
      </c>
    </row>
    <row r="101" spans="1:11" ht="12.75">
      <c r="A101" s="15" t="s">
        <v>168</v>
      </c>
      <c r="B101" s="3" t="s">
        <v>186</v>
      </c>
      <c r="C101" s="22">
        <v>66.1</v>
      </c>
      <c r="D101" s="22">
        <v>0</v>
      </c>
      <c r="E101" s="22">
        <f t="shared" si="5"/>
        <v>0</v>
      </c>
      <c r="F101" s="25"/>
      <c r="G101" s="23"/>
      <c r="H101" s="25"/>
      <c r="I101" s="40">
        <f t="shared" si="8"/>
        <v>66.1</v>
      </c>
      <c r="J101" s="46">
        <f t="shared" si="8"/>
        <v>0</v>
      </c>
      <c r="K101" s="37">
        <f t="shared" si="9"/>
        <v>0</v>
      </c>
    </row>
    <row r="102" spans="1:11" ht="22.5">
      <c r="A102" s="15">
        <v>1003</v>
      </c>
      <c r="B102" s="3" t="s">
        <v>94</v>
      </c>
      <c r="C102" s="22">
        <v>13827.1</v>
      </c>
      <c r="D102" s="22">
        <v>11451</v>
      </c>
      <c r="E102" s="22">
        <f aca="true" t="shared" si="10" ref="E102:E125">D102/C102*100</f>
        <v>82.81563017552487</v>
      </c>
      <c r="F102" s="25">
        <v>0</v>
      </c>
      <c r="G102" s="23">
        <v>0</v>
      </c>
      <c r="H102" s="25">
        <v>0</v>
      </c>
      <c r="I102" s="40">
        <f t="shared" si="8"/>
        <v>13827.1</v>
      </c>
      <c r="J102" s="46">
        <f t="shared" si="8"/>
        <v>11451</v>
      </c>
      <c r="K102" s="37">
        <f t="shared" si="9"/>
        <v>82.81563017552487</v>
      </c>
    </row>
    <row r="103" spans="1:11" ht="22.5">
      <c r="A103" s="15">
        <v>1003</v>
      </c>
      <c r="B103" s="3" t="s">
        <v>93</v>
      </c>
      <c r="C103" s="22">
        <v>11451</v>
      </c>
      <c r="D103" s="22">
        <v>5358.3</v>
      </c>
      <c r="E103" s="22">
        <f t="shared" si="10"/>
        <v>46.79329316216925</v>
      </c>
      <c r="F103" s="25">
        <v>0</v>
      </c>
      <c r="G103" s="23">
        <v>0</v>
      </c>
      <c r="H103" s="25">
        <v>0</v>
      </c>
      <c r="I103" s="40">
        <f t="shared" si="8"/>
        <v>11451</v>
      </c>
      <c r="J103" s="46">
        <f t="shared" si="8"/>
        <v>5358.3</v>
      </c>
      <c r="K103" s="37">
        <f t="shared" si="9"/>
        <v>46.79329316216925</v>
      </c>
    </row>
    <row r="104" spans="1:11" ht="12.75">
      <c r="A104" s="15" t="s">
        <v>168</v>
      </c>
      <c r="B104" s="3" t="s">
        <v>181</v>
      </c>
      <c r="C104" s="22">
        <v>1134</v>
      </c>
      <c r="D104" s="22">
        <v>0</v>
      </c>
      <c r="E104" s="22">
        <f t="shared" si="10"/>
        <v>0</v>
      </c>
      <c r="F104" s="25"/>
      <c r="G104" s="23"/>
      <c r="H104" s="25"/>
      <c r="I104" s="40">
        <f t="shared" si="8"/>
        <v>1134</v>
      </c>
      <c r="J104" s="46">
        <f t="shared" si="8"/>
        <v>0</v>
      </c>
      <c r="K104" s="37">
        <f t="shared" si="9"/>
        <v>0</v>
      </c>
    </row>
    <row r="105" spans="1:11" ht="12.75">
      <c r="A105" s="15" t="s">
        <v>168</v>
      </c>
      <c r="B105" s="3" t="s">
        <v>180</v>
      </c>
      <c r="C105" s="22">
        <v>63.2</v>
      </c>
      <c r="D105" s="22">
        <v>0</v>
      </c>
      <c r="E105" s="22">
        <f t="shared" si="10"/>
        <v>0</v>
      </c>
      <c r="F105" s="25">
        <v>0</v>
      </c>
      <c r="G105" s="23">
        <v>0</v>
      </c>
      <c r="H105" s="25">
        <v>0</v>
      </c>
      <c r="I105" s="40">
        <f t="shared" si="8"/>
        <v>63.2</v>
      </c>
      <c r="J105" s="46">
        <f t="shared" si="8"/>
        <v>0</v>
      </c>
      <c r="K105" s="37">
        <f t="shared" si="9"/>
        <v>0</v>
      </c>
    </row>
    <row r="106" spans="1:11" ht="39" customHeight="1">
      <c r="A106" s="15" t="s">
        <v>168</v>
      </c>
      <c r="B106" s="3" t="s">
        <v>185</v>
      </c>
      <c r="C106" s="22">
        <v>1191.6</v>
      </c>
      <c r="D106" s="22">
        <v>0</v>
      </c>
      <c r="E106" s="22">
        <f t="shared" si="10"/>
        <v>0</v>
      </c>
      <c r="F106" s="25"/>
      <c r="G106" s="23"/>
      <c r="H106" s="25"/>
      <c r="I106" s="40">
        <f t="shared" si="8"/>
        <v>1191.6</v>
      </c>
      <c r="J106" s="46">
        <f t="shared" si="8"/>
        <v>0</v>
      </c>
      <c r="K106" s="37">
        <f t="shared" si="9"/>
        <v>0</v>
      </c>
    </row>
    <row r="107" spans="1:11" ht="22.5">
      <c r="A107" s="15" t="s">
        <v>168</v>
      </c>
      <c r="B107" s="3" t="s">
        <v>184</v>
      </c>
      <c r="C107" s="22">
        <v>12412.1</v>
      </c>
      <c r="D107" s="22">
        <v>0</v>
      </c>
      <c r="E107" s="22">
        <v>0</v>
      </c>
      <c r="F107" s="25"/>
      <c r="G107" s="23"/>
      <c r="H107" s="25"/>
      <c r="I107" s="40">
        <f t="shared" si="8"/>
        <v>12412.1</v>
      </c>
      <c r="J107" s="46">
        <f t="shared" si="8"/>
        <v>0</v>
      </c>
      <c r="K107" s="37">
        <f t="shared" si="9"/>
        <v>0</v>
      </c>
    </row>
    <row r="108" spans="1:11" ht="45">
      <c r="A108" s="15">
        <v>1004</v>
      </c>
      <c r="B108" s="3" t="s">
        <v>122</v>
      </c>
      <c r="C108" s="56">
        <v>11836.5</v>
      </c>
      <c r="D108" s="22">
        <f>9999.3+362.4</f>
        <v>10361.699999999999</v>
      </c>
      <c r="E108" s="22">
        <f t="shared" si="10"/>
        <v>87.54023571157013</v>
      </c>
      <c r="F108" s="25">
        <v>0</v>
      </c>
      <c r="G108" s="23">
        <v>0</v>
      </c>
      <c r="H108" s="25">
        <v>0</v>
      </c>
      <c r="I108" s="40">
        <f aca="true" t="shared" si="11" ref="I108:J113">C108+F108</f>
        <v>11836.5</v>
      </c>
      <c r="J108" s="46">
        <f t="shared" si="11"/>
        <v>10361.699999999999</v>
      </c>
      <c r="K108" s="37">
        <f t="shared" si="9"/>
        <v>87.54023571157013</v>
      </c>
    </row>
    <row r="109" spans="1:11" ht="22.5">
      <c r="A109" s="15">
        <v>1004</v>
      </c>
      <c r="B109" s="3" t="s">
        <v>131</v>
      </c>
      <c r="C109" s="56">
        <v>887</v>
      </c>
      <c r="D109" s="22">
        <v>800.8</v>
      </c>
      <c r="E109" s="22">
        <f t="shared" si="10"/>
        <v>90.28184892897406</v>
      </c>
      <c r="F109" s="25">
        <v>0</v>
      </c>
      <c r="G109" s="25">
        <v>0</v>
      </c>
      <c r="H109" s="25">
        <v>0</v>
      </c>
      <c r="I109" s="40">
        <f t="shared" si="11"/>
        <v>887</v>
      </c>
      <c r="J109" s="40">
        <f t="shared" si="11"/>
        <v>800.8</v>
      </c>
      <c r="K109" s="37">
        <f t="shared" si="9"/>
        <v>90.28184892897406</v>
      </c>
    </row>
    <row r="110" spans="1:11" ht="22.5">
      <c r="A110" s="15">
        <v>1004</v>
      </c>
      <c r="B110" s="3" t="s">
        <v>72</v>
      </c>
      <c r="C110" s="56">
        <v>76911.5</v>
      </c>
      <c r="D110" s="22">
        <v>63291.6</v>
      </c>
      <c r="E110" s="22">
        <f t="shared" si="10"/>
        <v>82.29146486546225</v>
      </c>
      <c r="F110" s="25">
        <v>0</v>
      </c>
      <c r="G110" s="23">
        <v>0</v>
      </c>
      <c r="H110" s="25">
        <v>0</v>
      </c>
      <c r="I110" s="40">
        <f t="shared" si="11"/>
        <v>76911.5</v>
      </c>
      <c r="J110" s="46">
        <f t="shared" si="11"/>
        <v>63291.6</v>
      </c>
      <c r="K110" s="37">
        <f t="shared" si="9"/>
        <v>82.29146486546225</v>
      </c>
    </row>
    <row r="111" spans="1:11" ht="12.75">
      <c r="A111" s="15">
        <v>1004</v>
      </c>
      <c r="B111" s="3" t="s">
        <v>73</v>
      </c>
      <c r="C111" s="56">
        <v>5226.2</v>
      </c>
      <c r="D111" s="22">
        <v>4444.9</v>
      </c>
      <c r="E111" s="22">
        <f t="shared" si="10"/>
        <v>85.05032337070911</v>
      </c>
      <c r="F111" s="25">
        <v>0</v>
      </c>
      <c r="G111" s="23">
        <v>0</v>
      </c>
      <c r="H111" s="25">
        <v>0</v>
      </c>
      <c r="I111" s="40">
        <f t="shared" si="11"/>
        <v>5226.2</v>
      </c>
      <c r="J111" s="46">
        <f t="shared" si="11"/>
        <v>4444.9</v>
      </c>
      <c r="K111" s="37">
        <f t="shared" si="9"/>
        <v>85.05032337070911</v>
      </c>
    </row>
    <row r="112" spans="1:11" ht="45">
      <c r="A112" s="15" t="s">
        <v>110</v>
      </c>
      <c r="B112" s="3" t="s">
        <v>134</v>
      </c>
      <c r="C112" s="56">
        <v>56733.2</v>
      </c>
      <c r="D112" s="22">
        <v>20754.6</v>
      </c>
      <c r="E112" s="22">
        <f>D112/C112*100</f>
        <v>36.58281218052216</v>
      </c>
      <c r="F112" s="25">
        <v>0</v>
      </c>
      <c r="G112" s="23">
        <v>0</v>
      </c>
      <c r="H112" s="25">
        <v>0</v>
      </c>
      <c r="I112" s="40">
        <f t="shared" si="11"/>
        <v>56733.2</v>
      </c>
      <c r="J112" s="46">
        <f t="shared" si="11"/>
        <v>20754.6</v>
      </c>
      <c r="K112" s="37">
        <f>J112/I112*100</f>
        <v>36.58281218052216</v>
      </c>
    </row>
    <row r="113" spans="1:11" ht="12.75">
      <c r="A113" s="15">
        <v>1006</v>
      </c>
      <c r="B113" s="3" t="s">
        <v>63</v>
      </c>
      <c r="C113" s="22">
        <v>13395.1</v>
      </c>
      <c r="D113" s="22">
        <v>11076.9</v>
      </c>
      <c r="E113" s="22">
        <f t="shared" si="10"/>
        <v>82.69367156646832</v>
      </c>
      <c r="F113" s="25">
        <v>0</v>
      </c>
      <c r="G113" s="23">
        <v>0</v>
      </c>
      <c r="H113" s="25">
        <v>0</v>
      </c>
      <c r="I113" s="40">
        <f t="shared" si="11"/>
        <v>13395.1</v>
      </c>
      <c r="J113" s="46">
        <f t="shared" si="11"/>
        <v>11076.9</v>
      </c>
      <c r="K113" s="37">
        <f t="shared" si="9"/>
        <v>82.69367156646832</v>
      </c>
    </row>
    <row r="114" spans="1:11" ht="12.75">
      <c r="A114" s="17">
        <v>1100</v>
      </c>
      <c r="B114" s="4" t="s">
        <v>59</v>
      </c>
      <c r="C114" s="24">
        <f>SUM(C115:C116)</f>
        <v>33911.7</v>
      </c>
      <c r="D114" s="24">
        <f>SUM(D115:D116)</f>
        <v>29697.9</v>
      </c>
      <c r="E114" s="24">
        <f>D114/C114*100</f>
        <v>87.57420005484833</v>
      </c>
      <c r="F114" s="27">
        <f>F115+F116</f>
        <v>10284</v>
      </c>
      <c r="G114" s="27">
        <f>G115+G116</f>
        <v>8213.300000000001</v>
      </c>
      <c r="H114" s="35">
        <f>G114/F114*100</f>
        <v>79.86483858420848</v>
      </c>
      <c r="I114" s="27">
        <f>SUM(I115:I116)</f>
        <v>43985.7</v>
      </c>
      <c r="J114" s="27">
        <f>SUM(J115:J116)</f>
        <v>37701.200000000004</v>
      </c>
      <c r="K114" s="36">
        <f t="shared" si="9"/>
        <v>85.71240198519065</v>
      </c>
    </row>
    <row r="115" spans="1:11" ht="12.75">
      <c r="A115" s="15">
        <v>1101</v>
      </c>
      <c r="B115" s="3" t="s">
        <v>83</v>
      </c>
      <c r="C115" s="22">
        <v>11350</v>
      </c>
      <c r="D115" s="22">
        <v>10169.2</v>
      </c>
      <c r="E115" s="22">
        <f t="shared" si="10"/>
        <v>89.59647577092512</v>
      </c>
      <c r="F115" s="25">
        <v>10074</v>
      </c>
      <c r="G115" s="23">
        <v>8067.1</v>
      </c>
      <c r="H115" s="25">
        <f>G115/F115*100</f>
        <v>80.07841969426246</v>
      </c>
      <c r="I115" s="40">
        <f>C115+F115</f>
        <v>21424</v>
      </c>
      <c r="J115" s="40">
        <f>D115+G115</f>
        <v>18236.300000000003</v>
      </c>
      <c r="K115" s="37">
        <f t="shared" si="9"/>
        <v>85.12089245705752</v>
      </c>
    </row>
    <row r="116" spans="1:11" ht="12.75">
      <c r="A116" s="15">
        <v>1102</v>
      </c>
      <c r="B116" s="3" t="s">
        <v>84</v>
      </c>
      <c r="C116" s="22">
        <v>22561.7</v>
      </c>
      <c r="D116" s="22">
        <v>19528.7</v>
      </c>
      <c r="E116" s="22">
        <f t="shared" si="10"/>
        <v>86.5568640660943</v>
      </c>
      <c r="F116" s="25">
        <v>210</v>
      </c>
      <c r="G116" s="23">
        <v>146.2</v>
      </c>
      <c r="H116" s="25">
        <f>G116/F116*100</f>
        <v>69.61904761904762</v>
      </c>
      <c r="I116" s="40">
        <f>C116+F116-210</f>
        <v>22561.7</v>
      </c>
      <c r="J116" s="40">
        <f>D116+G116-210</f>
        <v>19464.9</v>
      </c>
      <c r="K116" s="37">
        <f t="shared" si="9"/>
        <v>86.27408395643945</v>
      </c>
    </row>
    <row r="117" spans="1:11" ht="12.75">
      <c r="A117" s="17">
        <v>1200</v>
      </c>
      <c r="B117" s="4" t="s">
        <v>85</v>
      </c>
      <c r="C117" s="24">
        <f>C119+C118</f>
        <v>9752</v>
      </c>
      <c r="D117" s="24">
        <f>D119+D118</f>
        <v>9318.1</v>
      </c>
      <c r="E117" s="24">
        <f>E119</f>
        <v>96.49298245614035</v>
      </c>
      <c r="F117" s="24">
        <f>F119+F118</f>
        <v>0</v>
      </c>
      <c r="G117" s="24">
        <f>G119+G118</f>
        <v>0</v>
      </c>
      <c r="H117" s="38">
        <f>H119</f>
        <v>0</v>
      </c>
      <c r="I117" s="24">
        <f aca="true" t="shared" si="12" ref="I117:J121">C117+F117</f>
        <v>9752</v>
      </c>
      <c r="J117" s="24">
        <f t="shared" si="12"/>
        <v>9318.1</v>
      </c>
      <c r="K117" s="39">
        <f t="shared" si="9"/>
        <v>95.55065627563577</v>
      </c>
    </row>
    <row r="118" spans="1:11" ht="12.75">
      <c r="A118" s="15" t="s">
        <v>114</v>
      </c>
      <c r="B118" s="3" t="s">
        <v>115</v>
      </c>
      <c r="C118" s="22">
        <v>4052</v>
      </c>
      <c r="D118" s="22">
        <v>3818</v>
      </c>
      <c r="E118" s="22">
        <f>D118/C118*100</f>
        <v>94.22507403751233</v>
      </c>
      <c r="F118" s="25">
        <v>0</v>
      </c>
      <c r="G118" s="23">
        <v>0</v>
      </c>
      <c r="H118" s="25">
        <v>0</v>
      </c>
      <c r="I118" s="40">
        <f t="shared" si="12"/>
        <v>4052</v>
      </c>
      <c r="J118" s="40">
        <f t="shared" si="12"/>
        <v>3818</v>
      </c>
      <c r="K118" s="37">
        <f>J118/I118*100</f>
        <v>94.22507403751233</v>
      </c>
    </row>
    <row r="119" spans="1:11" ht="12.75">
      <c r="A119" s="15">
        <v>1202</v>
      </c>
      <c r="B119" s="3" t="s">
        <v>101</v>
      </c>
      <c r="C119" s="22">
        <v>5700</v>
      </c>
      <c r="D119" s="22">
        <v>5500.1</v>
      </c>
      <c r="E119" s="22">
        <f t="shared" si="10"/>
        <v>96.49298245614035</v>
      </c>
      <c r="F119" s="25">
        <v>0</v>
      </c>
      <c r="G119" s="23">
        <v>0</v>
      </c>
      <c r="H119" s="25">
        <v>0</v>
      </c>
      <c r="I119" s="40">
        <f t="shared" si="12"/>
        <v>5700</v>
      </c>
      <c r="J119" s="40">
        <f t="shared" si="12"/>
        <v>5500.1</v>
      </c>
      <c r="K119" s="37">
        <f t="shared" si="9"/>
        <v>96.49298245614035</v>
      </c>
    </row>
    <row r="120" spans="1:11" ht="12.75">
      <c r="A120" s="17">
        <v>1300</v>
      </c>
      <c r="B120" s="4" t="s">
        <v>86</v>
      </c>
      <c r="C120" s="24">
        <f aca="true" t="shared" si="13" ref="C120:H120">C121</f>
        <v>1000</v>
      </c>
      <c r="D120" s="24">
        <f t="shared" si="13"/>
        <v>649.5</v>
      </c>
      <c r="E120" s="24">
        <f t="shared" si="13"/>
        <v>64.95</v>
      </c>
      <c r="F120" s="24">
        <f t="shared" si="13"/>
        <v>0</v>
      </c>
      <c r="G120" s="24">
        <f t="shared" si="13"/>
        <v>0</v>
      </c>
      <c r="H120" s="38">
        <f t="shared" si="13"/>
        <v>0</v>
      </c>
      <c r="I120" s="24">
        <f t="shared" si="12"/>
        <v>1000</v>
      </c>
      <c r="J120" s="24">
        <f t="shared" si="12"/>
        <v>649.5</v>
      </c>
      <c r="K120" s="39">
        <f t="shared" si="9"/>
        <v>64.95</v>
      </c>
    </row>
    <row r="121" spans="1:11" ht="22.5">
      <c r="A121" s="15">
        <v>1301</v>
      </c>
      <c r="B121" s="3" t="s">
        <v>87</v>
      </c>
      <c r="C121" s="22">
        <v>1000</v>
      </c>
      <c r="D121" s="22">
        <v>649.5</v>
      </c>
      <c r="E121" s="22">
        <f t="shared" si="10"/>
        <v>64.95</v>
      </c>
      <c r="F121" s="25"/>
      <c r="G121" s="23">
        <v>0</v>
      </c>
      <c r="H121" s="25">
        <v>0</v>
      </c>
      <c r="I121" s="40">
        <f t="shared" si="12"/>
        <v>1000</v>
      </c>
      <c r="J121" s="40">
        <f t="shared" si="12"/>
        <v>649.5</v>
      </c>
      <c r="K121" s="37">
        <f t="shared" si="9"/>
        <v>64.95</v>
      </c>
    </row>
    <row r="122" spans="1:11" ht="12.75">
      <c r="A122" s="17">
        <v>1400</v>
      </c>
      <c r="B122" s="4" t="s">
        <v>64</v>
      </c>
      <c r="C122" s="24">
        <f>SUM(C123:C125)</f>
        <v>318923.7</v>
      </c>
      <c r="D122" s="24">
        <f>SUM(D123:D125)</f>
        <v>301658.6</v>
      </c>
      <c r="E122" s="24">
        <f>D122/C122*100</f>
        <v>94.58644810655338</v>
      </c>
      <c r="F122" s="27">
        <f>F123+F124+F125</f>
        <v>27251.5</v>
      </c>
      <c r="G122" s="27">
        <f>SUM(G123:G125)</f>
        <v>26522</v>
      </c>
      <c r="H122" s="27">
        <f>G122/F122*100</f>
        <v>97.32308313303855</v>
      </c>
      <c r="I122" s="27">
        <v>0</v>
      </c>
      <c r="J122" s="27">
        <v>0</v>
      </c>
      <c r="K122" s="36">
        <v>0</v>
      </c>
    </row>
    <row r="123" spans="1:11" ht="22.5">
      <c r="A123" s="15">
        <v>1401</v>
      </c>
      <c r="B123" s="3" t="s">
        <v>81</v>
      </c>
      <c r="C123" s="22">
        <v>104609.8</v>
      </c>
      <c r="D123" s="22">
        <v>97030.1</v>
      </c>
      <c r="E123" s="22">
        <f t="shared" si="10"/>
        <v>92.75431173752364</v>
      </c>
      <c r="F123" s="25">
        <v>0</v>
      </c>
      <c r="G123" s="23">
        <v>0</v>
      </c>
      <c r="H123" s="25">
        <v>0</v>
      </c>
      <c r="I123" s="40">
        <v>0</v>
      </c>
      <c r="J123" s="46">
        <v>0</v>
      </c>
      <c r="K123" s="37">
        <v>0</v>
      </c>
    </row>
    <row r="124" spans="1:11" ht="12.75">
      <c r="A124" s="15">
        <v>1402</v>
      </c>
      <c r="B124" s="3" t="s">
        <v>82</v>
      </c>
      <c r="C124" s="22">
        <v>213013.9</v>
      </c>
      <c r="D124" s="22">
        <v>203328.5</v>
      </c>
      <c r="E124" s="22">
        <f t="shared" si="10"/>
        <v>95.45316056839484</v>
      </c>
      <c r="F124" s="25">
        <v>0</v>
      </c>
      <c r="G124" s="23">
        <v>0</v>
      </c>
      <c r="H124" s="25">
        <v>0</v>
      </c>
      <c r="I124" s="40">
        <v>0</v>
      </c>
      <c r="J124" s="46">
        <v>0</v>
      </c>
      <c r="K124" s="37">
        <v>0</v>
      </c>
    </row>
    <row r="125" spans="1:11" ht="12.75">
      <c r="A125" s="15">
        <v>1403</v>
      </c>
      <c r="B125" s="3" t="s">
        <v>95</v>
      </c>
      <c r="C125" s="22">
        <v>1300</v>
      </c>
      <c r="D125" s="22">
        <v>1300</v>
      </c>
      <c r="E125" s="22">
        <f t="shared" si="10"/>
        <v>100</v>
      </c>
      <c r="F125" s="25">
        <v>27251.5</v>
      </c>
      <c r="G125" s="23">
        <v>26522</v>
      </c>
      <c r="H125" s="25">
        <f>G125/F125*100</f>
        <v>97.32308313303855</v>
      </c>
      <c r="I125" s="40">
        <v>0</v>
      </c>
      <c r="J125" s="46">
        <v>0</v>
      </c>
      <c r="K125" s="37">
        <v>0</v>
      </c>
    </row>
    <row r="126" spans="1:11" ht="13.5" customHeight="1" thickBot="1">
      <c r="A126" s="164" t="s">
        <v>65</v>
      </c>
      <c r="B126" s="165"/>
      <c r="C126" s="29">
        <f>C9+C18+C20+C25+C46+C75+C77+C85+C93+C98+C114+C117+C120+C122</f>
        <v>4813226.000000001</v>
      </c>
      <c r="D126" s="29">
        <f>D122+D120+D117+D114+D98+D93+D85+D77+D75+D46+D25+D20+D18+D9</f>
        <v>3722031.8000000003</v>
      </c>
      <c r="E126" s="29">
        <f>D126/C126*100</f>
        <v>77.32925484903471</v>
      </c>
      <c r="F126" s="29">
        <f>F9+F18+F20+F25+F46+F75+F77+F85+F93+F98+F114+F117+F120+F122</f>
        <v>633711.6000000001</v>
      </c>
      <c r="G126" s="29">
        <f>G122+G120+G117+G98+G93+G85+G77+G46+G25+G21+G18+G9+G20+G114</f>
        <v>548560.3999999999</v>
      </c>
      <c r="H126" s="47">
        <f>G126/F126*100</f>
        <v>86.56309905010416</v>
      </c>
      <c r="I126" s="29">
        <f>I122+I120+I117+I114+I98+I93+I85+I77+I75+I46+I25+I20+I18+I9</f>
        <v>4960164.600000001</v>
      </c>
      <c r="J126" s="29">
        <f>J122+J120+J117+J114+J98+J93+J85+J77+J75+J46+J25+J20+J18+J9</f>
        <v>3810150.099999999</v>
      </c>
      <c r="K126" s="30">
        <f t="shared" si="9"/>
        <v>76.8149931959919</v>
      </c>
    </row>
    <row r="127" spans="1:11" ht="12.75">
      <c r="A127" s="9"/>
      <c r="B127" s="5"/>
      <c r="C127" s="53"/>
      <c r="D127" s="31"/>
      <c r="E127" s="41"/>
      <c r="F127" s="21"/>
      <c r="G127" s="33"/>
      <c r="H127" s="33"/>
      <c r="I127" s="45"/>
      <c r="J127" s="45"/>
      <c r="K127" s="45"/>
    </row>
    <row r="128" spans="1:11" ht="12.75">
      <c r="A128" s="10"/>
      <c r="B128" s="6"/>
      <c r="C128" s="54"/>
      <c r="D128" s="32"/>
      <c r="E128" s="41"/>
      <c r="F128" s="21"/>
      <c r="G128" s="33"/>
      <c r="H128" s="33"/>
      <c r="I128" s="44"/>
      <c r="J128" s="44"/>
      <c r="K128" s="45"/>
    </row>
    <row r="129" spans="1:11" ht="12.75">
      <c r="A129" s="10"/>
      <c r="B129" s="6"/>
      <c r="C129" s="54"/>
      <c r="D129" s="32"/>
      <c r="E129" s="41"/>
      <c r="F129" s="21"/>
      <c r="G129" s="33"/>
      <c r="H129" s="33"/>
      <c r="I129" s="44"/>
      <c r="J129" s="44"/>
      <c r="K129" s="45"/>
    </row>
    <row r="130" spans="1:11" ht="12.75" customHeight="1">
      <c r="A130" s="168" t="s">
        <v>124</v>
      </c>
      <c r="B130" s="168"/>
      <c r="C130" s="168"/>
      <c r="D130" s="21"/>
      <c r="E130" s="33"/>
      <c r="F130" s="33"/>
      <c r="G130" s="33"/>
      <c r="H130" s="33"/>
      <c r="I130" s="45"/>
      <c r="J130" s="45"/>
      <c r="K130" s="45"/>
    </row>
    <row r="131" spans="1:11" ht="12.75" customHeight="1">
      <c r="A131" s="168" t="s">
        <v>125</v>
      </c>
      <c r="B131" s="168"/>
      <c r="C131" s="168"/>
      <c r="D131" s="42"/>
      <c r="E131" s="169" t="s">
        <v>66</v>
      </c>
      <c r="F131" s="169"/>
      <c r="G131" s="33"/>
      <c r="H131" s="33"/>
      <c r="I131" s="44"/>
      <c r="J131" s="45"/>
      <c r="K131" s="45"/>
    </row>
    <row r="132" spans="1:11" ht="12.75">
      <c r="A132" s="11"/>
      <c r="B132" s="5"/>
      <c r="C132" s="53"/>
      <c r="D132" s="31"/>
      <c r="E132" s="43"/>
      <c r="F132" s="55"/>
      <c r="G132" s="33"/>
      <c r="H132" s="33"/>
      <c r="I132" s="44"/>
      <c r="J132" s="45"/>
      <c r="K132" s="45"/>
    </row>
    <row r="133" spans="1:11" ht="12.75" customHeight="1">
      <c r="A133" s="168" t="s">
        <v>151</v>
      </c>
      <c r="B133" s="168"/>
      <c r="C133" s="168"/>
      <c r="D133" s="34"/>
      <c r="E133" s="169" t="s">
        <v>123</v>
      </c>
      <c r="F133" s="169"/>
      <c r="G133" s="33"/>
      <c r="H133" s="33"/>
      <c r="I133" s="44"/>
      <c r="J133" s="45"/>
      <c r="K133" s="45"/>
    </row>
    <row r="134" spans="1:11" ht="12.75">
      <c r="A134" s="11"/>
      <c r="B134" s="6"/>
      <c r="C134" s="54"/>
      <c r="D134" s="32"/>
      <c r="E134" s="43"/>
      <c r="F134" s="55"/>
      <c r="G134" s="33"/>
      <c r="H134" s="33"/>
      <c r="I134" s="44"/>
      <c r="J134" s="45"/>
      <c r="K134" s="45"/>
    </row>
    <row r="135" spans="1:11" ht="12.75" customHeight="1">
      <c r="A135" s="168" t="s">
        <v>154</v>
      </c>
      <c r="B135" s="168"/>
      <c r="C135" s="168"/>
      <c r="D135" s="34"/>
      <c r="E135" s="170" t="s">
        <v>155</v>
      </c>
      <c r="F135" s="170"/>
      <c r="G135" s="33"/>
      <c r="H135" s="33"/>
      <c r="I135" s="44"/>
      <c r="J135" s="45"/>
      <c r="K135" s="45"/>
    </row>
    <row r="136" spans="1:11" ht="12.75">
      <c r="A136" s="12"/>
      <c r="B136" s="7"/>
      <c r="C136" s="51"/>
      <c r="D136" s="21"/>
      <c r="E136" s="21"/>
      <c r="F136" s="33"/>
      <c r="G136" s="33"/>
      <c r="H136" s="33"/>
      <c r="I136" s="45"/>
      <c r="J136" s="45"/>
      <c r="K136" s="45"/>
    </row>
    <row r="137" spans="3:5" ht="12.75">
      <c r="C137" s="58" t="s">
        <v>156</v>
      </c>
      <c r="D137" t="s">
        <v>157</v>
      </c>
      <c r="E137" s="59" t="s">
        <v>158</v>
      </c>
    </row>
    <row r="140" ht="12.75">
      <c r="B140" s="7"/>
    </row>
  </sheetData>
  <sheetProtection/>
  <mergeCells count="35">
    <mergeCell ref="A130:C130"/>
    <mergeCell ref="A131:C131"/>
    <mergeCell ref="E131:F131"/>
    <mergeCell ref="A133:C133"/>
    <mergeCell ref="E133:F133"/>
    <mergeCell ref="A135:C135"/>
    <mergeCell ref="E135:F135"/>
    <mergeCell ref="K20:K21"/>
    <mergeCell ref="A126:B126"/>
    <mergeCell ref="A20:A21"/>
    <mergeCell ref="B20:B21"/>
    <mergeCell ref="C20:C21"/>
    <mergeCell ref="D20:D21"/>
    <mergeCell ref="E20:E21"/>
    <mergeCell ref="F20:F21"/>
    <mergeCell ref="A1:K1"/>
    <mergeCell ref="A3:A8"/>
    <mergeCell ref="B3:B5"/>
    <mergeCell ref="C3:E3"/>
    <mergeCell ref="F3:H3"/>
    <mergeCell ref="I3:K3"/>
    <mergeCell ref="G4:G5"/>
    <mergeCell ref="H4:H5"/>
    <mergeCell ref="I4:I5"/>
    <mergeCell ref="J4:J5"/>
    <mergeCell ref="C4:C5"/>
    <mergeCell ref="D4:D5"/>
    <mergeCell ref="G20:G21"/>
    <mergeCell ref="H20:H21"/>
    <mergeCell ref="K4:K5"/>
    <mergeCell ref="B6:K8"/>
    <mergeCell ref="E4:E5"/>
    <mergeCell ref="F4:F5"/>
    <mergeCell ref="I20:I21"/>
    <mergeCell ref="J20:J21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*</cp:lastModifiedBy>
  <cp:lastPrinted>2013-10-17T10:58:38Z</cp:lastPrinted>
  <dcterms:created xsi:type="dcterms:W3CDTF">2010-03-15T11:07:02Z</dcterms:created>
  <dcterms:modified xsi:type="dcterms:W3CDTF">2014-01-28T06:35:53Z</dcterms:modified>
  <cp:category/>
  <cp:version/>
  <cp:contentType/>
  <cp:contentStatus/>
</cp:coreProperties>
</file>