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1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<sst xmlns="http://schemas.openxmlformats.org/spreadsheetml/2006/main" count="851" uniqueCount="328">
  <si>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</si>
  <si>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</si>
  <si>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</si>
  <si>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</si>
  <si>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</si>
  <si>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</si>
  <si>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</si>
  <si>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</si>
  <si>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</si>
  <si>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</si>
  <si>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</si>
  <si>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</si>
  <si>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</si>
  <si>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</si>
  <si>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</si>
  <si>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</si>
  <si>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</si>
  <si>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</si>
  <si>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</si>
  <si>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</si>
  <si>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</si>
  <si>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</si>
  <si>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</si>
  <si>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</si>
  <si>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</si>
  <si>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</si>
  <si>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</si>
  <si>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</si>
  <si>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</si>
  <si>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</si>
  <si>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</si>
  <si>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</si>
  <si>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</si>
  <si>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</si>
  <si>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</si>
  <si>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</si>
  <si>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</si>
  <si>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</si>
  <si>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</si>
  <si>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</si>
  <si>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</si>
  <si>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</si>
  <si>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</si>
  <si>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</si>
  <si>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</si>
  <si>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</si>
  <si>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</si>
  <si>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</si>
  <si>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</si>
  <si>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</si>
  <si>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</si>
  <si>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</si>
  <si>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</si>
  <si>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</si>
  <si>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</si>
  <si>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</si>
  <si>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</si>
  <si>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</si>
  <si>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</si>
  <si>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</si>
  <si>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</si>
  <si>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</si>
  <si>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</si>
  <si>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</si>
  <si>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</si>
  <si>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</si>
  <si>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</si>
  <si>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</si>
  <si>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</si>
  <si>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</si>
  <si>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</si>
  <si>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</si>
  <si>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</si>
  <si>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</si>
  <si>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</si>
  <si>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</si>
  <si>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</si>
  <si>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</si>
  <si>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</si>
  <si>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</si>
  <si>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</si>
  <si>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</si>
  <si>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</si>
  <si>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</si>
  <si>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</si>
  <si>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</si>
  <si>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</si>
  <si>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</si>
  <si>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</si>
  <si>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</si>
  <si>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</si>
  <si>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</si>
  <si>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</si>
  <si>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</si>
  <si>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</si>
  <si>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</si>
  <si>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</si>
  <si>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</si>
  <si>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</si>
  <si>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</si>
  <si>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</si>
  <si>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</si>
  <si>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</si>
  <si>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</si>
  <si>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</si>
  <si>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</si>
  <si>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</si>
  <si>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</si>
  <si>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</si>
  <si>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</si>
  <si>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</si>
  <si>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</si>
  <si>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</si>
  <si>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</si>
  <si>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</si>
  <si>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</si>
  <si>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</si>
  <si>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</si>
  <si>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</si>
  <si>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</si>
  <si>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</si>
  <si>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</si>
  <si>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</si>
  <si>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</si>
  <si>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</si>
  <si>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</si>
  <si>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</si>
  <si>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</si>
  <si>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</si>
  <si>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</si>
  <si>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</si>
  <si>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</si>
  <si>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</si>
  <si>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</si>
  <si>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</si>
  <si>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</si>
  <si>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</si>
  <si>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</si>
  <si>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</si>
  <si>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</si>
  <si>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</si>
  <si>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</si>
  <si>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</si>
  <si>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</si>
  <si>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</si>
  <si>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</si>
  <si>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</si>
  <si>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</si>
  <si>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</si>
  <si>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</si>
  <si>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</si>
  <si>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</si>
  <si>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</si>
  <si>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</si>
  <si>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</si>
  <si>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</si>
  <si>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</si>
  <si>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</si>
  <si>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</si>
  <si>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</si>
  <si>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</si>
  <si>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</si>
  <si>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</si>
  <si>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</si>
  <si>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</si>
  <si>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</si>
  <si>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</si>
  <si>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</si>
  <si>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</si>
  <si>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</si>
  <si>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</si>
  <si>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</si>
  <si>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</si>
  <si>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</si>
  <si>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</si>
  <si>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</si>
  <si>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</si>
  <si>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</si>
  <si>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</si>
  <si>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Муниципальная  программа" Развитие транспортной  системы муниципального  образования Октябрьский  район на 2014-2016  годы" (11.1.4210)</t>
  </si>
  <si>
    <t>Содержание автомобильных дорог общего пользования (40.3.0602)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</si>
  <si>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</si>
  <si>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</si>
  <si>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Капитальный ремонт жилого фонда (40.6.2120)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</si>
  <si>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</si>
  <si>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</si>
  <si>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</si>
  <si>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</si>
  <si>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Бесплатное питание (01.1.5504)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</si>
  <si>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</si>
  <si>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</si>
  <si>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</si>
  <si>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</si>
  <si>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</si>
  <si>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(10.3.7808)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</si>
  <si>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(10.3.7809)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</si>
  <si>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(40.6.2140)</t>
  </si>
  <si>
    <t>Мероприятия в области коммунального хозяйства (40.6.2125)</t>
  </si>
  <si>
    <t>Национальная  безопасность и правоохранительная деятельность</t>
  </si>
  <si>
    <t>Муниципальная  программа" Развитие транспортной  системы муниципального  образования Октябрьский  район на 2014-2016  годы"  (11.1.5419, 11.1.5641) окружные средства</t>
  </si>
  <si>
    <t>Муниципальная  программа" Развитие транспортной  системы муниципального  образования Октябрьский  район на 2014-2016  годы"  (11.1.5419, 11.1.5641)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</si>
  <si>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</si>
  <si>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Мероприятия по землеустройству и землепользованию (40.3.2137)</t>
  </si>
  <si>
    <t>Реализация мероприятий муниципальной  программы "Управление  муниципальной  собственностью Октябрьского района на 2014 – 2020 годы" земля (18.0.2137)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</si>
  <si>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(ремонт линий электроснабжения) (15.0.2120)</t>
  </si>
  <si>
    <t>Агеева Н.В.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</si>
  <si>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(09.3.5410) 01.60.00, 01.02.01</t>
  </si>
  <si>
    <t>Возмещение затрат в связи с производством (реализацией) товаров, выполнением работ, оказанием услуг по теплоснабжению (40.6.2141)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</si>
  <si>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(09.1.5440 о/б; 09.1.5020 ф/б)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</si>
  <si>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(09.7.5135) 01.20.04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</si>
  <si>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(08.0.5428, 08.0.5064)</t>
  </si>
  <si>
    <t>Снос расселенных приспособленных для проживания строений, расположенных в месте их сосредоточения в муниципальном образовании (09.3.2130)</t>
  </si>
  <si>
    <t>(тыс.руб.)</t>
  </si>
  <si>
    <t xml:space="preserve"> </t>
  </si>
  <si>
    <t>1 квартал</t>
  </si>
  <si>
    <t>2 квартал</t>
  </si>
  <si>
    <t>3 квартал</t>
  </si>
  <si>
    <t>4 квартал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</si>
  <si>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</si>
  <si>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</si>
  <si>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</si>
  <si>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</si>
  <si>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</si>
  <si>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</si>
  <si>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</si>
  <si>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00010300000000000000</t>
  </si>
  <si>
    <t>Акцизы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</si>
  <si>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</si>
  <si>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</si>
  <si>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</si>
  <si>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</si>
  <si>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</si>
  <si>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</si>
  <si>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</si>
  <si>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</si>
  <si>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</si>
  <si>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</si>
  <si>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</si>
  <si>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</si>
  <si>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</si>
  <si>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</si>
  <si>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</si>
  <si>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</si>
  <si>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</si>
  <si>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</si>
  <si>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</si>
  <si>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</si>
  <si>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</si>
  <si>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</si>
  <si>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</si>
  <si>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</si>
  <si>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</si>
  <si>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</si>
  <si>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</si>
  <si>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</si>
  <si>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</si>
  <si>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</si>
  <si>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</si>
  <si>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</si>
  <si>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</si>
  <si>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</si>
  <si>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</si>
  <si>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</si>
  <si>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</si>
  <si>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</si>
  <si>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</si>
  <si>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</si>
  <si>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</si>
  <si>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</si>
  <si>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</si>
  <si>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</si>
  <si>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</si>
  <si>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</si>
  <si>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</si>
  <si>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</si>
  <si>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</si>
  <si>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</si>
  <si>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</si>
  <si>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</si>
  <si>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</si>
  <si>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</si>
  <si>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</si>
  <si>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</si>
  <si>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</si>
  <si>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</si>
  <si>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</si>
  <si>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(09.6.5404) 01.40.36 и доля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</si>
  <si>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(0935410)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</si>
  <si>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окружной бюджет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</si>
  <si>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местный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</si>
  <si>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(10.3.5516)</t>
  </si>
  <si>
    <t>Субсидии  на софинансирование  расходов муниципальных образований на разработку  схем водоснабжения и водоотведения в рамках  подпрограммы "Создание условий для обеспечения качественными  коммунальными услугами"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(10.6.5436)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</si>
  <si>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(10.1.5430)</t>
  </si>
  <si>
    <t>Субсидии на развитие  общественной инфраструктуры (10.1.5431)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</si>
  <si>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(41.1.5690)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</si>
  <si>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(40.6.5402)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</si>
  <si>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(03.1.5429) строительство объектов</t>
  </si>
  <si>
    <t>Подпрограмма "Библиотечное дело" 03.1.5418</t>
  </si>
  <si>
    <t>Бюджетные инвестиции в объекты капитального строительства государственной собственности субъектов РФ (18.0.5447)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</si>
  <si>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(03.4.5511, 03.4.5512)</t>
  </si>
  <si>
    <t>1105</t>
  </si>
  <si>
    <t>Другие вопросы в области физической культуры и спорта</t>
  </si>
  <si>
    <t>План на 2015 год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</si>
  <si>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</si>
  <si>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</si>
  <si>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</si>
  <si>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</si>
  <si>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</si>
  <si>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2015 год 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</si>
  <si>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(17.1.5427)</t>
  </si>
  <si>
    <t>Субсидии на развитие многофункциональных центров предоставления государственных и муниципальных услуг в рамках программы "Управление муниципальной собственностью Октябрьского района на 2014-2016 годы" (18.0.5426)</t>
  </si>
  <si>
    <t>Субсидии на развитие  общественной инфраструктуры (кап.ремонт жилого фонда) (40.6.5431)</t>
  </si>
  <si>
    <t>Субсидии на развитие  общественной инфраструктуры (40.6.5431)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</si>
  <si>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(09.3.5410)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</si>
  <si>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 (газоснабжение Чемаши)</t>
  </si>
  <si>
    <t>Бюджетные инвестии в объекты капитального строительства собственности муниципального образования (10.1.0102) (инженерные сети Каменное, водозабор Б.Леуши)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</si>
  <si>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(инженерные сети индивидуальнной застройки Перегребное)</t>
  </si>
  <si>
    <t>Другие вопросы в области жилищно-коммунального хозяйства (администрирование)</t>
  </si>
  <si>
    <t>План                 на 1 полугодие 2015 года</t>
  </si>
  <si>
    <t xml:space="preserve">% исп-ия к плану на 1 полугодие 2015 года </t>
  </si>
  <si>
    <t>Отчет  об  исполнении  консолидированного  бюджета  района  по  расходам на 1 мая 2015 года</t>
  </si>
  <si>
    <t>исполнение на 01.05.2015</t>
  </si>
  <si>
    <t>исполнения на 01.05.2015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</si>
  <si>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годы"(0955410)</t>
  </si>
  <si>
    <t xml:space="preserve"> И.о. заведующего отделом учета исполнения бюджета</t>
  </si>
  <si>
    <t>Мальгин С.В.</t>
  </si>
  <si>
    <t>Отчет об исполнении консолидированного бюджета Октябрьского района по состоянию на 01.05.2015</t>
  </si>
  <si>
    <t>Исполнение на 01.05.2015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</si>
</sst>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11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64" fillId="0" borderId="0" xfId="0" applyNumberFormat="1" applyFont="1" applyFill="1" applyAlignment="1">
      <alignment horizontal="center" vertical="center" wrapText="1"/>
    </xf>
    <xf numFmtId="164" fontId="64" fillId="0" borderId="0" xfId="53" applyNumberFormat="1" applyFont="1" applyFill="1" applyAlignment="1">
      <alignment horizontal="center" vertical="center" wrapText="1"/>
      <protection/>
    </xf>
    <xf numFmtId="164" fontId="64" fillId="0" borderId="0" xfId="53" applyNumberFormat="1" applyFont="1" applyFill="1" applyBorder="1" applyAlignment="1">
      <alignment horizontal="center" vertical="center" wrapText="1"/>
      <protection/>
    </xf>
    <xf numFmtId="164" fontId="6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65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14" xfId="53" applyNumberFormat="1" applyFont="1" applyFill="1" applyBorder="1" applyAlignment="1">
      <alignment horizontal="center" vertical="center" wrapText="1"/>
      <protection/>
    </xf>
    <xf numFmtId="49" fontId="12" fillId="0" borderId="0" xfId="0" applyNumberFormat="1" applyFont="1" applyFill="1" applyBorder="1" applyAlignment="1">
      <alignment horizontal="right" vertical="center" wrapText="1"/>
    </xf>
    <xf numFmtId="0" fontId="12" fillId="0" borderId="0" xfId="53" applyNumberFormat="1" applyFont="1" applyFill="1" applyBorder="1" applyAlignment="1">
      <alignment horizontal="left" vertical="center" wrapText="1"/>
      <protection/>
    </xf>
    <xf numFmtId="164" fontId="66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Alignment="1">
      <alignment horizontal="left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164" fontId="66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6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3" borderId="10" xfId="53" applyNumberFormat="1" applyFont="1" applyFill="1" applyBorder="1" applyAlignment="1">
      <alignment horizontal="center" vertical="center" wrapText="1"/>
      <protection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7" fillId="33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 quotePrefix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left" vertical="center" wrapText="1"/>
      <protection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164" fontId="16" fillId="33" borderId="10" xfId="53" applyNumberFormat="1" applyFont="1" applyFill="1" applyBorder="1" applyAlignment="1">
      <alignment horizontal="center" vertical="center" wrapText="1"/>
      <protection/>
    </xf>
    <xf numFmtId="164" fontId="17" fillId="33" borderId="15" xfId="53" applyNumberFormat="1" applyFont="1" applyFill="1" applyBorder="1" applyAlignment="1">
      <alignment horizontal="center" vertical="center" wrapText="1"/>
      <protection/>
    </xf>
    <xf numFmtId="0" fontId="15" fillId="34" borderId="10" xfId="53" applyNumberFormat="1" applyFont="1" applyFill="1" applyBorder="1" applyAlignment="1">
      <alignment horizontal="left" vertical="center" wrapText="1"/>
      <protection/>
    </xf>
    <xf numFmtId="0" fontId="1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17" fillId="33" borderId="10" xfId="0" applyNumberFormat="1" applyFont="1" applyFill="1" applyBorder="1" applyAlignment="1">
      <alignment horizontal="center" vertical="center" wrapText="1"/>
    </xf>
    <xf numFmtId="49" fontId="15" fillId="35" borderId="11" xfId="53" applyNumberFormat="1" applyFont="1" applyFill="1" applyBorder="1" applyAlignment="1">
      <alignment horizontal="center" vertical="center" wrapText="1"/>
      <protection/>
    </xf>
    <xf numFmtId="0" fontId="15" fillId="35" borderId="10" xfId="53" applyNumberFormat="1" applyFont="1" applyFill="1" applyBorder="1" applyAlignment="1">
      <alignment horizontal="left" vertical="center" wrapText="1"/>
      <protection/>
    </xf>
    <xf numFmtId="49" fontId="19" fillId="33" borderId="11" xfId="53" applyNumberFormat="1" applyFont="1" applyFill="1" applyBorder="1" applyAlignment="1">
      <alignment horizontal="center" vertical="center" wrapText="1"/>
      <protection/>
    </xf>
    <xf numFmtId="49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left" vertical="center" wrapText="1"/>
      <protection/>
    </xf>
    <xf numFmtId="164" fontId="17" fillId="36" borderId="12" xfId="53" applyNumberFormat="1" applyFont="1" applyFill="1" applyBorder="1" applyAlignment="1">
      <alignment horizontal="center" vertical="center" wrapText="1"/>
      <protection/>
    </xf>
    <xf numFmtId="164" fontId="17" fillId="36" borderId="12" xfId="0" applyNumberFormat="1" applyFont="1" applyFill="1" applyBorder="1" applyAlignment="1">
      <alignment horizontal="center" vertical="center" wrapText="1"/>
    </xf>
    <xf numFmtId="164" fontId="17" fillId="36" borderId="13" xfId="0" applyNumberFormat="1" applyFont="1" applyFill="1" applyBorder="1" applyAlignment="1">
      <alignment horizontal="center" vertical="center" wrapText="1"/>
    </xf>
    <xf numFmtId="164" fontId="67" fillId="0" borderId="10" xfId="53" applyNumberFormat="1" applyFont="1" applyFill="1" applyBorder="1" applyAlignment="1">
      <alignment horizontal="center" vertical="center" wrapText="1"/>
      <protection/>
    </xf>
    <xf numFmtId="164" fontId="16" fillId="37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25" fillId="0" borderId="16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left" vertical="top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7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49" fontId="26" fillId="0" borderId="16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/>
    </xf>
    <xf numFmtId="49" fontId="26" fillId="0" borderId="14" xfId="0" applyNumberFormat="1" applyFont="1" applyFill="1" applyBorder="1" applyAlignment="1">
      <alignment vertical="top" wrapText="1"/>
    </xf>
    <xf numFmtId="49" fontId="26" fillId="0" borderId="14" xfId="0" applyNumberFormat="1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 wrapText="1" shrinkToFit="1"/>
    </xf>
    <xf numFmtId="49" fontId="26" fillId="0" borderId="14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165" fontId="23" fillId="0" borderId="16" xfId="0" applyNumberFormat="1" applyFont="1" applyFill="1" applyBorder="1" applyAlignment="1">
      <alignment horizontal="right" vertical="top"/>
    </xf>
    <xf numFmtId="165" fontId="23" fillId="0" borderId="10" xfId="0" applyNumberFormat="1" applyFont="1" applyFill="1" applyBorder="1" applyAlignment="1">
      <alignment vertical="top"/>
    </xf>
    <xf numFmtId="0" fontId="26" fillId="0" borderId="16" xfId="0" applyFont="1" applyFill="1" applyBorder="1" applyAlignment="1">
      <alignment vertical="top" wrapText="1"/>
    </xf>
    <xf numFmtId="165" fontId="23" fillId="0" borderId="18" xfId="0" applyNumberFormat="1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49" fontId="26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6" fillId="0" borderId="17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/>
    </xf>
    <xf numFmtId="49" fontId="22" fillId="0" borderId="17" xfId="0" applyNumberFormat="1" applyFont="1" applyFill="1" applyBorder="1" applyAlignment="1">
      <alignment horizontal="left" vertical="top"/>
    </xf>
    <xf numFmtId="49" fontId="26" fillId="0" borderId="14" xfId="0" applyNumberFormat="1" applyFont="1" applyFill="1" applyBorder="1" applyAlignment="1">
      <alignment horizontal="left" vertical="top" wrapText="1"/>
    </xf>
    <xf numFmtId="0" fontId="12" fillId="0" borderId="10" xfId="53" applyNumberFormat="1" applyFont="1" applyFill="1" applyBorder="1" applyAlignment="1">
      <alignment horizontal="left" vertical="center" wrapText="1"/>
      <protection/>
    </xf>
    <xf numFmtId="164" fontId="16" fillId="37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24" fillId="34" borderId="19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vertical="top" wrapText="1"/>
    </xf>
    <xf numFmtId="165" fontId="22" fillId="0" borderId="16" xfId="0" applyNumberFormat="1" applyFont="1" applyFill="1" applyBorder="1" applyAlignment="1">
      <alignment horizontal="right" vertical="top"/>
    </xf>
    <xf numFmtId="165" fontId="22" fillId="0" borderId="16" xfId="0" applyNumberFormat="1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165" fontId="26" fillId="0" borderId="10" xfId="0" applyNumberFormat="1" applyFont="1" applyFill="1" applyBorder="1" applyAlignment="1">
      <alignment vertical="top" wrapText="1"/>
    </xf>
    <xf numFmtId="165" fontId="22" fillId="0" borderId="10" xfId="0" applyNumberFormat="1" applyFont="1" applyFill="1" applyBorder="1" applyAlignment="1">
      <alignment horizontal="right" vertical="top"/>
    </xf>
    <xf numFmtId="165" fontId="22" fillId="0" borderId="10" xfId="0" applyNumberFormat="1" applyFont="1" applyFill="1" applyBorder="1" applyAlignment="1">
      <alignment vertical="top"/>
    </xf>
    <xf numFmtId="165" fontId="25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vertical="top" wrapText="1" shrinkToFit="1"/>
    </xf>
    <xf numFmtId="165" fontId="22" fillId="0" borderId="0" xfId="0" applyNumberFormat="1" applyFont="1" applyFill="1" applyAlignment="1">
      <alignment vertical="top"/>
    </xf>
    <xf numFmtId="165" fontId="22" fillId="0" borderId="17" xfId="0" applyNumberFormat="1" applyFont="1" applyFill="1" applyBorder="1" applyAlignment="1">
      <alignment horizontal="right" vertical="top"/>
    </xf>
    <xf numFmtId="165" fontId="26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 wrapText="1" shrinkToFit="1"/>
    </xf>
    <xf numFmtId="165" fontId="23" fillId="0" borderId="17" xfId="0" applyNumberFormat="1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horizontal="right" vertical="top" wrapText="1"/>
    </xf>
    <xf numFmtId="165" fontId="25" fillId="0" borderId="21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/>
    </xf>
    <xf numFmtId="165" fontId="25" fillId="0" borderId="10" xfId="0" applyNumberFormat="1" applyFont="1" applyFill="1" applyBorder="1" applyAlignment="1">
      <alignment vertical="top" wrapText="1"/>
    </xf>
    <xf numFmtId="165" fontId="26" fillId="0" borderId="14" xfId="0" applyNumberFormat="1" applyFont="1" applyFill="1" applyBorder="1" applyAlignment="1">
      <alignment horizontal="right" vertical="top" wrapText="1"/>
    </xf>
    <xf numFmtId="166" fontId="22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horizontal="right" vertical="top" wrapText="1"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2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3" xfId="53" applyNumberFormat="1" applyFont="1" applyFill="1" applyBorder="1" applyAlignment="1">
      <alignment horizontal="center" vertical="center" wrapText="1"/>
      <protection/>
    </xf>
    <xf numFmtId="164" fontId="5" fillId="0" borderId="23" xfId="0" applyNumberFormat="1" applyFont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0" fontId="10" fillId="36" borderId="25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top" wrapText="1"/>
    </xf>
    <xf numFmtId="49" fontId="26" fillId="0" borderId="26" xfId="0" applyNumberFormat="1" applyFont="1" applyFill="1" applyBorder="1" applyAlignment="1">
      <alignment horizontal="center" vertical="top" wrapText="1"/>
    </xf>
    <xf numFmtId="49" fontId="26" fillId="0" borderId="27" xfId="0" applyNumberFormat="1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top"/>
    </xf>
    <xf numFmtId="0" fontId="23" fillId="34" borderId="17" xfId="0" applyFont="1" applyFill="1" applyBorder="1" applyAlignment="1">
      <alignment horizontal="center" vertical="top" wrapText="1"/>
    </xf>
    <xf numFmtId="0" fontId="23" fillId="34" borderId="20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4" fillId="0" borderId="17" xfId="0" applyFont="1" applyFill="1" applyBorder="1" applyAlignment="1">
      <alignment horizontal="center" vertical="top"/>
    </xf>
    <xf numFmtId="0" fontId="23" fillId="34" borderId="17" xfId="0" applyFont="1" applyFill="1" applyBorder="1" applyAlignment="1">
      <alignment horizontal="center" vertical="top"/>
    </xf>
    <xf numFmtId="0" fontId="23" fillId="34" borderId="20" xfId="0" applyFont="1" applyFill="1" applyBorder="1" applyAlignment="1">
      <alignment horizontal="center" vertical="top"/>
    </xf>
    <xf numFmtId="0" fontId="23" fillId="34" borderId="16" xfId="0" applyFont="1" applyFill="1" applyBorder="1" applyAlignment="1">
      <alignment horizontal="center" vertical="top"/>
    </xf>
    <xf numFmtId="44" fontId="26" fillId="0" borderId="19" xfId="42" applyFont="1" applyFill="1" applyBorder="1" applyAlignment="1">
      <alignment horizontal="center" vertical="top" wrapText="1"/>
    </xf>
    <xf numFmtId="44" fontId="26" fillId="0" borderId="26" xfId="42" applyFont="1" applyFill="1" applyBorder="1" applyAlignment="1">
      <alignment horizontal="center" vertical="top" wrapText="1"/>
    </xf>
    <xf numFmtId="44" fontId="26" fillId="0" borderId="27" xfId="42" applyFont="1" applyFill="1" applyBorder="1" applyAlignment="1">
      <alignment horizontal="center" vertical="top" wrapText="1"/>
    </xf>
    <xf numFmtId="165" fontId="23" fillId="0" borderId="26" xfId="0" applyNumberFormat="1" applyFont="1" applyFill="1" applyBorder="1" applyAlignment="1">
      <alignment horizontal="center" vertical="top"/>
    </xf>
    <xf numFmtId="165" fontId="23" fillId="0" borderId="27" xfId="0" applyNumberFormat="1" applyFont="1" applyFill="1" applyBorder="1" applyAlignment="1">
      <alignment horizontal="center" vertical="top"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0" fontId="12" fillId="0" borderId="0" xfId="53" applyNumberFormat="1" applyFont="1" applyFill="1" applyBorder="1" applyAlignment="1">
      <alignment horizontal="right" vertical="center" wrapText="1"/>
      <protection/>
    </xf>
    <xf numFmtId="164" fontId="13" fillId="0" borderId="0" xfId="53" applyNumberFormat="1" applyFont="1" applyFill="1" applyBorder="1" applyAlignment="1">
      <alignment horizontal="left" vertical="center" wrapText="1"/>
      <protection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6" fillId="0" borderId="10" xfId="0" applyNumberFormat="1" applyFont="1" applyBorder="1" applyAlignment="1">
      <alignment horizontal="center" vertical="center" wrapText="1"/>
    </xf>
    <xf numFmtId="0" fontId="20" fillId="36" borderId="25" xfId="53" applyNumberFormat="1" applyFont="1" applyFill="1" applyBorder="1" applyAlignment="1">
      <alignment horizontal="center" vertical="center" wrapText="1"/>
      <protection/>
    </xf>
    <xf numFmtId="0" fontId="20" fillId="36" borderId="12" xfId="53" applyNumberFormat="1" applyFont="1" applyFill="1" applyBorder="1" applyAlignment="1">
      <alignment horizontal="center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164" fontId="16" fillId="0" borderId="10" xfId="53" applyNumberFormat="1" applyFont="1" applyBorder="1" applyAlignment="1">
      <alignment horizontal="center" vertical="center" wrapText="1"/>
      <protection/>
    </xf>
    <xf numFmtId="0" fontId="14" fillId="0" borderId="0" xfId="53" applyNumberFormat="1" applyFont="1" applyAlignment="1">
      <alignment horizontal="center" vertical="center" wrapText="1"/>
      <protection/>
    </xf>
    <xf numFmtId="49" fontId="15" fillId="0" borderId="22" xfId="53" applyNumberFormat="1" applyFont="1" applyBorder="1" applyAlignment="1">
      <alignment horizontal="center" vertical="center" wrapTex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0" fontId="15" fillId="0" borderId="23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164" fontId="16" fillId="0" borderId="23" xfId="53" applyNumberFormat="1" applyFont="1" applyFill="1" applyBorder="1" applyAlignment="1">
      <alignment horizontal="center" vertical="center" wrapText="1"/>
      <protection/>
    </xf>
    <xf numFmtId="164" fontId="16" fillId="0" borderId="23" xfId="0" applyNumberFormat="1" applyFont="1" applyBorder="1" applyAlignment="1">
      <alignment horizontal="center" vertical="center" wrapText="1"/>
    </xf>
    <xf numFmtId="164" fontId="17" fillId="0" borderId="15" xfId="53" applyNumberFormat="1" applyFont="1" applyBorder="1" applyAlignment="1">
      <alignment horizontal="center" vertical="center" wrapText="1"/>
      <protection/>
    </xf>
    <xf numFmtId="164" fontId="17" fillId="0" borderId="15" xfId="0" applyNumberFormat="1" applyFont="1" applyBorder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164" fontId="17" fillId="0" borderId="23" xfId="0" applyNumberFormat="1" applyFont="1" applyFill="1" applyBorder="1" applyAlignment="1">
      <alignment horizontal="center" vertical="center" wrapText="1"/>
    </xf>
    <xf numFmtId="164" fontId="17" fillId="0" borderId="24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/>
    </xf>
    <xf numFmtId="164" fontId="17" fillId="0" borderId="10" xfId="53" applyNumberFormat="1" applyFont="1" applyBorder="1" applyAlignment="1">
      <alignment horizontal="center" vertical="center" wrapText="1"/>
      <protection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90" t="s">
        <v>170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91" t="s">
        <v>98</v>
      </c>
      <c r="B3" s="193" t="s">
        <v>97</v>
      </c>
      <c r="C3" s="195" t="s">
        <v>113</v>
      </c>
      <c r="D3" s="195"/>
      <c r="E3" s="195"/>
      <c r="F3" s="196" t="s">
        <v>112</v>
      </c>
      <c r="G3" s="196"/>
      <c r="H3" s="196"/>
      <c r="I3" s="197" t="s">
        <v>111</v>
      </c>
      <c r="J3" s="197"/>
      <c r="K3" s="198"/>
    </row>
    <row r="4" spans="1:11" ht="12.75">
      <c r="A4" s="192"/>
      <c r="B4" s="194"/>
      <c r="C4" s="182" t="s">
        <v>78</v>
      </c>
      <c r="D4" s="182" t="s">
        <v>171</v>
      </c>
      <c r="E4" s="182" t="s">
        <v>77</v>
      </c>
      <c r="F4" s="182" t="s">
        <v>78</v>
      </c>
      <c r="G4" s="199" t="s">
        <v>171</v>
      </c>
      <c r="H4" s="199" t="s">
        <v>77</v>
      </c>
      <c r="I4" s="200" t="s">
        <v>78</v>
      </c>
      <c r="J4" s="202" t="s">
        <v>173</v>
      </c>
      <c r="K4" s="185" t="s">
        <v>77</v>
      </c>
    </row>
    <row r="5" spans="1:11" ht="19.5" customHeight="1">
      <c r="A5" s="192"/>
      <c r="B5" s="194"/>
      <c r="C5" s="183"/>
      <c r="D5" s="182"/>
      <c r="E5" s="189"/>
      <c r="F5" s="183"/>
      <c r="G5" s="199"/>
      <c r="H5" s="183"/>
      <c r="I5" s="201"/>
      <c r="J5" s="202"/>
      <c r="K5" s="186"/>
    </row>
    <row r="6" spans="1:11" ht="12.75">
      <c r="A6" s="192"/>
      <c r="B6" s="187" t="s">
        <v>0</v>
      </c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>
      <c r="A7" s="192"/>
      <c r="B7" s="187"/>
      <c r="C7" s="187"/>
      <c r="D7" s="187"/>
      <c r="E7" s="187"/>
      <c r="F7" s="187"/>
      <c r="G7" s="187"/>
      <c r="H7" s="187"/>
      <c r="I7" s="187"/>
      <c r="J7" s="187"/>
      <c r="K7" s="188"/>
    </row>
    <row r="8" spans="1:11" ht="12.75">
      <c r="A8" s="192"/>
      <c r="B8" s="187"/>
      <c r="C8" s="187"/>
      <c r="D8" s="187"/>
      <c r="E8" s="187"/>
      <c r="F8" s="187"/>
      <c r="G8" s="187"/>
      <c r="H8" s="187"/>
      <c r="I8" s="187"/>
      <c r="J8" s="187"/>
      <c r="K8" s="188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205" t="s">
        <v>20</v>
      </c>
      <c r="B20" s="206" t="s">
        <v>102</v>
      </c>
      <c r="C20" s="184">
        <f>C23+C24+C22</f>
        <v>25046.9</v>
      </c>
      <c r="D20" s="184">
        <f>D23+D24+D22</f>
        <v>0</v>
      </c>
      <c r="E20" s="184">
        <f>D20/C20*100</f>
        <v>0</v>
      </c>
      <c r="F20" s="184">
        <f>F23+F24+F22</f>
        <v>9535.5</v>
      </c>
      <c r="G20" s="184">
        <f>G23+G24+G22</f>
        <v>0</v>
      </c>
      <c r="H20" s="184">
        <f>G20/F20*100</f>
        <v>0</v>
      </c>
      <c r="I20" s="184">
        <f>I23+I24+I22</f>
        <v>32921.4</v>
      </c>
      <c r="J20" s="184">
        <f>SUM(J22:J24)</f>
        <v>0</v>
      </c>
      <c r="K20" s="184">
        <f>J20/I20*100</f>
        <v>0</v>
      </c>
    </row>
    <row r="21" spans="1:11" ht="12.75">
      <c r="A21" s="205"/>
      <c r="B21" s="206"/>
      <c r="C21" s="184"/>
      <c r="D21" s="184"/>
      <c r="E21" s="184"/>
      <c r="F21" s="184"/>
      <c r="G21" s="184"/>
      <c r="H21" s="184"/>
      <c r="I21" s="184"/>
      <c r="J21" s="184"/>
      <c r="K21" s="184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203" t="s">
        <v>65</v>
      </c>
      <c r="B118" s="204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207" t="s">
        <v>124</v>
      </c>
      <c r="B124" s="207"/>
      <c r="C124" s="207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207" t="s">
        <v>125</v>
      </c>
      <c r="B125" s="207"/>
      <c r="C125" s="207"/>
      <c r="D125" s="42"/>
      <c r="E125" s="208" t="s">
        <v>66</v>
      </c>
      <c r="F125" s="208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207" t="s">
        <v>151</v>
      </c>
      <c r="B127" s="207"/>
      <c r="C127" s="207"/>
      <c r="D127" s="34"/>
      <c r="E127" s="208" t="s">
        <v>123</v>
      </c>
      <c r="F127" s="208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207" t="s">
        <v>154</v>
      </c>
      <c r="B129" s="207"/>
      <c r="C129" s="207"/>
      <c r="D129" s="34"/>
      <c r="E129" s="209" t="s">
        <v>155</v>
      </c>
      <c r="F129" s="209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A124:C124"/>
    <mergeCell ref="A125:C125"/>
    <mergeCell ref="E125:F125"/>
    <mergeCell ref="A127:C127"/>
    <mergeCell ref="E127:F127"/>
    <mergeCell ref="A129:C129"/>
    <mergeCell ref="E129:F129"/>
    <mergeCell ref="K20:K21"/>
    <mergeCell ref="A118:B118"/>
    <mergeCell ref="A20:A21"/>
    <mergeCell ref="B20:B21"/>
    <mergeCell ref="C20:C21"/>
    <mergeCell ref="D20:D21"/>
    <mergeCell ref="E20:E21"/>
    <mergeCell ref="F20:F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8"/>
  <sheetViews>
    <sheetView tabSelected="1" zoomScalePageLayoutView="0" workbookViewId="0" topLeftCell="A202">
      <selection activeCell="A1" sqref="A1:Q218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1.75390625" style="0" customWidth="1"/>
    <col min="5" max="5" width="13.125" style="0" hidden="1" customWidth="1"/>
    <col min="6" max="6" width="10.875" style="0" customWidth="1"/>
    <col min="7" max="7" width="0.12890625" style="0" hidden="1" customWidth="1"/>
    <col min="8" max="8" width="8.125" style="0" hidden="1" customWidth="1"/>
    <col min="9" max="9" width="9.25390625" style="0" hidden="1" customWidth="1"/>
    <col min="10" max="10" width="11.25390625" style="0" customWidth="1"/>
    <col min="11" max="11" width="11.875" style="0" hidden="1" customWidth="1"/>
    <col min="12" max="12" width="9.00390625" style="0" hidden="1" customWidth="1"/>
    <col min="13" max="15" width="9.125" style="0" hidden="1" customWidth="1"/>
    <col min="16" max="16" width="11.125" style="0" customWidth="1"/>
    <col min="17" max="17" width="10.75390625" style="0" customWidth="1"/>
  </cols>
  <sheetData>
    <row r="1" spans="1:17" ht="21" customHeight="1">
      <c r="A1" s="220" t="s">
        <v>326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17" ht="12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107"/>
      <c r="N2" s="107"/>
      <c r="O2" s="107"/>
      <c r="P2" s="107"/>
      <c r="Q2" s="107"/>
    </row>
    <row r="3" spans="1:17" ht="12.75">
      <c r="A3" s="149"/>
      <c r="B3" s="149"/>
      <c r="C3" s="150"/>
      <c r="D3" s="150"/>
      <c r="E3" s="150"/>
      <c r="F3" s="150"/>
      <c r="G3" s="150"/>
      <c r="H3" s="151"/>
      <c r="I3" s="151"/>
      <c r="J3" s="152" t="s">
        <v>212</v>
      </c>
      <c r="K3" s="151"/>
      <c r="L3" s="151"/>
      <c r="M3" s="107"/>
      <c r="N3" s="107"/>
      <c r="O3" s="107"/>
      <c r="P3" s="107"/>
      <c r="Q3" s="107"/>
    </row>
    <row r="4" spans="1:17" ht="12.75" customHeight="1">
      <c r="A4" s="153" t="s">
        <v>213</v>
      </c>
      <c r="B4" s="153"/>
      <c r="C4" s="154"/>
      <c r="D4" s="216" t="s">
        <v>302</v>
      </c>
      <c r="E4" s="216" t="s">
        <v>318</v>
      </c>
      <c r="F4" s="223" t="s">
        <v>214</v>
      </c>
      <c r="G4" s="223" t="s">
        <v>215</v>
      </c>
      <c r="H4" s="223" t="s">
        <v>216</v>
      </c>
      <c r="I4" s="223" t="s">
        <v>217</v>
      </c>
      <c r="J4" s="216" t="s">
        <v>327</v>
      </c>
      <c r="K4" s="216" t="s">
        <v>303</v>
      </c>
      <c r="L4" s="216" t="s">
        <v>304</v>
      </c>
      <c r="M4" s="216" t="s">
        <v>305</v>
      </c>
      <c r="N4" s="216" t="s">
        <v>306</v>
      </c>
      <c r="O4" s="216" t="s">
        <v>307</v>
      </c>
      <c r="P4" s="216" t="s">
        <v>319</v>
      </c>
      <c r="Q4" s="216" t="s">
        <v>308</v>
      </c>
    </row>
    <row r="5" spans="1:17" ht="12.75">
      <c r="A5" s="155" t="s">
        <v>218</v>
      </c>
      <c r="B5" s="155"/>
      <c r="C5" s="156" t="s">
        <v>219</v>
      </c>
      <c r="D5" s="217"/>
      <c r="E5" s="217"/>
      <c r="F5" s="224"/>
      <c r="G5" s="224"/>
      <c r="H5" s="224"/>
      <c r="I5" s="224"/>
      <c r="J5" s="217"/>
      <c r="K5" s="217"/>
      <c r="L5" s="217"/>
      <c r="M5" s="217"/>
      <c r="N5" s="217"/>
      <c r="O5" s="217"/>
      <c r="P5" s="217"/>
      <c r="Q5" s="217"/>
    </row>
    <row r="6" spans="1:17" ht="22.5" customHeight="1">
      <c r="A6" s="155"/>
      <c r="B6" s="155"/>
      <c r="C6" s="156"/>
      <c r="D6" s="218"/>
      <c r="E6" s="218"/>
      <c r="F6" s="225"/>
      <c r="G6" s="225"/>
      <c r="H6" s="225"/>
      <c r="I6" s="225"/>
      <c r="J6" s="218"/>
      <c r="K6" s="218"/>
      <c r="L6" s="218"/>
      <c r="M6" s="218"/>
      <c r="N6" s="218"/>
      <c r="O6" s="218"/>
      <c r="P6" s="218"/>
      <c r="Q6" s="218"/>
    </row>
    <row r="7" spans="1:17" ht="12.75">
      <c r="A7" s="222" t="s">
        <v>220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107"/>
      <c r="Q7" s="107"/>
    </row>
    <row r="8" spans="1:17" ht="12.75">
      <c r="A8" s="134" t="s">
        <v>221</v>
      </c>
      <c r="B8" s="134"/>
      <c r="C8" s="137" t="s">
        <v>222</v>
      </c>
      <c r="D8" s="157">
        <f aca="true" t="shared" si="0" ref="D8:J8">D9+D11+D12+D13+D15+D16+D18+D20+D14+D21+D17+D19+D10</f>
        <v>655918</v>
      </c>
      <c r="E8" s="157">
        <f t="shared" si="0"/>
        <v>315149.39999999997</v>
      </c>
      <c r="F8" s="157">
        <f t="shared" si="0"/>
        <v>142728.40000000002</v>
      </c>
      <c r="G8" s="157">
        <f t="shared" si="0"/>
        <v>172421</v>
      </c>
      <c r="H8" s="157">
        <f t="shared" si="0"/>
        <v>154433.6</v>
      </c>
      <c r="I8" s="157">
        <f t="shared" si="0"/>
        <v>186335.00000000003</v>
      </c>
      <c r="J8" s="157">
        <f t="shared" si="0"/>
        <v>256540.80000000002</v>
      </c>
      <c r="K8" s="157" t="e">
        <f>K9+K11+K12+K13+K15+K16+K18+K20+K14+K21+K17+K19</f>
        <v>#REF!</v>
      </c>
      <c r="L8" s="157">
        <f aca="true" t="shared" si="1" ref="L8:L20">J8/H8*100</f>
        <v>166.11721801473257</v>
      </c>
      <c r="M8" s="158"/>
      <c r="N8" s="158"/>
      <c r="O8" s="157">
        <f>J8*100/I8</f>
        <v>137.67719430058764</v>
      </c>
      <c r="P8" s="157">
        <f>J8*100/E8</f>
        <v>81.40291556956797</v>
      </c>
      <c r="Q8" s="129">
        <f>J8*100/D8</f>
        <v>39.11171823307182</v>
      </c>
    </row>
    <row r="9" spans="1:17" ht="12.75">
      <c r="A9" s="112" t="s">
        <v>223</v>
      </c>
      <c r="B9" s="112"/>
      <c r="C9" s="130" t="s">
        <v>224</v>
      </c>
      <c r="D9" s="159">
        <f>F9+G9+H9+I9</f>
        <v>475656.4</v>
      </c>
      <c r="E9" s="159">
        <f>F9+G9</f>
        <v>235518.1</v>
      </c>
      <c r="F9" s="159">
        <f>30973.4+37107.2+41837.1</f>
        <v>109917.70000000001</v>
      </c>
      <c r="G9" s="159">
        <v>125600.4</v>
      </c>
      <c r="H9" s="160">
        <v>109440.1</v>
      </c>
      <c r="I9" s="161">
        <v>130698.2</v>
      </c>
      <c r="J9" s="161">
        <v>163948.3</v>
      </c>
      <c r="K9" s="160" t="e">
        <f>J9/#REF!*100</f>
        <v>#REF!</v>
      </c>
      <c r="L9" s="160">
        <f t="shared" si="1"/>
        <v>149.80642378798993</v>
      </c>
      <c r="M9" s="162"/>
      <c r="N9" s="162"/>
      <c r="O9" s="160">
        <f aca="true" t="shared" si="2" ref="O9:O76">J9*100/I9</f>
        <v>125.44036566685692</v>
      </c>
      <c r="P9" s="160">
        <f aca="true" t="shared" si="3" ref="P9:P73">J9*100/E9</f>
        <v>69.61176232315053</v>
      </c>
      <c r="Q9" s="161">
        <f aca="true" t="shared" si="4" ref="Q9:Q73">J9*100/D9</f>
        <v>34.467800706560446</v>
      </c>
    </row>
    <row r="10" spans="1:17" ht="12.75">
      <c r="A10" s="112" t="s">
        <v>225</v>
      </c>
      <c r="B10" s="112"/>
      <c r="C10" s="111" t="s">
        <v>226</v>
      </c>
      <c r="D10" s="163">
        <f aca="true" t="shared" si="5" ref="D10:D26">F10+G10+H10+I10</f>
        <v>33926</v>
      </c>
      <c r="E10" s="159">
        <f aca="true" t="shared" si="6" ref="E10:E26">F10+G10</f>
        <v>16963</v>
      </c>
      <c r="F10" s="163">
        <v>8481.5</v>
      </c>
      <c r="G10" s="163">
        <v>8481.5</v>
      </c>
      <c r="H10" s="164">
        <v>8481.5</v>
      </c>
      <c r="I10" s="165">
        <v>8481.5</v>
      </c>
      <c r="J10" s="165">
        <v>12321.4</v>
      </c>
      <c r="K10" s="160"/>
      <c r="L10" s="160"/>
      <c r="M10" s="162"/>
      <c r="N10" s="162"/>
      <c r="O10" s="164"/>
      <c r="P10" s="160">
        <f t="shared" si="3"/>
        <v>72.63691563992218</v>
      </c>
      <c r="Q10" s="165">
        <f t="shared" si="4"/>
        <v>36.31845781996109</v>
      </c>
    </row>
    <row r="11" spans="1:17" ht="12.75">
      <c r="A11" s="112" t="s">
        <v>227</v>
      </c>
      <c r="B11" s="112"/>
      <c r="C11" s="111" t="s">
        <v>228</v>
      </c>
      <c r="D11" s="163">
        <f t="shared" si="5"/>
        <v>31247.1</v>
      </c>
      <c r="E11" s="159">
        <f t="shared" si="6"/>
        <v>15503.9</v>
      </c>
      <c r="F11" s="163">
        <v>7627.2</v>
      </c>
      <c r="G11" s="163">
        <v>7876.7</v>
      </c>
      <c r="H11" s="164">
        <v>7906.7</v>
      </c>
      <c r="I11" s="165">
        <v>7836.5</v>
      </c>
      <c r="J11" s="165">
        <v>18411.7</v>
      </c>
      <c r="K11" s="160" t="e">
        <f>J11/#REF!*100</f>
        <v>#REF!</v>
      </c>
      <c r="L11" s="160">
        <f t="shared" si="1"/>
        <v>232.8620031112854</v>
      </c>
      <c r="M11" s="162"/>
      <c r="N11" s="162"/>
      <c r="O11" s="164">
        <f t="shared" si="2"/>
        <v>234.94799974478403</v>
      </c>
      <c r="P11" s="160">
        <f t="shared" si="3"/>
        <v>118.75528092931457</v>
      </c>
      <c r="Q11" s="165">
        <f t="shared" si="4"/>
        <v>58.922908045866656</v>
      </c>
    </row>
    <row r="12" spans="1:17" ht="12.75">
      <c r="A12" s="112" t="s">
        <v>229</v>
      </c>
      <c r="B12" s="112"/>
      <c r="C12" s="111" t="s">
        <v>230</v>
      </c>
      <c r="D12" s="163">
        <f t="shared" si="5"/>
        <v>3100</v>
      </c>
      <c r="E12" s="159">
        <f t="shared" si="6"/>
        <v>1550</v>
      </c>
      <c r="F12" s="163">
        <v>775</v>
      </c>
      <c r="G12" s="163">
        <v>775</v>
      </c>
      <c r="H12" s="164">
        <v>775</v>
      </c>
      <c r="I12" s="165">
        <v>775</v>
      </c>
      <c r="J12" s="165">
        <v>1792.2</v>
      </c>
      <c r="K12" s="160" t="e">
        <f>J12/#REF!*100</f>
        <v>#REF!</v>
      </c>
      <c r="L12" s="160">
        <f t="shared" si="1"/>
        <v>231.25161290322583</v>
      </c>
      <c r="M12" s="162"/>
      <c r="N12" s="162"/>
      <c r="O12" s="164">
        <f t="shared" si="2"/>
        <v>231.2516129032258</v>
      </c>
      <c r="P12" s="160">
        <f t="shared" si="3"/>
        <v>115.6258064516129</v>
      </c>
      <c r="Q12" s="165">
        <f t="shared" si="4"/>
        <v>57.81290322580645</v>
      </c>
    </row>
    <row r="13" spans="1:17" ht="12.75">
      <c r="A13" s="112" t="s">
        <v>231</v>
      </c>
      <c r="B13" s="112"/>
      <c r="C13" s="111" t="s">
        <v>232</v>
      </c>
      <c r="D13" s="163">
        <f t="shared" si="5"/>
        <v>1819</v>
      </c>
      <c r="E13" s="159">
        <f t="shared" si="6"/>
        <v>909</v>
      </c>
      <c r="F13" s="163">
        <v>453</v>
      </c>
      <c r="G13" s="163">
        <v>456</v>
      </c>
      <c r="H13" s="164">
        <v>455</v>
      </c>
      <c r="I13" s="165">
        <v>455</v>
      </c>
      <c r="J13" s="165">
        <v>1238</v>
      </c>
      <c r="K13" s="160" t="e">
        <f>J13/#REF!*100</f>
        <v>#REF!</v>
      </c>
      <c r="L13" s="160">
        <f t="shared" si="1"/>
        <v>272.0879120879121</v>
      </c>
      <c r="M13" s="162"/>
      <c r="N13" s="162"/>
      <c r="O13" s="164">
        <f t="shared" si="2"/>
        <v>272.0879120879121</v>
      </c>
      <c r="P13" s="160">
        <f t="shared" si="3"/>
        <v>136.1936193619362</v>
      </c>
      <c r="Q13" s="165">
        <f t="shared" si="4"/>
        <v>68.05937328202309</v>
      </c>
    </row>
    <row r="14" spans="1:17" ht="24">
      <c r="A14" s="112" t="s">
        <v>233</v>
      </c>
      <c r="B14" s="112"/>
      <c r="C14" s="111" t="s">
        <v>234</v>
      </c>
      <c r="D14" s="163">
        <f t="shared" si="5"/>
        <v>0</v>
      </c>
      <c r="E14" s="159">
        <f t="shared" si="6"/>
        <v>0</v>
      </c>
      <c r="F14" s="163"/>
      <c r="G14" s="163"/>
      <c r="H14" s="164"/>
      <c r="I14" s="165"/>
      <c r="J14" s="165"/>
      <c r="K14" s="160" t="e">
        <f>J14/#REF!*100</f>
        <v>#REF!</v>
      </c>
      <c r="L14" s="160"/>
      <c r="M14" s="162"/>
      <c r="N14" s="162"/>
      <c r="O14" s="164" t="e">
        <f t="shared" si="2"/>
        <v>#DIV/0!</v>
      </c>
      <c r="P14" s="160"/>
      <c r="Q14" s="165"/>
    </row>
    <row r="15" spans="1:17" ht="24">
      <c r="A15" s="113" t="s">
        <v>235</v>
      </c>
      <c r="B15" s="113"/>
      <c r="C15" s="111" t="s">
        <v>236</v>
      </c>
      <c r="D15" s="163">
        <f>F15+G15+H15+I15</f>
        <v>73948.5</v>
      </c>
      <c r="E15" s="159">
        <f t="shared" si="6"/>
        <v>26333</v>
      </c>
      <c r="F15" s="163">
        <f>5684.1+2202.5</f>
        <v>7886.6</v>
      </c>
      <c r="G15" s="163">
        <v>18446.4</v>
      </c>
      <c r="H15" s="164">
        <v>18794.9</v>
      </c>
      <c r="I15" s="165">
        <v>28820.6</v>
      </c>
      <c r="J15" s="165">
        <v>32809.2</v>
      </c>
      <c r="K15" s="160" t="e">
        <f>J15/#REF!*100</f>
        <v>#REF!</v>
      </c>
      <c r="L15" s="160">
        <f t="shared" si="1"/>
        <v>174.56437650639268</v>
      </c>
      <c r="M15" s="162"/>
      <c r="N15" s="162"/>
      <c r="O15" s="164">
        <f t="shared" si="2"/>
        <v>113.83940653560299</v>
      </c>
      <c r="P15" s="160">
        <f t="shared" si="3"/>
        <v>124.59347586678311</v>
      </c>
      <c r="Q15" s="165">
        <f t="shared" si="4"/>
        <v>44.367634231931675</v>
      </c>
    </row>
    <row r="16" spans="1:17" ht="12.75">
      <c r="A16" s="114" t="s">
        <v>237</v>
      </c>
      <c r="B16" s="114"/>
      <c r="C16" s="111" t="s">
        <v>238</v>
      </c>
      <c r="D16" s="163">
        <f t="shared" si="5"/>
        <v>9202.4</v>
      </c>
      <c r="E16" s="159">
        <f t="shared" si="6"/>
        <v>4601.2</v>
      </c>
      <c r="F16" s="163">
        <f>2300.6</f>
        <v>2300.6</v>
      </c>
      <c r="G16" s="163">
        <v>2300.6</v>
      </c>
      <c r="H16" s="164">
        <v>2300.6</v>
      </c>
      <c r="I16" s="165">
        <v>2300.6</v>
      </c>
      <c r="J16" s="165">
        <v>15015.4</v>
      </c>
      <c r="K16" s="160" t="e">
        <f>J16/#REF!*100</f>
        <v>#REF!</v>
      </c>
      <c r="L16" s="160">
        <f t="shared" si="1"/>
        <v>652.6732156828654</v>
      </c>
      <c r="M16" s="162"/>
      <c r="N16" s="162"/>
      <c r="O16" s="164">
        <f t="shared" si="2"/>
        <v>652.6732156828654</v>
      </c>
      <c r="P16" s="160">
        <f t="shared" si="3"/>
        <v>326.3366078414327</v>
      </c>
      <c r="Q16" s="165">
        <f t="shared" si="4"/>
        <v>163.16830392071634</v>
      </c>
    </row>
    <row r="17" spans="1:17" ht="24">
      <c r="A17" s="115" t="s">
        <v>239</v>
      </c>
      <c r="B17" s="115"/>
      <c r="C17" s="111" t="s">
        <v>240</v>
      </c>
      <c r="D17" s="163">
        <f t="shared" si="5"/>
        <v>6751</v>
      </c>
      <c r="E17" s="159">
        <f t="shared" si="6"/>
        <v>3039</v>
      </c>
      <c r="F17" s="163">
        <v>1519.5</v>
      </c>
      <c r="G17" s="163">
        <v>1519.5</v>
      </c>
      <c r="H17" s="164">
        <v>1519.5</v>
      </c>
      <c r="I17" s="165">
        <v>2192.5</v>
      </c>
      <c r="J17" s="165">
        <v>2407.1</v>
      </c>
      <c r="K17" s="160" t="e">
        <f>J17/#REF!*100</f>
        <v>#REF!</v>
      </c>
      <c r="L17" s="160">
        <f t="shared" si="1"/>
        <v>158.4139519578809</v>
      </c>
      <c r="M17" s="162"/>
      <c r="N17" s="162"/>
      <c r="O17" s="164">
        <f t="shared" si="2"/>
        <v>109.787913340935</v>
      </c>
      <c r="P17" s="160">
        <f t="shared" si="3"/>
        <v>79.20697597894043</v>
      </c>
      <c r="Q17" s="165">
        <f t="shared" si="4"/>
        <v>35.65545845059991</v>
      </c>
    </row>
    <row r="18" spans="1:17" ht="24">
      <c r="A18" s="115" t="s">
        <v>241</v>
      </c>
      <c r="B18" s="115"/>
      <c r="C18" s="111" t="s">
        <v>242</v>
      </c>
      <c r="D18" s="163">
        <f t="shared" si="5"/>
        <v>19125.6</v>
      </c>
      <c r="E18" s="159">
        <f t="shared" si="6"/>
        <v>10174.1</v>
      </c>
      <c r="F18" s="163">
        <f>3493.1</f>
        <v>3493.1</v>
      </c>
      <c r="G18" s="163">
        <v>6681</v>
      </c>
      <c r="H18" s="164">
        <f>2593.6+1882.8</f>
        <v>4476.4</v>
      </c>
      <c r="I18" s="165">
        <f>2592.3+1882.8</f>
        <v>4475.1</v>
      </c>
      <c r="J18" s="165">
        <v>7353</v>
      </c>
      <c r="K18" s="160" t="e">
        <f>J18/#REF!*100</f>
        <v>#REF!</v>
      </c>
      <c r="L18" s="160">
        <f t="shared" si="1"/>
        <v>164.26146010186758</v>
      </c>
      <c r="M18" s="162"/>
      <c r="N18" s="162"/>
      <c r="O18" s="164">
        <f t="shared" si="2"/>
        <v>164.3091774485486</v>
      </c>
      <c r="P18" s="160">
        <f t="shared" si="3"/>
        <v>72.27174885247835</v>
      </c>
      <c r="Q18" s="165">
        <f t="shared" si="4"/>
        <v>38.44585267913164</v>
      </c>
    </row>
    <row r="19" spans="1:17" ht="12.75">
      <c r="A19" s="115" t="s">
        <v>243</v>
      </c>
      <c r="B19" s="115"/>
      <c r="C19" s="111" t="s">
        <v>244</v>
      </c>
      <c r="D19" s="163">
        <f t="shared" si="5"/>
        <v>7</v>
      </c>
      <c r="E19" s="159">
        <f t="shared" si="6"/>
        <v>3</v>
      </c>
      <c r="F19" s="163">
        <v>2</v>
      </c>
      <c r="G19" s="163">
        <v>1</v>
      </c>
      <c r="H19" s="164">
        <v>1</v>
      </c>
      <c r="I19" s="165">
        <v>3</v>
      </c>
      <c r="J19" s="165">
        <v>1.2</v>
      </c>
      <c r="K19" s="160" t="e">
        <f>J19/#REF!*100</f>
        <v>#REF!</v>
      </c>
      <c r="L19" s="160">
        <f t="shared" si="1"/>
        <v>120</v>
      </c>
      <c r="M19" s="162"/>
      <c r="N19" s="162"/>
      <c r="O19" s="164">
        <f t="shared" si="2"/>
        <v>40</v>
      </c>
      <c r="P19" s="160">
        <f t="shared" si="3"/>
        <v>40</v>
      </c>
      <c r="Q19" s="165">
        <f t="shared" si="4"/>
        <v>17.142857142857142</v>
      </c>
    </row>
    <row r="20" spans="1:17" ht="12.75">
      <c r="A20" s="110" t="s">
        <v>245</v>
      </c>
      <c r="B20" s="110"/>
      <c r="C20" s="111" t="s">
        <v>246</v>
      </c>
      <c r="D20" s="163">
        <f t="shared" si="5"/>
        <v>1135</v>
      </c>
      <c r="E20" s="159">
        <f t="shared" si="6"/>
        <v>555.0999999999999</v>
      </c>
      <c r="F20" s="163">
        <v>272.2</v>
      </c>
      <c r="G20" s="163">
        <v>282.9</v>
      </c>
      <c r="H20" s="164">
        <v>282.9</v>
      </c>
      <c r="I20" s="165">
        <v>297</v>
      </c>
      <c r="J20" s="165">
        <v>1287</v>
      </c>
      <c r="K20" s="160" t="e">
        <f>J20/#REF!*100</f>
        <v>#REF!</v>
      </c>
      <c r="L20" s="160">
        <f t="shared" si="1"/>
        <v>454.93107104984097</v>
      </c>
      <c r="M20" s="162"/>
      <c r="N20" s="162"/>
      <c r="O20" s="164">
        <f t="shared" si="2"/>
        <v>433.3333333333333</v>
      </c>
      <c r="P20" s="160">
        <f t="shared" si="3"/>
        <v>231.85011709601878</v>
      </c>
      <c r="Q20" s="165">
        <f t="shared" si="4"/>
        <v>113.3920704845815</v>
      </c>
    </row>
    <row r="21" spans="1:17" ht="12.75">
      <c r="A21" s="116" t="s">
        <v>247</v>
      </c>
      <c r="B21" s="117"/>
      <c r="C21" s="118" t="s">
        <v>248</v>
      </c>
      <c r="D21" s="163">
        <f t="shared" si="5"/>
        <v>0</v>
      </c>
      <c r="E21" s="159">
        <f t="shared" si="6"/>
        <v>0</v>
      </c>
      <c r="F21" s="163"/>
      <c r="G21" s="163"/>
      <c r="H21" s="164"/>
      <c r="I21" s="165"/>
      <c r="J21" s="165">
        <v>-43.7</v>
      </c>
      <c r="K21" s="160"/>
      <c r="L21" s="160"/>
      <c r="M21" s="162"/>
      <c r="N21" s="162"/>
      <c r="O21" s="164"/>
      <c r="P21" s="160"/>
      <c r="Q21" s="165"/>
    </row>
    <row r="22" spans="1:17" ht="12.75">
      <c r="A22" s="108" t="s">
        <v>249</v>
      </c>
      <c r="B22" s="108"/>
      <c r="C22" s="119" t="s">
        <v>250</v>
      </c>
      <c r="D22" s="166">
        <f aca="true" t="shared" si="7" ref="D22:J22">D23+D24+D26+D25</f>
        <v>2848792.1</v>
      </c>
      <c r="E22" s="166">
        <f>E23+E24+E26+E25</f>
        <v>1450298.2999999998</v>
      </c>
      <c r="F22" s="166">
        <f t="shared" si="7"/>
        <v>661271</v>
      </c>
      <c r="G22" s="166">
        <f t="shared" si="7"/>
        <v>789027.2999999999</v>
      </c>
      <c r="H22" s="166">
        <f t="shared" si="7"/>
        <v>606104.1</v>
      </c>
      <c r="I22" s="166">
        <f t="shared" si="7"/>
        <v>792389.7</v>
      </c>
      <c r="J22" s="166">
        <f t="shared" si="7"/>
        <v>971875.1</v>
      </c>
      <c r="K22" s="128" t="e">
        <f>J22/#REF!*100</f>
        <v>#REF!</v>
      </c>
      <c r="L22" s="128">
        <f aca="true" t="shared" si="8" ref="L22:L27">J22/H22*100</f>
        <v>160.3478841340951</v>
      </c>
      <c r="M22" s="162"/>
      <c r="N22" s="162"/>
      <c r="O22" s="157">
        <f t="shared" si="2"/>
        <v>122.65115258312925</v>
      </c>
      <c r="P22" s="128">
        <f t="shared" si="3"/>
        <v>67.01208296251882</v>
      </c>
      <c r="Q22" s="129">
        <f t="shared" si="4"/>
        <v>34.11533962060622</v>
      </c>
    </row>
    <row r="23" spans="1:17" ht="24">
      <c r="A23" s="120" t="s">
        <v>251</v>
      </c>
      <c r="B23" s="112"/>
      <c r="C23" s="121" t="s">
        <v>252</v>
      </c>
      <c r="D23" s="163">
        <f t="shared" si="5"/>
        <v>2837007.2</v>
      </c>
      <c r="E23" s="159">
        <f t="shared" si="6"/>
        <v>1451113.4</v>
      </c>
      <c r="F23" s="163">
        <v>668686.1</v>
      </c>
      <c r="G23" s="163">
        <f>782056.7+370.6</f>
        <v>782427.2999999999</v>
      </c>
      <c r="H23" s="165">
        <v>599504.1</v>
      </c>
      <c r="I23" s="165">
        <v>786389.7</v>
      </c>
      <c r="J23" s="165">
        <v>966436.1</v>
      </c>
      <c r="K23" s="160" t="e">
        <f>J23/#REF!*100</f>
        <v>#REF!</v>
      </c>
      <c r="L23" s="160">
        <f t="shared" si="8"/>
        <v>161.20592002623502</v>
      </c>
      <c r="M23" s="162"/>
      <c r="N23" s="162"/>
      <c r="O23" s="164">
        <f t="shared" si="2"/>
        <v>122.89531513446832</v>
      </c>
      <c r="P23" s="160">
        <f t="shared" si="3"/>
        <v>66.59962619048243</v>
      </c>
      <c r="Q23" s="165">
        <f t="shared" si="4"/>
        <v>34.06533829029408</v>
      </c>
    </row>
    <row r="24" spans="1:17" ht="12.75">
      <c r="A24" s="120" t="s">
        <v>253</v>
      </c>
      <c r="B24" s="120"/>
      <c r="C24" s="122" t="s">
        <v>254</v>
      </c>
      <c r="D24" s="163">
        <f t="shared" si="5"/>
        <v>20000</v>
      </c>
      <c r="E24" s="159">
        <f t="shared" si="6"/>
        <v>7400</v>
      </c>
      <c r="F24" s="167">
        <v>800</v>
      </c>
      <c r="G24" s="167">
        <v>6600</v>
      </c>
      <c r="H24" s="165">
        <v>6600</v>
      </c>
      <c r="I24" s="165">
        <v>6000</v>
      </c>
      <c r="J24" s="165">
        <v>26685.8</v>
      </c>
      <c r="K24" s="160" t="e">
        <f>J24/#REF!*100</f>
        <v>#REF!</v>
      </c>
      <c r="L24" s="160">
        <f t="shared" si="8"/>
        <v>404.330303030303</v>
      </c>
      <c r="M24" s="162"/>
      <c r="N24" s="162"/>
      <c r="O24" s="164">
        <f t="shared" si="2"/>
        <v>444.7633333333333</v>
      </c>
      <c r="P24" s="160">
        <f t="shared" si="3"/>
        <v>360.6189189189189</v>
      </c>
      <c r="Q24" s="165">
        <f t="shared" si="4"/>
        <v>133.429</v>
      </c>
    </row>
    <row r="25" spans="1:17" ht="70.5" customHeight="1">
      <c r="A25" s="120" t="s">
        <v>255</v>
      </c>
      <c r="B25" s="123" t="s">
        <v>256</v>
      </c>
      <c r="C25" s="118" t="s">
        <v>256</v>
      </c>
      <c r="D25" s="163">
        <f t="shared" si="5"/>
        <v>0</v>
      </c>
      <c r="E25" s="159">
        <f t="shared" si="6"/>
        <v>0</v>
      </c>
      <c r="F25" s="163"/>
      <c r="G25" s="163"/>
      <c r="H25" s="165"/>
      <c r="I25" s="165"/>
      <c r="J25" s="165"/>
      <c r="K25" s="160" t="e">
        <f>J25/#REF!*100</f>
        <v>#REF!</v>
      </c>
      <c r="L25" s="160"/>
      <c r="M25" s="162"/>
      <c r="N25" s="162"/>
      <c r="O25" s="164" t="e">
        <f t="shared" si="2"/>
        <v>#DIV/0!</v>
      </c>
      <c r="P25" s="160" t="e">
        <f>J25*100/E25</f>
        <v>#DIV/0!</v>
      </c>
      <c r="Q25" s="165" t="e">
        <f>J25*100/D25</f>
        <v>#DIV/0!</v>
      </c>
    </row>
    <row r="26" spans="1:17" ht="36">
      <c r="A26" s="120" t="s">
        <v>257</v>
      </c>
      <c r="B26" s="124"/>
      <c r="C26" s="125" t="s">
        <v>258</v>
      </c>
      <c r="D26" s="163">
        <f t="shared" si="5"/>
        <v>-8215.1</v>
      </c>
      <c r="E26" s="159">
        <f t="shared" si="6"/>
        <v>-8215.1</v>
      </c>
      <c r="F26" s="168">
        <v>-8215.1</v>
      </c>
      <c r="G26" s="168"/>
      <c r="H26" s="165"/>
      <c r="I26" s="165"/>
      <c r="J26" s="165">
        <v>-21246.8</v>
      </c>
      <c r="K26" s="160" t="e">
        <f>J26/#REF!*100</f>
        <v>#REF!</v>
      </c>
      <c r="L26" s="160"/>
      <c r="M26" s="162"/>
      <c r="N26" s="162"/>
      <c r="O26" s="164" t="e">
        <f t="shared" si="2"/>
        <v>#DIV/0!</v>
      </c>
      <c r="P26" s="160">
        <f>J26*100/E26</f>
        <v>258.6310574430013</v>
      </c>
      <c r="Q26" s="165">
        <f>J26*100/D26</f>
        <v>258.6310574430013</v>
      </c>
    </row>
    <row r="27" spans="1:17" ht="12.75">
      <c r="A27" s="110"/>
      <c r="B27" s="126"/>
      <c r="C27" s="127" t="s">
        <v>259</v>
      </c>
      <c r="D27" s="129">
        <f aca="true" t="shared" si="9" ref="D27:J27">D22+D8</f>
        <v>3504710.1</v>
      </c>
      <c r="E27" s="129">
        <f t="shared" si="9"/>
        <v>1765447.6999999997</v>
      </c>
      <c r="F27" s="129">
        <f t="shared" si="9"/>
        <v>803999.4</v>
      </c>
      <c r="G27" s="129">
        <f t="shared" si="9"/>
        <v>961448.2999999999</v>
      </c>
      <c r="H27" s="129">
        <f t="shared" si="9"/>
        <v>760537.7</v>
      </c>
      <c r="I27" s="129">
        <f t="shared" si="9"/>
        <v>978724.7</v>
      </c>
      <c r="J27" s="129">
        <f t="shared" si="9"/>
        <v>1228415.9</v>
      </c>
      <c r="K27" s="128" t="e">
        <f>J27/#REF!*100</f>
        <v>#REF!</v>
      </c>
      <c r="L27" s="128">
        <f t="shared" si="8"/>
        <v>161.51939607990505</v>
      </c>
      <c r="M27" s="162"/>
      <c r="N27" s="169" t="e">
        <f>I27+#REF!+#REF!</f>
        <v>#REF!</v>
      </c>
      <c r="O27" s="157">
        <f t="shared" si="2"/>
        <v>125.51189318099358</v>
      </c>
      <c r="P27" s="128">
        <f t="shared" si="3"/>
        <v>69.58098503852592</v>
      </c>
      <c r="Q27" s="129">
        <f t="shared" si="4"/>
        <v>35.05042827936039</v>
      </c>
    </row>
    <row r="28" spans="1:17" ht="12.75">
      <c r="A28" s="210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2"/>
      <c r="M28" s="162"/>
      <c r="N28" s="162"/>
      <c r="O28" s="170"/>
      <c r="P28" s="128"/>
      <c r="Q28" s="129"/>
    </row>
    <row r="29" spans="1:17" ht="12.75">
      <c r="A29" s="219" t="s">
        <v>260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128"/>
      <c r="Q29" s="129"/>
    </row>
    <row r="30" spans="1:17" ht="12.75">
      <c r="A30" s="108" t="s">
        <v>221</v>
      </c>
      <c r="B30" s="108"/>
      <c r="C30" s="109" t="s">
        <v>222</v>
      </c>
      <c r="D30" s="128">
        <f aca="true" t="shared" si="10" ref="D30:I30">D31+D32+D34+D36+D33+D35+D37</f>
        <v>16146.5</v>
      </c>
      <c r="E30" s="128">
        <f>E31+E32+E34+E36+E33+E35+E37</f>
        <v>8073.2</v>
      </c>
      <c r="F30" s="128">
        <f t="shared" si="10"/>
        <v>4036.6</v>
      </c>
      <c r="G30" s="128">
        <f t="shared" si="10"/>
        <v>4036.6</v>
      </c>
      <c r="H30" s="128">
        <f t="shared" si="10"/>
        <v>4036.6</v>
      </c>
      <c r="I30" s="128">
        <f t="shared" si="10"/>
        <v>4036.7</v>
      </c>
      <c r="J30" s="128">
        <f>J31+J32+J34+J36+J33+J35+J37</f>
        <v>4184.5</v>
      </c>
      <c r="K30" s="128" t="e">
        <f>J30/#REF!*100</f>
        <v>#REF!</v>
      </c>
      <c r="L30" s="128">
        <f aca="true" t="shared" si="11" ref="L30:L36">J30/H30*100</f>
        <v>103.66397463211614</v>
      </c>
      <c r="M30" s="162"/>
      <c r="N30" s="162"/>
      <c r="O30" s="128">
        <f t="shared" si="2"/>
        <v>103.6614065944955</v>
      </c>
      <c r="P30" s="128">
        <f t="shared" si="3"/>
        <v>51.83198731605807</v>
      </c>
      <c r="Q30" s="129">
        <f t="shared" si="4"/>
        <v>25.91583315269563</v>
      </c>
    </row>
    <row r="31" spans="1:17" ht="12.75">
      <c r="A31" s="112" t="s">
        <v>223</v>
      </c>
      <c r="B31" s="112"/>
      <c r="C31" s="130" t="s">
        <v>224</v>
      </c>
      <c r="D31" s="163">
        <f aca="true" t="shared" si="12" ref="D31:D36">F31+G31+H31+I31</f>
        <v>14100</v>
      </c>
      <c r="E31" s="159">
        <f aca="true" t="shared" si="13" ref="E31:E40">F31+G31</f>
        <v>7050</v>
      </c>
      <c r="F31" s="159">
        <v>3525</v>
      </c>
      <c r="G31" s="159">
        <v>3525</v>
      </c>
      <c r="H31" s="164">
        <v>3525</v>
      </c>
      <c r="I31" s="165">
        <v>3525</v>
      </c>
      <c r="J31" s="161">
        <v>3529.4</v>
      </c>
      <c r="K31" s="160" t="e">
        <f>J31/#REF!*100</f>
        <v>#REF!</v>
      </c>
      <c r="L31" s="160">
        <f t="shared" si="11"/>
        <v>100.12482269503546</v>
      </c>
      <c r="M31" s="162"/>
      <c r="N31" s="162"/>
      <c r="O31" s="164">
        <f t="shared" si="2"/>
        <v>100.12482269503546</v>
      </c>
      <c r="P31" s="160">
        <f>J31*100/E31</f>
        <v>50.06241134751773</v>
      </c>
      <c r="Q31" s="165">
        <f t="shared" si="4"/>
        <v>25.031205673758866</v>
      </c>
    </row>
    <row r="32" spans="1:17" ht="12.75">
      <c r="A32" s="112" t="s">
        <v>229</v>
      </c>
      <c r="B32" s="112"/>
      <c r="C32" s="111" t="s">
        <v>230</v>
      </c>
      <c r="D32" s="163">
        <f t="shared" si="12"/>
        <v>290</v>
      </c>
      <c r="E32" s="159">
        <f t="shared" si="13"/>
        <v>145</v>
      </c>
      <c r="F32" s="163">
        <v>72.5</v>
      </c>
      <c r="G32" s="163">
        <v>72.5</v>
      </c>
      <c r="H32" s="164">
        <v>72.5</v>
      </c>
      <c r="I32" s="165">
        <v>72.5</v>
      </c>
      <c r="J32" s="165">
        <v>27.4</v>
      </c>
      <c r="K32" s="160" t="e">
        <f>J32/#REF!*100</f>
        <v>#REF!</v>
      </c>
      <c r="L32" s="160">
        <f t="shared" si="11"/>
        <v>37.79310344827586</v>
      </c>
      <c r="M32" s="162"/>
      <c r="N32" s="162"/>
      <c r="O32" s="164">
        <f t="shared" si="2"/>
        <v>37.793103448275865</v>
      </c>
      <c r="P32" s="160">
        <f t="shared" si="3"/>
        <v>18.896551724137932</v>
      </c>
      <c r="Q32" s="165">
        <f t="shared" si="4"/>
        <v>9.448275862068966</v>
      </c>
    </row>
    <row r="33" spans="1:17" ht="12.75">
      <c r="A33" s="112" t="s">
        <v>231</v>
      </c>
      <c r="B33" s="112"/>
      <c r="C33" s="111" t="s">
        <v>232</v>
      </c>
      <c r="D33" s="163">
        <f t="shared" si="12"/>
        <v>24</v>
      </c>
      <c r="E33" s="159">
        <f t="shared" si="13"/>
        <v>12</v>
      </c>
      <c r="F33" s="163">
        <v>6</v>
      </c>
      <c r="G33" s="163">
        <v>6</v>
      </c>
      <c r="H33" s="164">
        <v>6</v>
      </c>
      <c r="I33" s="165">
        <v>6</v>
      </c>
      <c r="J33" s="165">
        <v>4.7</v>
      </c>
      <c r="K33" s="160" t="e">
        <f>J33/#REF!*100</f>
        <v>#REF!</v>
      </c>
      <c r="L33" s="160">
        <f t="shared" si="11"/>
        <v>78.33333333333333</v>
      </c>
      <c r="M33" s="162"/>
      <c r="N33" s="162"/>
      <c r="O33" s="164">
        <f t="shared" si="2"/>
        <v>78.33333333333333</v>
      </c>
      <c r="P33" s="160">
        <f t="shared" si="3"/>
        <v>39.166666666666664</v>
      </c>
      <c r="Q33" s="165">
        <f t="shared" si="4"/>
        <v>19.583333333333332</v>
      </c>
    </row>
    <row r="34" spans="1:17" ht="24">
      <c r="A34" s="113" t="s">
        <v>235</v>
      </c>
      <c r="B34" s="113"/>
      <c r="C34" s="111" t="s">
        <v>236</v>
      </c>
      <c r="D34" s="163">
        <f t="shared" si="12"/>
        <v>1670</v>
      </c>
      <c r="E34" s="159">
        <f t="shared" si="13"/>
        <v>835</v>
      </c>
      <c r="F34" s="163">
        <v>417.5</v>
      </c>
      <c r="G34" s="163">
        <v>417.5</v>
      </c>
      <c r="H34" s="164">
        <v>417.5</v>
      </c>
      <c r="I34" s="165">
        <v>417.5</v>
      </c>
      <c r="J34" s="165">
        <v>598.5</v>
      </c>
      <c r="K34" s="160" t="e">
        <f>J34/#REF!*100</f>
        <v>#REF!</v>
      </c>
      <c r="L34" s="160">
        <f t="shared" si="11"/>
        <v>143.35329341317365</v>
      </c>
      <c r="M34" s="162"/>
      <c r="N34" s="162"/>
      <c r="O34" s="164">
        <f t="shared" si="2"/>
        <v>143.35329341317365</v>
      </c>
      <c r="P34" s="160">
        <f t="shared" si="3"/>
        <v>71.67664670658682</v>
      </c>
      <c r="Q34" s="165">
        <f t="shared" si="4"/>
        <v>35.83832335329341</v>
      </c>
    </row>
    <row r="35" spans="1:17" ht="24">
      <c r="A35" s="115" t="s">
        <v>239</v>
      </c>
      <c r="B35" s="115"/>
      <c r="C35" s="111" t="s">
        <v>240</v>
      </c>
      <c r="D35" s="163">
        <f t="shared" si="12"/>
        <v>0</v>
      </c>
      <c r="E35" s="159">
        <f t="shared" si="13"/>
        <v>0</v>
      </c>
      <c r="F35" s="163"/>
      <c r="G35" s="163"/>
      <c r="H35" s="164"/>
      <c r="I35" s="165"/>
      <c r="J35" s="165"/>
      <c r="K35" s="160"/>
      <c r="L35" s="160"/>
      <c r="M35" s="162"/>
      <c r="N35" s="162"/>
      <c r="O35" s="164"/>
      <c r="P35" s="160" t="e">
        <f t="shared" si="3"/>
        <v>#DIV/0!</v>
      </c>
      <c r="Q35" s="165" t="e">
        <f t="shared" si="4"/>
        <v>#DIV/0!</v>
      </c>
    </row>
    <row r="36" spans="1:17" ht="24">
      <c r="A36" s="114" t="s">
        <v>241</v>
      </c>
      <c r="B36" s="114"/>
      <c r="C36" s="111" t="s">
        <v>242</v>
      </c>
      <c r="D36" s="163">
        <f t="shared" si="12"/>
        <v>62.5</v>
      </c>
      <c r="E36" s="159">
        <f t="shared" si="13"/>
        <v>31.2</v>
      </c>
      <c r="F36" s="163">
        <v>15.6</v>
      </c>
      <c r="G36" s="163">
        <v>15.6</v>
      </c>
      <c r="H36" s="164">
        <v>15.6</v>
      </c>
      <c r="I36" s="165">
        <v>15.7</v>
      </c>
      <c r="J36" s="165">
        <v>24.5</v>
      </c>
      <c r="K36" s="160" t="e">
        <f>J36/#REF!*100</f>
        <v>#REF!</v>
      </c>
      <c r="L36" s="160">
        <f t="shared" si="11"/>
        <v>157.05128205128204</v>
      </c>
      <c r="M36" s="162"/>
      <c r="N36" s="162"/>
      <c r="O36" s="164">
        <f t="shared" si="2"/>
        <v>156.05095541401275</v>
      </c>
      <c r="P36" s="160">
        <f t="shared" si="3"/>
        <v>78.52564102564102</v>
      </c>
      <c r="Q36" s="165">
        <f t="shared" si="4"/>
        <v>39.2</v>
      </c>
    </row>
    <row r="37" spans="1:17" ht="12.75">
      <c r="A37" s="116" t="s">
        <v>247</v>
      </c>
      <c r="B37" s="117"/>
      <c r="C37" s="118" t="s">
        <v>248</v>
      </c>
      <c r="D37" s="111"/>
      <c r="E37" s="159">
        <f t="shared" si="13"/>
        <v>0</v>
      </c>
      <c r="F37" s="163"/>
      <c r="G37" s="163"/>
      <c r="H37" s="164"/>
      <c r="I37" s="165"/>
      <c r="J37" s="165"/>
      <c r="K37" s="160"/>
      <c r="L37" s="160"/>
      <c r="M37" s="162"/>
      <c r="N37" s="162"/>
      <c r="O37" s="164" t="e">
        <f t="shared" si="2"/>
        <v>#DIV/0!</v>
      </c>
      <c r="P37" s="128"/>
      <c r="Q37" s="129"/>
    </row>
    <row r="38" spans="1:17" ht="12.75">
      <c r="A38" s="108" t="s">
        <v>249</v>
      </c>
      <c r="B38" s="108"/>
      <c r="C38" s="119" t="s">
        <v>250</v>
      </c>
      <c r="D38" s="166">
        <f>D39+D40</f>
        <v>18958.300000000003</v>
      </c>
      <c r="E38" s="166">
        <f aca="true" t="shared" si="14" ref="E38:J38">E39+E40</f>
        <v>9553.2</v>
      </c>
      <c r="F38" s="166">
        <f t="shared" si="14"/>
        <v>4702.5</v>
      </c>
      <c r="G38" s="166">
        <f t="shared" si="14"/>
        <v>4850.7</v>
      </c>
      <c r="H38" s="166">
        <f t="shared" si="14"/>
        <v>4702.5</v>
      </c>
      <c r="I38" s="166">
        <f t="shared" si="14"/>
        <v>4702.6</v>
      </c>
      <c r="J38" s="166">
        <f t="shared" si="14"/>
        <v>6089.6</v>
      </c>
      <c r="K38" s="166" t="e">
        <f>K39</f>
        <v>#REF!</v>
      </c>
      <c r="L38" s="128">
        <f>J38/H38*100</f>
        <v>129.49707602339183</v>
      </c>
      <c r="M38" s="162"/>
      <c r="N38" s="162"/>
      <c r="O38" s="157">
        <f t="shared" si="2"/>
        <v>129.4943222897971</v>
      </c>
      <c r="P38" s="128">
        <f t="shared" si="3"/>
        <v>63.744085751371266</v>
      </c>
      <c r="Q38" s="129">
        <f t="shared" si="4"/>
        <v>32.12102350949188</v>
      </c>
    </row>
    <row r="39" spans="1:17" ht="24">
      <c r="A39" s="120" t="s">
        <v>251</v>
      </c>
      <c r="B39" s="112"/>
      <c r="C39" s="121" t="s">
        <v>252</v>
      </c>
      <c r="D39" s="163">
        <f>F39+G39+H39+I39</f>
        <v>18958.300000000003</v>
      </c>
      <c r="E39" s="159">
        <f t="shared" si="13"/>
        <v>9553.2</v>
      </c>
      <c r="F39" s="171">
        <v>4702.5</v>
      </c>
      <c r="G39" s="171">
        <f>4702.5+148.2</f>
        <v>4850.7</v>
      </c>
      <c r="H39" s="164">
        <v>4702.5</v>
      </c>
      <c r="I39" s="171">
        <v>4702.6</v>
      </c>
      <c r="J39" s="165">
        <v>6089.6</v>
      </c>
      <c r="K39" s="160" t="e">
        <f>J39/#REF!*100</f>
        <v>#REF!</v>
      </c>
      <c r="L39" s="160">
        <f>J39/H39*100</f>
        <v>129.49707602339183</v>
      </c>
      <c r="M39" s="162"/>
      <c r="N39" s="162"/>
      <c r="O39" s="164">
        <f t="shared" si="2"/>
        <v>129.4943222897971</v>
      </c>
      <c r="P39" s="160">
        <f t="shared" si="3"/>
        <v>63.744085751371266</v>
      </c>
      <c r="Q39" s="165">
        <f t="shared" si="4"/>
        <v>32.12102350949188</v>
      </c>
    </row>
    <row r="40" spans="1:17" ht="12.75">
      <c r="A40" s="120" t="s">
        <v>253</v>
      </c>
      <c r="B40" s="120"/>
      <c r="C40" s="122" t="s">
        <v>254</v>
      </c>
      <c r="D40" s="163">
        <f>F40+G40+H40+I40</f>
        <v>0</v>
      </c>
      <c r="E40" s="159">
        <f t="shared" si="13"/>
        <v>0</v>
      </c>
      <c r="F40" s="171"/>
      <c r="G40" s="171"/>
      <c r="H40" s="164"/>
      <c r="I40" s="171"/>
      <c r="J40" s="165"/>
      <c r="K40" s="160"/>
      <c r="L40" s="160"/>
      <c r="M40" s="162"/>
      <c r="N40" s="162"/>
      <c r="O40" s="164"/>
      <c r="P40" s="160"/>
      <c r="Q40" s="165"/>
    </row>
    <row r="41" spans="1:17" ht="12.75">
      <c r="A41" s="110"/>
      <c r="B41" s="126"/>
      <c r="C41" s="127" t="s">
        <v>259</v>
      </c>
      <c r="D41" s="129">
        <f aca="true" t="shared" si="15" ref="D41:I41">D38+D30</f>
        <v>35104.8</v>
      </c>
      <c r="E41" s="129">
        <f t="shared" si="15"/>
        <v>17626.4</v>
      </c>
      <c r="F41" s="129">
        <f t="shared" si="15"/>
        <v>8739.1</v>
      </c>
      <c r="G41" s="129">
        <f t="shared" si="15"/>
        <v>8887.3</v>
      </c>
      <c r="H41" s="129">
        <f t="shared" si="15"/>
        <v>8739.1</v>
      </c>
      <c r="I41" s="129">
        <f t="shared" si="15"/>
        <v>8739.3</v>
      </c>
      <c r="J41" s="129">
        <f>J38+J30</f>
        <v>10274.1</v>
      </c>
      <c r="K41" s="128" t="e">
        <f>J41/#REF!*100</f>
        <v>#REF!</v>
      </c>
      <c r="L41" s="128">
        <f>J41/H41*100</f>
        <v>117.56473778764405</v>
      </c>
      <c r="M41" s="162"/>
      <c r="N41" s="169" t="e">
        <f>I41+#REF!+#REF!</f>
        <v>#REF!</v>
      </c>
      <c r="O41" s="157">
        <f t="shared" si="2"/>
        <v>117.5620473035598</v>
      </c>
      <c r="P41" s="128">
        <f t="shared" si="3"/>
        <v>58.2881359778514</v>
      </c>
      <c r="Q41" s="129">
        <f t="shared" si="4"/>
        <v>29.26693785465235</v>
      </c>
    </row>
    <row r="42" spans="1:17" ht="12.75">
      <c r="A42" s="131"/>
      <c r="B42" s="132"/>
      <c r="C42" s="229"/>
      <c r="D42" s="229"/>
      <c r="E42" s="229"/>
      <c r="F42" s="229"/>
      <c r="G42" s="229"/>
      <c r="H42" s="229"/>
      <c r="I42" s="229"/>
      <c r="J42" s="229"/>
      <c r="K42" s="229"/>
      <c r="L42" s="230"/>
      <c r="M42" s="162"/>
      <c r="N42" s="162"/>
      <c r="O42" s="170"/>
      <c r="P42" s="128"/>
      <c r="Q42" s="129"/>
    </row>
    <row r="43" spans="1:17" ht="12.75">
      <c r="A43" s="219" t="s">
        <v>261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128"/>
      <c r="Q43" s="129"/>
    </row>
    <row r="44" spans="1:17" ht="12.75">
      <c r="A44" s="108" t="s">
        <v>221</v>
      </c>
      <c r="B44" s="108"/>
      <c r="C44" s="109" t="s">
        <v>222</v>
      </c>
      <c r="D44" s="128">
        <f aca="true" t="shared" si="16" ref="D44:J44">D45+D47+D49+D50+D51+D52+D48+D46</f>
        <v>17658.3</v>
      </c>
      <c r="E44" s="128">
        <f t="shared" si="16"/>
        <v>9092.1</v>
      </c>
      <c r="F44" s="128">
        <f t="shared" si="16"/>
        <v>4108.400000000001</v>
      </c>
      <c r="G44" s="128">
        <f t="shared" si="16"/>
        <v>4983.7</v>
      </c>
      <c r="H44" s="128">
        <f t="shared" si="16"/>
        <v>4286.7</v>
      </c>
      <c r="I44" s="128">
        <f t="shared" si="16"/>
        <v>4279.5</v>
      </c>
      <c r="J44" s="128">
        <f t="shared" si="16"/>
        <v>5220.700000000002</v>
      </c>
      <c r="K44" s="128" t="e">
        <f>J44/#REF!*100</f>
        <v>#REF!</v>
      </c>
      <c r="L44" s="128">
        <f>J44/H44*100</f>
        <v>121.78832201926895</v>
      </c>
      <c r="M44" s="162"/>
      <c r="N44" s="162"/>
      <c r="O44" s="128">
        <f t="shared" si="2"/>
        <v>121.99322350741913</v>
      </c>
      <c r="P44" s="128">
        <f t="shared" si="3"/>
        <v>57.42017795668769</v>
      </c>
      <c r="Q44" s="129">
        <f t="shared" si="4"/>
        <v>29.565133676514737</v>
      </c>
    </row>
    <row r="45" spans="1:17" ht="12.75">
      <c r="A45" s="110" t="s">
        <v>223</v>
      </c>
      <c r="B45" s="112"/>
      <c r="C45" s="130" t="s">
        <v>224</v>
      </c>
      <c r="D45" s="163">
        <f aca="true" t="shared" si="17" ref="D45:D56">F45+G45+H45+I45</f>
        <v>14175</v>
      </c>
      <c r="E45" s="159">
        <f aca="true" t="shared" si="18" ref="E45:E54">F45+G45</f>
        <v>7002.5</v>
      </c>
      <c r="F45" s="163">
        <v>3412.4</v>
      </c>
      <c r="G45" s="163">
        <v>3590.1</v>
      </c>
      <c r="H45" s="164">
        <v>3590.1</v>
      </c>
      <c r="I45" s="165">
        <v>3582.4</v>
      </c>
      <c r="J45" s="161">
        <v>4053.3</v>
      </c>
      <c r="K45" s="160" t="e">
        <f>J45/#REF!*100</f>
        <v>#REF!</v>
      </c>
      <c r="L45" s="160">
        <f>J45/H45*100</f>
        <v>112.90214757249102</v>
      </c>
      <c r="M45" s="162"/>
      <c r="N45" s="162"/>
      <c r="O45" s="164">
        <f t="shared" si="2"/>
        <v>113.14481911567664</v>
      </c>
      <c r="P45" s="160">
        <f t="shared" si="3"/>
        <v>57.8836129953588</v>
      </c>
      <c r="Q45" s="165">
        <f t="shared" si="4"/>
        <v>28.594708994708995</v>
      </c>
    </row>
    <row r="46" spans="1:17" ht="12.75">
      <c r="A46" s="112" t="s">
        <v>227</v>
      </c>
      <c r="B46" s="112"/>
      <c r="C46" s="111" t="s">
        <v>228</v>
      </c>
      <c r="D46" s="163">
        <f t="shared" si="17"/>
        <v>19.499999999999996</v>
      </c>
      <c r="E46" s="159">
        <f t="shared" si="18"/>
        <v>14.7</v>
      </c>
      <c r="F46" s="163">
        <v>2.3</v>
      </c>
      <c r="G46" s="163">
        <v>12.4</v>
      </c>
      <c r="H46" s="164">
        <v>2.4</v>
      </c>
      <c r="I46" s="165">
        <v>2.4</v>
      </c>
      <c r="J46" s="161">
        <v>17.6</v>
      </c>
      <c r="K46" s="160" t="e">
        <f>J46/#REF!*100</f>
        <v>#REF!</v>
      </c>
      <c r="L46" s="160">
        <f>J46/H46*100</f>
        <v>733.3333333333334</v>
      </c>
      <c r="M46" s="162"/>
      <c r="N46" s="162"/>
      <c r="O46" s="164">
        <f t="shared" si="2"/>
        <v>733.3333333333335</v>
      </c>
      <c r="P46" s="160">
        <f t="shared" si="3"/>
        <v>119.7278911564626</v>
      </c>
      <c r="Q46" s="165">
        <f t="shared" si="4"/>
        <v>90.25641025641029</v>
      </c>
    </row>
    <row r="47" spans="1:17" ht="12.75">
      <c r="A47" s="112" t="s">
        <v>229</v>
      </c>
      <c r="B47" s="112"/>
      <c r="C47" s="111" t="s">
        <v>230</v>
      </c>
      <c r="D47" s="163">
        <f t="shared" si="17"/>
        <v>2024</v>
      </c>
      <c r="E47" s="159">
        <f t="shared" si="18"/>
        <v>1006.5</v>
      </c>
      <c r="F47" s="163">
        <v>508</v>
      </c>
      <c r="G47" s="163">
        <f>508.5-10</f>
        <v>498.5</v>
      </c>
      <c r="H47" s="164">
        <v>508.5</v>
      </c>
      <c r="I47" s="165">
        <v>509</v>
      </c>
      <c r="J47" s="165">
        <v>329.1</v>
      </c>
      <c r="K47" s="160" t="e">
        <f>J47/#REF!*100</f>
        <v>#REF!</v>
      </c>
      <c r="L47" s="160">
        <f>J47/H47*100</f>
        <v>64.71976401179941</v>
      </c>
      <c r="M47" s="162"/>
      <c r="N47" s="162"/>
      <c r="O47" s="164">
        <f t="shared" si="2"/>
        <v>64.65618860510806</v>
      </c>
      <c r="P47" s="160">
        <f t="shared" si="3"/>
        <v>32.69746646795827</v>
      </c>
      <c r="Q47" s="165">
        <f t="shared" si="4"/>
        <v>16.259881422924902</v>
      </c>
    </row>
    <row r="48" spans="1:17" ht="12.75">
      <c r="A48" s="112" t="s">
        <v>231</v>
      </c>
      <c r="B48" s="112"/>
      <c r="C48" s="111" t="s">
        <v>232</v>
      </c>
      <c r="D48" s="163">
        <f t="shared" si="17"/>
        <v>0</v>
      </c>
      <c r="E48" s="159">
        <f t="shared" si="18"/>
        <v>0</v>
      </c>
      <c r="F48" s="163"/>
      <c r="G48" s="163"/>
      <c r="H48" s="164"/>
      <c r="I48" s="165"/>
      <c r="J48" s="165"/>
      <c r="K48" s="160"/>
      <c r="L48" s="160"/>
      <c r="M48" s="162"/>
      <c r="N48" s="162"/>
      <c r="O48" s="164" t="e">
        <f t="shared" si="2"/>
        <v>#DIV/0!</v>
      </c>
      <c r="P48" s="160" t="e">
        <f t="shared" si="3"/>
        <v>#DIV/0!</v>
      </c>
      <c r="Q48" s="165" t="e">
        <f t="shared" si="4"/>
        <v>#DIV/0!</v>
      </c>
    </row>
    <row r="49" spans="1:17" ht="24">
      <c r="A49" s="113" t="s">
        <v>235</v>
      </c>
      <c r="B49" s="113"/>
      <c r="C49" s="111" t="s">
        <v>236</v>
      </c>
      <c r="D49" s="163">
        <f t="shared" si="17"/>
        <v>939.8</v>
      </c>
      <c r="E49" s="159">
        <f t="shared" si="18"/>
        <v>643.4</v>
      </c>
      <c r="F49" s="163">
        <f>105+43.2</f>
        <v>148.2</v>
      </c>
      <c r="G49" s="163">
        <f>105+390.2</f>
        <v>495.2</v>
      </c>
      <c r="H49" s="164">
        <f>105+43.2</f>
        <v>148.2</v>
      </c>
      <c r="I49" s="165">
        <f>105+43.2</f>
        <v>148.2</v>
      </c>
      <c r="J49" s="165">
        <v>418.6</v>
      </c>
      <c r="K49" s="160" t="e">
        <f>J49/#REF!*100</f>
        <v>#REF!</v>
      </c>
      <c r="L49" s="160">
        <f>J49/H49*100</f>
        <v>282.4561403508772</v>
      </c>
      <c r="M49" s="162"/>
      <c r="N49" s="162"/>
      <c r="O49" s="164">
        <f t="shared" si="2"/>
        <v>282.4561403508772</v>
      </c>
      <c r="P49" s="160">
        <f t="shared" si="3"/>
        <v>65.06061548026112</v>
      </c>
      <c r="Q49" s="165">
        <f t="shared" si="4"/>
        <v>44.541391785486276</v>
      </c>
    </row>
    <row r="50" spans="1:17" ht="24">
      <c r="A50" s="115" t="s">
        <v>241</v>
      </c>
      <c r="B50" s="115"/>
      <c r="C50" s="111" t="s">
        <v>242</v>
      </c>
      <c r="D50" s="163">
        <f t="shared" si="17"/>
        <v>500</v>
      </c>
      <c r="E50" s="159">
        <f t="shared" si="18"/>
        <v>425</v>
      </c>
      <c r="F50" s="163">
        <v>37.5</v>
      </c>
      <c r="G50" s="163">
        <f>37.5+350</f>
        <v>387.5</v>
      </c>
      <c r="H50" s="164">
        <v>37.5</v>
      </c>
      <c r="I50" s="165">
        <v>37.5</v>
      </c>
      <c r="J50" s="165">
        <v>402.1</v>
      </c>
      <c r="K50" s="160" t="e">
        <f>J50/#REF!*100</f>
        <v>#REF!</v>
      </c>
      <c r="L50" s="160">
        <f>J50/H50*100</f>
        <v>1072.2666666666667</v>
      </c>
      <c r="M50" s="162"/>
      <c r="N50" s="162"/>
      <c r="O50" s="164">
        <f t="shared" si="2"/>
        <v>1072.2666666666667</v>
      </c>
      <c r="P50" s="160">
        <f t="shared" si="3"/>
        <v>94.61176470588235</v>
      </c>
      <c r="Q50" s="165">
        <f t="shared" si="4"/>
        <v>80.42</v>
      </c>
    </row>
    <row r="51" spans="1:17" ht="12.75">
      <c r="A51" s="110" t="s">
        <v>245</v>
      </c>
      <c r="B51" s="110"/>
      <c r="C51" s="111" t="s">
        <v>246</v>
      </c>
      <c r="D51" s="163">
        <f t="shared" si="17"/>
        <v>0</v>
      </c>
      <c r="E51" s="159">
        <f t="shared" si="18"/>
        <v>0</v>
      </c>
      <c r="F51" s="163"/>
      <c r="G51" s="163"/>
      <c r="H51" s="164"/>
      <c r="I51" s="165"/>
      <c r="J51" s="165"/>
      <c r="K51" s="160" t="e">
        <f>J51/#REF!*100</f>
        <v>#REF!</v>
      </c>
      <c r="L51" s="160"/>
      <c r="M51" s="162"/>
      <c r="N51" s="162"/>
      <c r="O51" s="164" t="e">
        <f t="shared" si="2"/>
        <v>#DIV/0!</v>
      </c>
      <c r="P51" s="160"/>
      <c r="Q51" s="165"/>
    </row>
    <row r="52" spans="1:17" ht="12.75">
      <c r="A52" s="133" t="s">
        <v>247</v>
      </c>
      <c r="B52" s="117"/>
      <c r="C52" s="118" t="s">
        <v>248</v>
      </c>
      <c r="D52" s="163">
        <f t="shared" si="17"/>
        <v>0</v>
      </c>
      <c r="E52" s="159">
        <f t="shared" si="18"/>
        <v>0</v>
      </c>
      <c r="F52" s="163"/>
      <c r="G52" s="163"/>
      <c r="H52" s="164"/>
      <c r="I52" s="165"/>
      <c r="J52" s="165">
        <v>0</v>
      </c>
      <c r="K52" s="160"/>
      <c r="L52" s="160"/>
      <c r="M52" s="162"/>
      <c r="N52" s="162"/>
      <c r="O52" s="164" t="e">
        <f t="shared" si="2"/>
        <v>#DIV/0!</v>
      </c>
      <c r="P52" s="160"/>
      <c r="Q52" s="165"/>
    </row>
    <row r="53" spans="1:17" ht="12.75">
      <c r="A53" s="134" t="s">
        <v>249</v>
      </c>
      <c r="B53" s="134"/>
      <c r="C53" s="119" t="s">
        <v>250</v>
      </c>
      <c r="D53" s="166">
        <f>D54+D56+D55</f>
        <v>23319.1</v>
      </c>
      <c r="E53" s="166">
        <f aca="true" t="shared" si="19" ref="E53:O53">E54+E56+E55</f>
        <v>12007.3</v>
      </c>
      <c r="F53" s="166">
        <f t="shared" si="19"/>
        <v>6474</v>
      </c>
      <c r="G53" s="166">
        <f t="shared" si="19"/>
        <v>5933.3</v>
      </c>
      <c r="H53" s="166">
        <f t="shared" si="19"/>
        <v>5455.9</v>
      </c>
      <c r="I53" s="166">
        <f t="shared" si="19"/>
        <v>5455.9</v>
      </c>
      <c r="J53" s="166">
        <f t="shared" si="19"/>
        <v>7601.4</v>
      </c>
      <c r="K53" s="166" t="e">
        <f t="shared" si="19"/>
        <v>#REF!</v>
      </c>
      <c r="L53" s="166">
        <f t="shared" si="19"/>
        <v>131.99288843270588</v>
      </c>
      <c r="M53" s="166">
        <f t="shared" si="19"/>
        <v>0.1</v>
      </c>
      <c r="N53" s="166">
        <f t="shared" si="19"/>
        <v>0</v>
      </c>
      <c r="O53" s="166" t="e">
        <f t="shared" si="19"/>
        <v>#DIV/0!</v>
      </c>
      <c r="P53" s="128">
        <f t="shared" si="3"/>
        <v>63.30648855279705</v>
      </c>
      <c r="Q53" s="129">
        <f t="shared" si="4"/>
        <v>32.59731293231729</v>
      </c>
    </row>
    <row r="54" spans="1:17" ht="24">
      <c r="A54" s="120" t="s">
        <v>251</v>
      </c>
      <c r="B54" s="112"/>
      <c r="C54" s="121" t="s">
        <v>252</v>
      </c>
      <c r="D54" s="163">
        <f t="shared" si="17"/>
        <v>22919.1</v>
      </c>
      <c r="E54" s="159">
        <f t="shared" si="18"/>
        <v>12007.3</v>
      </c>
      <c r="F54" s="171">
        <f>5455.9+658.1+360</f>
        <v>6474</v>
      </c>
      <c r="G54" s="171">
        <v>5533.3</v>
      </c>
      <c r="H54" s="164">
        <v>5455.9</v>
      </c>
      <c r="I54" s="164">
        <v>5455.9</v>
      </c>
      <c r="J54" s="165">
        <v>7201.4</v>
      </c>
      <c r="K54" s="160" t="e">
        <f>J54/#REF!*100</f>
        <v>#REF!</v>
      </c>
      <c r="L54" s="160">
        <f>J54/H54*100</f>
        <v>131.99288843270588</v>
      </c>
      <c r="M54" s="162">
        <v>0.1</v>
      </c>
      <c r="N54" s="162"/>
      <c r="O54" s="164">
        <f t="shared" si="2"/>
        <v>131.99288843270588</v>
      </c>
      <c r="P54" s="160">
        <f t="shared" si="3"/>
        <v>59.975181764426644</v>
      </c>
      <c r="Q54" s="165">
        <f t="shared" si="4"/>
        <v>31.42095457500513</v>
      </c>
    </row>
    <row r="55" spans="1:17" ht="12.75">
      <c r="A55" s="120" t="s">
        <v>253</v>
      </c>
      <c r="B55" s="120"/>
      <c r="C55" s="122" t="s">
        <v>254</v>
      </c>
      <c r="D55" s="163">
        <f>F55+G55+H55+I55</f>
        <v>400</v>
      </c>
      <c r="E55" s="163">
        <f>F55</f>
        <v>0</v>
      </c>
      <c r="F55" s="171"/>
      <c r="G55" s="171">
        <v>400</v>
      </c>
      <c r="H55" s="164"/>
      <c r="I55" s="170"/>
      <c r="J55" s="165">
        <v>400</v>
      </c>
      <c r="K55" s="160"/>
      <c r="L55" s="160"/>
      <c r="M55" s="162"/>
      <c r="N55" s="162"/>
      <c r="O55" s="164"/>
      <c r="P55" s="160"/>
      <c r="Q55" s="165">
        <f t="shared" si="4"/>
        <v>100</v>
      </c>
    </row>
    <row r="56" spans="1:17" ht="36">
      <c r="A56" s="120" t="s">
        <v>257</v>
      </c>
      <c r="B56" s="124"/>
      <c r="C56" s="125" t="s">
        <v>258</v>
      </c>
      <c r="D56" s="163">
        <f t="shared" si="17"/>
        <v>0</v>
      </c>
      <c r="E56" s="163">
        <f>F56</f>
        <v>0</v>
      </c>
      <c r="F56" s="172"/>
      <c r="G56" s="172"/>
      <c r="H56" s="164"/>
      <c r="I56" s="170"/>
      <c r="J56" s="165"/>
      <c r="K56" s="160" t="e">
        <f>J56/#REF!*100</f>
        <v>#REF!</v>
      </c>
      <c r="L56" s="160"/>
      <c r="M56" s="162"/>
      <c r="N56" s="162"/>
      <c r="O56" s="164" t="e">
        <f t="shared" si="2"/>
        <v>#DIV/0!</v>
      </c>
      <c r="P56" s="160"/>
      <c r="Q56" s="165"/>
    </row>
    <row r="57" spans="1:17" ht="12.75">
      <c r="A57" s="113"/>
      <c r="B57" s="135"/>
      <c r="C57" s="136" t="s">
        <v>259</v>
      </c>
      <c r="D57" s="173">
        <f aca="true" t="shared" si="20" ref="D57:J57">D53+D44</f>
        <v>40977.399999999994</v>
      </c>
      <c r="E57" s="173">
        <f t="shared" si="20"/>
        <v>21099.4</v>
      </c>
      <c r="F57" s="173">
        <f t="shared" si="20"/>
        <v>10582.400000000001</v>
      </c>
      <c r="G57" s="173">
        <f t="shared" si="20"/>
        <v>10917</v>
      </c>
      <c r="H57" s="173">
        <f t="shared" si="20"/>
        <v>9742.599999999999</v>
      </c>
      <c r="I57" s="173">
        <f t="shared" si="20"/>
        <v>9735.4</v>
      </c>
      <c r="J57" s="173">
        <f t="shared" si="20"/>
        <v>12822.100000000002</v>
      </c>
      <c r="K57" s="128" t="e">
        <f>J57/#REF!*100</f>
        <v>#REF!</v>
      </c>
      <c r="L57" s="128">
        <f>J57/H57*100</f>
        <v>131.6086055057172</v>
      </c>
      <c r="M57" s="162"/>
      <c r="N57" s="169" t="e">
        <f>I57+#REF!+#REF!</f>
        <v>#REF!</v>
      </c>
      <c r="O57" s="157">
        <f t="shared" si="2"/>
        <v>131.70593914990656</v>
      </c>
      <c r="P57" s="128">
        <f t="shared" si="3"/>
        <v>60.769974501644604</v>
      </c>
      <c r="Q57" s="129">
        <f t="shared" si="4"/>
        <v>31.29066265795293</v>
      </c>
    </row>
    <row r="58" spans="1:17" ht="12.75">
      <c r="A58" s="210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2"/>
      <c r="M58" s="162"/>
      <c r="N58" s="162"/>
      <c r="O58" s="170"/>
      <c r="P58" s="128"/>
      <c r="Q58" s="129"/>
    </row>
    <row r="59" spans="1:17" ht="12.75">
      <c r="A59" s="219" t="s">
        <v>262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128"/>
      <c r="Q59" s="129"/>
    </row>
    <row r="60" spans="1:17" ht="12.75">
      <c r="A60" s="134" t="s">
        <v>221</v>
      </c>
      <c r="B60" s="134"/>
      <c r="C60" s="137" t="s">
        <v>222</v>
      </c>
      <c r="D60" s="157">
        <f aca="true" t="shared" si="21" ref="D60:J60">D61+D63+D65+D67+D64+D69+D68+D62+D66</f>
        <v>30441</v>
      </c>
      <c r="E60" s="157">
        <f t="shared" si="21"/>
        <v>13152.5</v>
      </c>
      <c r="F60" s="157">
        <f t="shared" si="21"/>
        <v>6165.3</v>
      </c>
      <c r="G60" s="157">
        <f t="shared" si="21"/>
        <v>6987.2</v>
      </c>
      <c r="H60" s="157">
        <f t="shared" si="21"/>
        <v>8124.8</v>
      </c>
      <c r="I60" s="157">
        <f t="shared" si="21"/>
        <v>9163.7</v>
      </c>
      <c r="J60" s="157">
        <f t="shared" si="21"/>
        <v>12274.1</v>
      </c>
      <c r="K60" s="157" t="e">
        <f>J60/#REF!*100</f>
        <v>#REF!</v>
      </c>
      <c r="L60" s="157">
        <f aca="true" t="shared" si="22" ref="L60:L67">J60/H60*100</f>
        <v>151.0695647892871</v>
      </c>
      <c r="M60" s="158"/>
      <c r="N60" s="158"/>
      <c r="O60" s="157">
        <f t="shared" si="2"/>
        <v>133.9426214302083</v>
      </c>
      <c r="P60" s="128">
        <f t="shared" si="3"/>
        <v>93.321421782931</v>
      </c>
      <c r="Q60" s="129">
        <f t="shared" si="4"/>
        <v>40.32094872047568</v>
      </c>
    </row>
    <row r="61" spans="1:17" ht="12.75">
      <c r="A61" s="112" t="s">
        <v>223</v>
      </c>
      <c r="B61" s="112"/>
      <c r="C61" s="130" t="s">
        <v>224</v>
      </c>
      <c r="D61" s="163">
        <f>F61+G61+H61+I61</f>
        <v>17850</v>
      </c>
      <c r="E61" s="159">
        <f aca="true" t="shared" si="23" ref="E61:E71">F61+G61</f>
        <v>7855.5</v>
      </c>
      <c r="F61" s="174">
        <v>3164.3</v>
      </c>
      <c r="G61" s="174">
        <v>4691.2</v>
      </c>
      <c r="H61" s="160">
        <v>3871.4</v>
      </c>
      <c r="I61" s="160">
        <v>6123.1</v>
      </c>
      <c r="J61" s="160">
        <v>7092</v>
      </c>
      <c r="K61" s="160" t="e">
        <f>J61/#REF!*100</f>
        <v>#REF!</v>
      </c>
      <c r="L61" s="160">
        <f t="shared" si="22"/>
        <v>183.18954383427183</v>
      </c>
      <c r="M61" s="162"/>
      <c r="N61" s="162"/>
      <c r="O61" s="160">
        <f t="shared" si="2"/>
        <v>115.82368408159265</v>
      </c>
      <c r="P61" s="160">
        <f t="shared" si="3"/>
        <v>90.28069505442048</v>
      </c>
      <c r="Q61" s="165">
        <f t="shared" si="4"/>
        <v>39.73109243697479</v>
      </c>
    </row>
    <row r="62" spans="1:17" ht="12.75">
      <c r="A62" s="112" t="s">
        <v>227</v>
      </c>
      <c r="B62" s="112"/>
      <c r="C62" s="111" t="s">
        <v>228</v>
      </c>
      <c r="D62" s="163">
        <f aca="true" t="shared" si="24" ref="D62:D72">F62+G62+H62+I62</f>
        <v>35</v>
      </c>
      <c r="E62" s="159">
        <f t="shared" si="23"/>
        <v>19</v>
      </c>
      <c r="F62" s="171">
        <v>11</v>
      </c>
      <c r="G62" s="171">
        <v>8</v>
      </c>
      <c r="H62" s="164">
        <v>8</v>
      </c>
      <c r="I62" s="164">
        <v>8</v>
      </c>
      <c r="J62" s="164">
        <v>46.7</v>
      </c>
      <c r="K62" s="160" t="e">
        <f>J62/#REF!*100</f>
        <v>#REF!</v>
      </c>
      <c r="L62" s="160">
        <f t="shared" si="22"/>
        <v>583.75</v>
      </c>
      <c r="M62" s="162"/>
      <c r="N62" s="162"/>
      <c r="O62" s="164">
        <f t="shared" si="2"/>
        <v>583.75</v>
      </c>
      <c r="P62" s="160">
        <f t="shared" si="3"/>
        <v>245.78947368421052</v>
      </c>
      <c r="Q62" s="165">
        <f t="shared" si="4"/>
        <v>133.42857142857142</v>
      </c>
    </row>
    <row r="63" spans="1:17" ht="12.75">
      <c r="A63" s="112" t="s">
        <v>229</v>
      </c>
      <c r="B63" s="112"/>
      <c r="C63" s="111" t="s">
        <v>230</v>
      </c>
      <c r="D63" s="163">
        <f t="shared" si="24"/>
        <v>6250</v>
      </c>
      <c r="E63" s="159">
        <f t="shared" si="23"/>
        <v>2974</v>
      </c>
      <c r="F63" s="171">
        <v>2671</v>
      </c>
      <c r="G63" s="171">
        <v>303</v>
      </c>
      <c r="H63" s="164">
        <v>2315.4</v>
      </c>
      <c r="I63" s="164">
        <v>960.6</v>
      </c>
      <c r="J63" s="164">
        <v>3245.4</v>
      </c>
      <c r="K63" s="160" t="e">
        <f>J63/#REF!*100</f>
        <v>#REF!</v>
      </c>
      <c r="L63" s="160">
        <f t="shared" si="22"/>
        <v>140.16584607411247</v>
      </c>
      <c r="M63" s="162"/>
      <c r="N63" s="162"/>
      <c r="O63" s="164">
        <f t="shared" si="2"/>
        <v>337.85134291068084</v>
      </c>
      <c r="P63" s="160">
        <f t="shared" si="3"/>
        <v>109.12575655682582</v>
      </c>
      <c r="Q63" s="165">
        <f t="shared" si="4"/>
        <v>51.9264</v>
      </c>
    </row>
    <row r="64" spans="1:17" ht="12.75">
      <c r="A64" s="112" t="s">
        <v>231</v>
      </c>
      <c r="B64" s="112"/>
      <c r="C64" s="111" t="s">
        <v>232</v>
      </c>
      <c r="D64" s="163">
        <f t="shared" si="24"/>
        <v>0</v>
      </c>
      <c r="E64" s="159">
        <f t="shared" si="23"/>
        <v>0</v>
      </c>
      <c r="F64" s="171"/>
      <c r="G64" s="171"/>
      <c r="H64" s="164"/>
      <c r="I64" s="164"/>
      <c r="J64" s="164">
        <v>2</v>
      </c>
      <c r="K64" s="160"/>
      <c r="L64" s="160" t="e">
        <f t="shared" si="22"/>
        <v>#DIV/0!</v>
      </c>
      <c r="M64" s="162"/>
      <c r="N64" s="162"/>
      <c r="O64" s="164" t="e">
        <f t="shared" si="2"/>
        <v>#DIV/0!</v>
      </c>
      <c r="P64" s="160"/>
      <c r="Q64" s="165"/>
    </row>
    <row r="65" spans="1:17" ht="24">
      <c r="A65" s="113" t="s">
        <v>235</v>
      </c>
      <c r="B65" s="113"/>
      <c r="C65" s="111" t="s">
        <v>236</v>
      </c>
      <c r="D65" s="163">
        <f t="shared" si="24"/>
        <v>6000</v>
      </c>
      <c r="E65" s="159">
        <f t="shared" si="23"/>
        <v>2124</v>
      </c>
      <c r="F65" s="171">
        <v>259</v>
      </c>
      <c r="G65" s="171">
        <v>1865</v>
      </c>
      <c r="H65" s="164">
        <v>1865</v>
      </c>
      <c r="I65" s="164">
        <v>2011</v>
      </c>
      <c r="J65" s="164">
        <v>1567.7</v>
      </c>
      <c r="K65" s="160" t="e">
        <f>J65/#REF!*100</f>
        <v>#REF!</v>
      </c>
      <c r="L65" s="160">
        <f t="shared" si="22"/>
        <v>84.05898123324397</v>
      </c>
      <c r="M65" s="162"/>
      <c r="N65" s="162"/>
      <c r="O65" s="164">
        <f t="shared" si="2"/>
        <v>77.95624067628046</v>
      </c>
      <c r="P65" s="160">
        <f t="shared" si="3"/>
        <v>73.80885122410547</v>
      </c>
      <c r="Q65" s="165">
        <f t="shared" si="4"/>
        <v>26.128333333333334</v>
      </c>
    </row>
    <row r="66" spans="1:17" ht="24">
      <c r="A66" s="115" t="s">
        <v>239</v>
      </c>
      <c r="B66" s="115"/>
      <c r="C66" s="111" t="s">
        <v>240</v>
      </c>
      <c r="D66" s="163">
        <f t="shared" si="24"/>
        <v>0</v>
      </c>
      <c r="E66" s="159">
        <f t="shared" si="23"/>
        <v>0</v>
      </c>
      <c r="F66" s="171"/>
      <c r="G66" s="171"/>
      <c r="H66" s="164"/>
      <c r="I66" s="164"/>
      <c r="J66" s="164"/>
      <c r="K66" s="160" t="e">
        <f>J66/#REF!*100</f>
        <v>#REF!</v>
      </c>
      <c r="L66" s="160"/>
      <c r="M66" s="162"/>
      <c r="N66" s="162"/>
      <c r="O66" s="164" t="e">
        <f t="shared" si="2"/>
        <v>#DIV/0!</v>
      </c>
      <c r="P66" s="160"/>
      <c r="Q66" s="165"/>
    </row>
    <row r="67" spans="1:17" ht="24">
      <c r="A67" s="114" t="s">
        <v>241</v>
      </c>
      <c r="B67" s="114"/>
      <c r="C67" s="111" t="s">
        <v>242</v>
      </c>
      <c r="D67" s="163">
        <f t="shared" si="24"/>
        <v>306</v>
      </c>
      <c r="E67" s="159">
        <f t="shared" si="23"/>
        <v>180</v>
      </c>
      <c r="F67" s="171">
        <v>60</v>
      </c>
      <c r="G67" s="171">
        <v>120</v>
      </c>
      <c r="H67" s="164">
        <v>65</v>
      </c>
      <c r="I67" s="164">
        <v>61</v>
      </c>
      <c r="J67" s="164">
        <v>319.9</v>
      </c>
      <c r="K67" s="160" t="e">
        <f>J67/#REF!*100</f>
        <v>#REF!</v>
      </c>
      <c r="L67" s="160">
        <f t="shared" si="22"/>
        <v>492.1538461538461</v>
      </c>
      <c r="M67" s="162"/>
      <c r="N67" s="162"/>
      <c r="O67" s="164">
        <f t="shared" si="2"/>
        <v>524.4262295081967</v>
      </c>
      <c r="P67" s="160">
        <f t="shared" si="3"/>
        <v>177.7222222222222</v>
      </c>
      <c r="Q67" s="165">
        <f t="shared" si="4"/>
        <v>104.54248366013071</v>
      </c>
    </row>
    <row r="68" spans="1:17" ht="12.75">
      <c r="A68" s="110" t="s">
        <v>245</v>
      </c>
      <c r="B68" s="110"/>
      <c r="C68" s="111" t="s">
        <v>246</v>
      </c>
      <c r="D68" s="163">
        <f t="shared" si="24"/>
        <v>0</v>
      </c>
      <c r="E68" s="159">
        <f t="shared" si="23"/>
        <v>0</v>
      </c>
      <c r="F68" s="171"/>
      <c r="G68" s="171"/>
      <c r="H68" s="164"/>
      <c r="I68" s="164"/>
      <c r="J68" s="164">
        <v>0.4</v>
      </c>
      <c r="K68" s="160"/>
      <c r="L68" s="160"/>
      <c r="M68" s="162"/>
      <c r="N68" s="162"/>
      <c r="O68" s="164" t="e">
        <f t="shared" si="2"/>
        <v>#DIV/0!</v>
      </c>
      <c r="P68" s="160"/>
      <c r="Q68" s="165"/>
    </row>
    <row r="69" spans="1:17" ht="12.75">
      <c r="A69" s="116" t="s">
        <v>247</v>
      </c>
      <c r="B69" s="117"/>
      <c r="C69" s="118" t="s">
        <v>248</v>
      </c>
      <c r="D69" s="163">
        <f t="shared" si="24"/>
        <v>0</v>
      </c>
      <c r="E69" s="159">
        <f t="shared" si="23"/>
        <v>0</v>
      </c>
      <c r="F69" s="171"/>
      <c r="G69" s="171"/>
      <c r="H69" s="164"/>
      <c r="I69" s="164"/>
      <c r="J69" s="164"/>
      <c r="K69" s="160"/>
      <c r="L69" s="160"/>
      <c r="M69" s="162"/>
      <c r="N69" s="162"/>
      <c r="O69" s="164" t="e">
        <f t="shared" si="2"/>
        <v>#DIV/0!</v>
      </c>
      <c r="P69" s="160"/>
      <c r="Q69" s="165"/>
    </row>
    <row r="70" spans="1:17" ht="12.75">
      <c r="A70" s="108" t="s">
        <v>249</v>
      </c>
      <c r="B70" s="108"/>
      <c r="C70" s="119" t="s">
        <v>250</v>
      </c>
      <c r="D70" s="166">
        <f aca="true" t="shared" si="25" ref="D70:J70">D71+D72</f>
        <v>43362.8</v>
      </c>
      <c r="E70" s="166">
        <f t="shared" si="25"/>
        <v>23023.6</v>
      </c>
      <c r="F70" s="166">
        <f t="shared" si="25"/>
        <v>10844.1</v>
      </c>
      <c r="G70" s="166">
        <f t="shared" si="25"/>
        <v>12179.5</v>
      </c>
      <c r="H70" s="166">
        <f t="shared" si="25"/>
        <v>9356</v>
      </c>
      <c r="I70" s="166">
        <f t="shared" si="25"/>
        <v>10983.2</v>
      </c>
      <c r="J70" s="166">
        <f t="shared" si="25"/>
        <v>13552.099999999999</v>
      </c>
      <c r="K70" s="128" t="e">
        <f>J70/#REF!*100</f>
        <v>#REF!</v>
      </c>
      <c r="L70" s="128">
        <f>J70/H70*100</f>
        <v>144.8492945703292</v>
      </c>
      <c r="M70" s="162"/>
      <c r="N70" s="162"/>
      <c r="O70" s="157">
        <f t="shared" si="2"/>
        <v>123.38935829266514</v>
      </c>
      <c r="P70" s="128">
        <f t="shared" si="3"/>
        <v>58.86177661182438</v>
      </c>
      <c r="Q70" s="129">
        <f t="shared" si="4"/>
        <v>31.252825002075504</v>
      </c>
    </row>
    <row r="71" spans="1:17" ht="24">
      <c r="A71" s="120" t="s">
        <v>251</v>
      </c>
      <c r="B71" s="112"/>
      <c r="C71" s="121" t="s">
        <v>252</v>
      </c>
      <c r="D71" s="163">
        <f t="shared" si="24"/>
        <v>43362.8</v>
      </c>
      <c r="E71" s="159">
        <f t="shared" si="23"/>
        <v>23023.6</v>
      </c>
      <c r="F71" s="171">
        <f>10767.7+76.4</f>
        <v>10844.1</v>
      </c>
      <c r="G71" s="171">
        <f>12203.6-24.1</f>
        <v>12179.5</v>
      </c>
      <c r="H71" s="164">
        <v>9356</v>
      </c>
      <c r="I71" s="165">
        <v>10983.2</v>
      </c>
      <c r="J71" s="165">
        <v>13297.3</v>
      </c>
      <c r="K71" s="160" t="e">
        <f>J71/#REF!*100</f>
        <v>#REF!</v>
      </c>
      <c r="L71" s="160">
        <f>J71/H71*100</f>
        <v>142.12590850790937</v>
      </c>
      <c r="M71" s="162"/>
      <c r="N71" s="162"/>
      <c r="O71" s="164">
        <f t="shared" si="2"/>
        <v>121.06945152596693</v>
      </c>
      <c r="P71" s="160">
        <f t="shared" si="3"/>
        <v>57.75508608558175</v>
      </c>
      <c r="Q71" s="165">
        <f t="shared" si="4"/>
        <v>30.66522457036907</v>
      </c>
    </row>
    <row r="72" spans="1:17" ht="12.75">
      <c r="A72" s="120" t="s">
        <v>253</v>
      </c>
      <c r="B72" s="120"/>
      <c r="C72" s="122" t="s">
        <v>254</v>
      </c>
      <c r="D72" s="163">
        <f t="shared" si="24"/>
        <v>0</v>
      </c>
      <c r="E72" s="163">
        <f>F72</f>
        <v>0</v>
      </c>
      <c r="F72" s="172"/>
      <c r="G72" s="172"/>
      <c r="H72" s="164"/>
      <c r="I72" s="165"/>
      <c r="J72" s="165">
        <v>254.8</v>
      </c>
      <c r="K72" s="160" t="e">
        <f>J72/#REF!*100</f>
        <v>#REF!</v>
      </c>
      <c r="L72" s="160"/>
      <c r="M72" s="162"/>
      <c r="N72" s="162"/>
      <c r="O72" s="164" t="e">
        <f t="shared" si="2"/>
        <v>#DIV/0!</v>
      </c>
      <c r="P72" s="128"/>
      <c r="Q72" s="129"/>
    </row>
    <row r="73" spans="1:17" ht="12.75">
      <c r="A73" s="110"/>
      <c r="B73" s="126"/>
      <c r="C73" s="127" t="s">
        <v>259</v>
      </c>
      <c r="D73" s="129">
        <f aca="true" t="shared" si="26" ref="D73:K73">D70+D60</f>
        <v>73803.8</v>
      </c>
      <c r="E73" s="129">
        <f t="shared" si="26"/>
        <v>36176.1</v>
      </c>
      <c r="F73" s="129">
        <f t="shared" si="26"/>
        <v>17009.4</v>
      </c>
      <c r="G73" s="129">
        <f t="shared" si="26"/>
        <v>19166.7</v>
      </c>
      <c r="H73" s="129">
        <f t="shared" si="26"/>
        <v>17480.8</v>
      </c>
      <c r="I73" s="129">
        <f t="shared" si="26"/>
        <v>20146.9</v>
      </c>
      <c r="J73" s="129">
        <f t="shared" si="26"/>
        <v>25826.199999999997</v>
      </c>
      <c r="K73" s="129" t="e">
        <f t="shared" si="26"/>
        <v>#REF!</v>
      </c>
      <c r="L73" s="128">
        <f>J73/H73*100</f>
        <v>147.74037801473617</v>
      </c>
      <c r="M73" s="162"/>
      <c r="N73" s="169" t="e">
        <f>I73+#REF!+#REF!</f>
        <v>#REF!</v>
      </c>
      <c r="O73" s="157">
        <f t="shared" si="2"/>
        <v>128.18944850076187</v>
      </c>
      <c r="P73" s="128">
        <f t="shared" si="3"/>
        <v>71.39022724948238</v>
      </c>
      <c r="Q73" s="129">
        <f t="shared" si="4"/>
        <v>34.99304913839124</v>
      </c>
    </row>
    <row r="74" spans="1:17" ht="12.75">
      <c r="A74" s="210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2"/>
      <c r="M74" s="162"/>
      <c r="N74" s="162"/>
      <c r="O74" s="170"/>
      <c r="P74" s="128"/>
      <c r="Q74" s="129"/>
    </row>
    <row r="75" spans="1:17" ht="12.75">
      <c r="A75" s="219" t="s">
        <v>263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128"/>
      <c r="Q75" s="129"/>
    </row>
    <row r="76" spans="1:17" ht="12.75">
      <c r="A76" s="108" t="s">
        <v>221</v>
      </c>
      <c r="B76" s="108"/>
      <c r="C76" s="109" t="s">
        <v>222</v>
      </c>
      <c r="D76" s="128">
        <f>D77+D78+D79+D80+D81+D82+D83+D84+D85</f>
        <v>23357.5</v>
      </c>
      <c r="E76" s="128">
        <f>E77+E78+E79+E80+E81+E82+E83+E84+E85</f>
        <v>10826.199999999999</v>
      </c>
      <c r="F76" s="128">
        <f>F77+F78+F79+F80+F81+F82+F83+F84+F85</f>
        <v>4679.2</v>
      </c>
      <c r="G76" s="128">
        <f>G77+G78+G79+G80+G81+G82+G83+G84+G85</f>
        <v>6147</v>
      </c>
      <c r="H76" s="128">
        <f>H77+H78+H79+H80+H81+H82+H83+H84+H85</f>
        <v>5307.900000000001</v>
      </c>
      <c r="I76" s="128">
        <f>I77+I78+I79+I80+I81+I82+I83+I84+I85+I86</f>
        <v>7223.4</v>
      </c>
      <c r="J76" s="128">
        <f>J77+J78+J79+J80+J81+J82+J83+J84+J85+J86</f>
        <v>8181.300000000001</v>
      </c>
      <c r="K76" s="128" t="e">
        <f>J76/#REF!*100</f>
        <v>#REF!</v>
      </c>
      <c r="L76" s="128">
        <f>J76/H76*100</f>
        <v>154.13440343638726</v>
      </c>
      <c r="M76" s="162"/>
      <c r="N76" s="162"/>
      <c r="O76" s="128">
        <f t="shared" si="2"/>
        <v>113.26106819503283</v>
      </c>
      <c r="P76" s="128">
        <f aca="true" t="shared" si="27" ref="P76:P139">J76*100/E76</f>
        <v>75.56945188524138</v>
      </c>
      <c r="Q76" s="129">
        <f aca="true" t="shared" si="28" ref="Q76:Q139">J76*100/D76</f>
        <v>35.026436904634494</v>
      </c>
    </row>
    <row r="77" spans="1:17" ht="12.75">
      <c r="A77" s="110" t="s">
        <v>223</v>
      </c>
      <c r="B77" s="110"/>
      <c r="C77" s="111" t="s">
        <v>224</v>
      </c>
      <c r="D77" s="163">
        <f>F77+G77+H77+I77</f>
        <v>15496</v>
      </c>
      <c r="E77" s="159">
        <f aca="true" t="shared" si="29" ref="E77:E85">F77+G77</f>
        <v>7600</v>
      </c>
      <c r="F77" s="171">
        <v>3500</v>
      </c>
      <c r="G77" s="171">
        <v>4100</v>
      </c>
      <c r="H77" s="164">
        <v>3250</v>
      </c>
      <c r="I77" s="164">
        <v>4646</v>
      </c>
      <c r="J77" s="165">
        <v>5099.8</v>
      </c>
      <c r="K77" s="160" t="e">
        <f>J77/#REF!*100</f>
        <v>#REF!</v>
      </c>
      <c r="L77" s="160">
        <f>J77/H77*100</f>
        <v>156.9169230769231</v>
      </c>
      <c r="M77" s="162"/>
      <c r="N77" s="162"/>
      <c r="O77" s="164">
        <f aca="true" t="shared" si="30" ref="O77:O143">J77*100/I77</f>
        <v>109.76754197158846</v>
      </c>
      <c r="P77" s="160">
        <f t="shared" si="27"/>
        <v>67.10263157894737</v>
      </c>
      <c r="Q77" s="165">
        <f t="shared" si="28"/>
        <v>32.91042849767682</v>
      </c>
    </row>
    <row r="78" spans="1:17" ht="12.75">
      <c r="A78" s="112" t="s">
        <v>227</v>
      </c>
      <c r="B78" s="112"/>
      <c r="C78" s="111" t="s">
        <v>228</v>
      </c>
      <c r="D78" s="163">
        <f aca="true" t="shared" si="31" ref="D78:D85">F78+G78+H78+I78</f>
        <v>0</v>
      </c>
      <c r="E78" s="159">
        <f t="shared" si="29"/>
        <v>0</v>
      </c>
      <c r="F78" s="171"/>
      <c r="G78" s="171"/>
      <c r="H78" s="164"/>
      <c r="I78" s="164"/>
      <c r="J78" s="165">
        <v>0.5</v>
      </c>
      <c r="K78" s="160"/>
      <c r="L78" s="160"/>
      <c r="M78" s="162"/>
      <c r="N78" s="162"/>
      <c r="O78" s="164" t="e">
        <f t="shared" si="30"/>
        <v>#DIV/0!</v>
      </c>
      <c r="P78" s="160"/>
      <c r="Q78" s="165"/>
    </row>
    <row r="79" spans="1:17" ht="12.75">
      <c r="A79" s="112" t="s">
        <v>229</v>
      </c>
      <c r="B79" s="112"/>
      <c r="C79" s="111" t="s">
        <v>230</v>
      </c>
      <c r="D79" s="163">
        <f t="shared" si="31"/>
        <v>1432</v>
      </c>
      <c r="E79" s="159">
        <f t="shared" si="29"/>
        <v>450.3</v>
      </c>
      <c r="F79" s="171">
        <v>234.9</v>
      </c>
      <c r="G79" s="171">
        <v>215.4</v>
      </c>
      <c r="H79" s="164">
        <v>390.8</v>
      </c>
      <c r="I79" s="164">
        <v>590.9</v>
      </c>
      <c r="J79" s="165">
        <v>395.1</v>
      </c>
      <c r="K79" s="160" t="e">
        <f>J79/#REF!*100</f>
        <v>#REF!</v>
      </c>
      <c r="L79" s="160">
        <f>J79/H79*100</f>
        <v>101.10030706243603</v>
      </c>
      <c r="M79" s="162"/>
      <c r="N79" s="162"/>
      <c r="O79" s="164">
        <f t="shared" si="30"/>
        <v>66.86410560162464</v>
      </c>
      <c r="P79" s="160">
        <f t="shared" si="27"/>
        <v>87.7415056628914</v>
      </c>
      <c r="Q79" s="165">
        <f t="shared" si="28"/>
        <v>27.59078212290503</v>
      </c>
    </row>
    <row r="80" spans="1:17" ht="12.75">
      <c r="A80" s="112" t="s">
        <v>231</v>
      </c>
      <c r="B80" s="112"/>
      <c r="C80" s="111" t="s">
        <v>232</v>
      </c>
      <c r="D80" s="163">
        <f t="shared" si="31"/>
        <v>0</v>
      </c>
      <c r="E80" s="159">
        <f t="shared" si="29"/>
        <v>0</v>
      </c>
      <c r="F80" s="171"/>
      <c r="G80" s="171"/>
      <c r="H80" s="164"/>
      <c r="I80" s="164"/>
      <c r="J80" s="165"/>
      <c r="K80" s="160"/>
      <c r="L80" s="160"/>
      <c r="M80" s="162"/>
      <c r="N80" s="162"/>
      <c r="O80" s="164" t="e">
        <f t="shared" si="30"/>
        <v>#DIV/0!</v>
      </c>
      <c r="P80" s="160" t="e">
        <f t="shared" si="27"/>
        <v>#DIV/0!</v>
      </c>
      <c r="Q80" s="165" t="e">
        <f t="shared" si="28"/>
        <v>#DIV/0!</v>
      </c>
    </row>
    <row r="81" spans="1:17" ht="24">
      <c r="A81" s="113" t="s">
        <v>235</v>
      </c>
      <c r="B81" s="113"/>
      <c r="C81" s="111" t="s">
        <v>236</v>
      </c>
      <c r="D81" s="163">
        <f t="shared" si="31"/>
        <v>5848</v>
      </c>
      <c r="E81" s="159">
        <f t="shared" si="29"/>
        <v>2475</v>
      </c>
      <c r="F81" s="171">
        <v>775</v>
      </c>
      <c r="G81" s="171">
        <v>1700</v>
      </c>
      <c r="H81" s="164">
        <v>1600</v>
      </c>
      <c r="I81" s="164">
        <v>1773</v>
      </c>
      <c r="J81" s="165">
        <v>2169</v>
      </c>
      <c r="K81" s="160" t="e">
        <f>J81/#REF!*100</f>
        <v>#REF!</v>
      </c>
      <c r="L81" s="160">
        <f>J81/H81*100</f>
        <v>135.5625</v>
      </c>
      <c r="M81" s="162"/>
      <c r="N81" s="162"/>
      <c r="O81" s="164">
        <f t="shared" si="30"/>
        <v>122.33502538071066</v>
      </c>
      <c r="P81" s="160">
        <f t="shared" si="27"/>
        <v>87.63636363636364</v>
      </c>
      <c r="Q81" s="165">
        <f t="shared" si="28"/>
        <v>37.08960328317374</v>
      </c>
    </row>
    <row r="82" spans="1:17" ht="24">
      <c r="A82" s="115" t="s">
        <v>239</v>
      </c>
      <c r="B82" s="115"/>
      <c r="C82" s="111" t="s">
        <v>240</v>
      </c>
      <c r="D82" s="163">
        <f t="shared" si="31"/>
        <v>479</v>
      </c>
      <c r="E82" s="159">
        <f t="shared" si="29"/>
        <v>249.9</v>
      </c>
      <c r="F82" s="171">
        <v>144.3</v>
      </c>
      <c r="G82" s="171">
        <v>105.6</v>
      </c>
      <c r="H82" s="164">
        <v>41.1</v>
      </c>
      <c r="I82" s="164">
        <v>188</v>
      </c>
      <c r="J82" s="165">
        <v>222</v>
      </c>
      <c r="K82" s="160" t="e">
        <f>J82/#REF!*100</f>
        <v>#REF!</v>
      </c>
      <c r="L82" s="160">
        <f>J82/H82*100</f>
        <v>540.1459854014598</v>
      </c>
      <c r="M82" s="162"/>
      <c r="N82" s="162"/>
      <c r="O82" s="164">
        <f t="shared" si="30"/>
        <v>118.08510638297872</v>
      </c>
      <c r="P82" s="160">
        <f t="shared" si="27"/>
        <v>88.83553421368548</v>
      </c>
      <c r="Q82" s="165">
        <f t="shared" si="28"/>
        <v>46.34655532359081</v>
      </c>
    </row>
    <row r="83" spans="1:17" ht="24">
      <c r="A83" s="114" t="s">
        <v>241</v>
      </c>
      <c r="B83" s="114"/>
      <c r="C83" s="111" t="s">
        <v>242</v>
      </c>
      <c r="D83" s="163">
        <f t="shared" si="31"/>
        <v>102.5</v>
      </c>
      <c r="E83" s="159">
        <f t="shared" si="29"/>
        <v>51</v>
      </c>
      <c r="F83" s="171">
        <v>25</v>
      </c>
      <c r="G83" s="171">
        <v>26</v>
      </c>
      <c r="H83" s="164">
        <v>26</v>
      </c>
      <c r="I83" s="164">
        <v>25.5</v>
      </c>
      <c r="J83" s="165">
        <v>165.8</v>
      </c>
      <c r="K83" s="160" t="e">
        <f>J83/#REF!*100</f>
        <v>#REF!</v>
      </c>
      <c r="L83" s="160">
        <f>J83/H83*100</f>
        <v>637.6923076923077</v>
      </c>
      <c r="M83" s="162"/>
      <c r="N83" s="162"/>
      <c r="O83" s="164">
        <f t="shared" si="30"/>
        <v>650.1960784313726</v>
      </c>
      <c r="P83" s="160">
        <f t="shared" si="27"/>
        <v>325.0980392156863</v>
      </c>
      <c r="Q83" s="165">
        <f t="shared" si="28"/>
        <v>161.7560975609756</v>
      </c>
    </row>
    <row r="84" spans="1:17" ht="12.75">
      <c r="A84" s="110" t="s">
        <v>245</v>
      </c>
      <c r="B84" s="110"/>
      <c r="C84" s="111" t="s">
        <v>246</v>
      </c>
      <c r="D84" s="163">
        <f t="shared" si="31"/>
        <v>0</v>
      </c>
      <c r="E84" s="159">
        <f t="shared" si="29"/>
        <v>0</v>
      </c>
      <c r="F84" s="171"/>
      <c r="G84" s="171"/>
      <c r="H84" s="164"/>
      <c r="I84" s="164"/>
      <c r="J84" s="165"/>
      <c r="K84" s="128"/>
      <c r="L84" s="128"/>
      <c r="M84" s="162"/>
      <c r="N84" s="162"/>
      <c r="O84" s="164" t="e">
        <f t="shared" si="30"/>
        <v>#DIV/0!</v>
      </c>
      <c r="P84" s="160"/>
      <c r="Q84" s="165"/>
    </row>
    <row r="85" spans="1:17" ht="12.75">
      <c r="A85" s="116" t="s">
        <v>247</v>
      </c>
      <c r="B85" s="117"/>
      <c r="C85" s="118" t="s">
        <v>248</v>
      </c>
      <c r="D85" s="163">
        <f t="shared" si="31"/>
        <v>0</v>
      </c>
      <c r="E85" s="159">
        <f t="shared" si="29"/>
        <v>0</v>
      </c>
      <c r="F85" s="171"/>
      <c r="G85" s="171"/>
      <c r="H85" s="164"/>
      <c r="I85" s="164"/>
      <c r="J85" s="165">
        <v>129.1</v>
      </c>
      <c r="K85" s="128"/>
      <c r="L85" s="128"/>
      <c r="M85" s="162"/>
      <c r="N85" s="162"/>
      <c r="O85" s="164" t="e">
        <f t="shared" si="30"/>
        <v>#DIV/0!</v>
      </c>
      <c r="P85" s="160"/>
      <c r="Q85" s="165"/>
    </row>
    <row r="86" spans="1:17" ht="12.75">
      <c r="A86" s="116" t="s">
        <v>264</v>
      </c>
      <c r="B86" s="117"/>
      <c r="C86" s="118" t="s">
        <v>265</v>
      </c>
      <c r="D86" s="118"/>
      <c r="E86" s="118"/>
      <c r="F86" s="171"/>
      <c r="G86" s="171"/>
      <c r="H86" s="164" t="e">
        <f>I86+#REF!+#REF!+#REF!</f>
        <v>#REF!</v>
      </c>
      <c r="I86" s="164"/>
      <c r="J86" s="165"/>
      <c r="K86" s="128"/>
      <c r="L86" s="128"/>
      <c r="M86" s="162"/>
      <c r="N86" s="162"/>
      <c r="O86" s="164" t="e">
        <f t="shared" si="30"/>
        <v>#DIV/0!</v>
      </c>
      <c r="P86" s="128" t="e">
        <f t="shared" si="27"/>
        <v>#DIV/0!</v>
      </c>
      <c r="Q86" s="129" t="e">
        <f t="shared" si="28"/>
        <v>#DIV/0!</v>
      </c>
    </row>
    <row r="87" spans="1:17" ht="12.75">
      <c r="A87" s="108" t="s">
        <v>249</v>
      </c>
      <c r="B87" s="108"/>
      <c r="C87" s="119" t="s">
        <v>250</v>
      </c>
      <c r="D87" s="166">
        <f aca="true" t="shared" si="32" ref="D87:J87">D88+D89</f>
        <v>63520.4</v>
      </c>
      <c r="E87" s="175">
        <f t="shared" si="32"/>
        <v>33516.3</v>
      </c>
      <c r="F87" s="166">
        <f t="shared" si="32"/>
        <v>12882.8</v>
      </c>
      <c r="G87" s="166">
        <f t="shared" si="32"/>
        <v>20633.5</v>
      </c>
      <c r="H87" s="166">
        <f t="shared" si="32"/>
        <v>16819</v>
      </c>
      <c r="I87" s="166">
        <f t="shared" si="32"/>
        <v>13185.1</v>
      </c>
      <c r="J87" s="166">
        <f t="shared" si="32"/>
        <v>19665.5</v>
      </c>
      <c r="K87" s="128" t="e">
        <f>J87/#REF!*100</f>
        <v>#REF!</v>
      </c>
      <c r="L87" s="128">
        <f>J87/H87*100</f>
        <v>116.92431179023724</v>
      </c>
      <c r="M87" s="162"/>
      <c r="N87" s="162"/>
      <c r="O87" s="157">
        <f t="shared" si="30"/>
        <v>149.1494186619745</v>
      </c>
      <c r="P87" s="128">
        <f t="shared" si="27"/>
        <v>58.67443602068247</v>
      </c>
      <c r="Q87" s="129">
        <f t="shared" si="28"/>
        <v>30.959345344172895</v>
      </c>
    </row>
    <row r="88" spans="1:17" ht="24">
      <c r="A88" s="120" t="s">
        <v>251</v>
      </c>
      <c r="B88" s="112"/>
      <c r="C88" s="121" t="s">
        <v>252</v>
      </c>
      <c r="D88" s="163">
        <f>F88+G88+H88+I88</f>
        <v>63520.4</v>
      </c>
      <c r="E88" s="159">
        <f>F88+G88</f>
        <v>33516.3</v>
      </c>
      <c r="F88" s="171">
        <v>12882.8</v>
      </c>
      <c r="G88" s="171">
        <f>20394.2+239.3</f>
        <v>20633.5</v>
      </c>
      <c r="H88" s="164">
        <v>16819</v>
      </c>
      <c r="I88" s="164">
        <v>13185.1</v>
      </c>
      <c r="J88" s="165">
        <v>19465.5</v>
      </c>
      <c r="K88" s="160" t="e">
        <f>J88/#REF!*100</f>
        <v>#REF!</v>
      </c>
      <c r="L88" s="160">
        <f>J88/H88*100</f>
        <v>115.73518045068079</v>
      </c>
      <c r="M88" s="162"/>
      <c r="N88" s="162"/>
      <c r="O88" s="164">
        <f t="shared" si="30"/>
        <v>147.6325549294279</v>
      </c>
      <c r="P88" s="160">
        <f t="shared" si="27"/>
        <v>58.07771144189543</v>
      </c>
      <c r="Q88" s="165">
        <f t="shared" si="28"/>
        <v>30.64448586595802</v>
      </c>
    </row>
    <row r="89" spans="1:17" ht="12.75">
      <c r="A89" s="120" t="s">
        <v>253</v>
      </c>
      <c r="B89" s="120"/>
      <c r="C89" s="122" t="s">
        <v>254</v>
      </c>
      <c r="D89" s="163">
        <f>F89+G89+H89+I89</f>
        <v>0</v>
      </c>
      <c r="E89" s="163">
        <f>F89</f>
        <v>0</v>
      </c>
      <c r="F89" s="176"/>
      <c r="G89" s="176"/>
      <c r="H89" s="164"/>
      <c r="I89" s="164"/>
      <c r="J89" s="165">
        <v>200</v>
      </c>
      <c r="K89" s="160" t="e">
        <f>J89/#REF!*100</f>
        <v>#REF!</v>
      </c>
      <c r="L89" s="160"/>
      <c r="M89" s="162"/>
      <c r="N89" s="162"/>
      <c r="O89" s="164" t="e">
        <f t="shared" si="30"/>
        <v>#DIV/0!</v>
      </c>
      <c r="P89" s="160"/>
      <c r="Q89" s="165"/>
    </row>
    <row r="90" spans="1:17" ht="12.75">
      <c r="A90" s="110"/>
      <c r="B90" s="126"/>
      <c r="C90" s="127" t="s">
        <v>259</v>
      </c>
      <c r="D90" s="129">
        <f aca="true" t="shared" si="33" ref="D90:J90">D87+D76</f>
        <v>86877.9</v>
      </c>
      <c r="E90" s="129">
        <f t="shared" si="33"/>
        <v>44342.5</v>
      </c>
      <c r="F90" s="129">
        <f t="shared" si="33"/>
        <v>17562</v>
      </c>
      <c r="G90" s="129">
        <f t="shared" si="33"/>
        <v>26780.5</v>
      </c>
      <c r="H90" s="129">
        <f t="shared" si="33"/>
        <v>22126.9</v>
      </c>
      <c r="I90" s="129">
        <f t="shared" si="33"/>
        <v>20408.5</v>
      </c>
      <c r="J90" s="129">
        <f t="shared" si="33"/>
        <v>27846.800000000003</v>
      </c>
      <c r="K90" s="128" t="e">
        <f>J90/#REF!*100</f>
        <v>#REF!</v>
      </c>
      <c r="L90" s="128">
        <f>J90/H90*100</f>
        <v>125.85043544283204</v>
      </c>
      <c r="M90" s="162"/>
      <c r="N90" s="169" t="e">
        <f>I90+#REF!+#REF!</f>
        <v>#REF!</v>
      </c>
      <c r="O90" s="157">
        <f t="shared" si="30"/>
        <v>136.44706862336773</v>
      </c>
      <c r="P90" s="128">
        <f t="shared" si="27"/>
        <v>62.79934599988725</v>
      </c>
      <c r="Q90" s="129">
        <f t="shared" si="28"/>
        <v>32.052800539607894</v>
      </c>
    </row>
    <row r="91" spans="1:17" ht="12.75">
      <c r="A91" s="210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2"/>
      <c r="M91" s="162"/>
      <c r="N91" s="162"/>
      <c r="O91" s="170"/>
      <c r="P91" s="128"/>
      <c r="Q91" s="129"/>
    </row>
    <row r="92" spans="1:17" ht="12.75">
      <c r="A92" s="219" t="s">
        <v>266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128"/>
      <c r="Q92" s="129"/>
    </row>
    <row r="93" spans="1:17" ht="12.75">
      <c r="A93" s="108" t="s">
        <v>221</v>
      </c>
      <c r="B93" s="108"/>
      <c r="C93" s="109" t="s">
        <v>222</v>
      </c>
      <c r="D93" s="128">
        <f>D94+D96+D100+D97+D98+D101+D99+D95</f>
        <v>3333</v>
      </c>
      <c r="E93" s="128">
        <f aca="true" t="shared" si="34" ref="E93:J93">E94+E96+E100+E97+E98+E101+E99+E95</f>
        <v>1663.1</v>
      </c>
      <c r="F93" s="128">
        <f t="shared" si="34"/>
        <v>828.5000000000001</v>
      </c>
      <c r="G93" s="128">
        <f t="shared" si="34"/>
        <v>834.5999999999999</v>
      </c>
      <c r="H93" s="128">
        <f t="shared" si="34"/>
        <v>834.3000000000001</v>
      </c>
      <c r="I93" s="128">
        <f t="shared" si="34"/>
        <v>835.5999999999999</v>
      </c>
      <c r="J93" s="128">
        <f t="shared" si="34"/>
        <v>924.5000000000002</v>
      </c>
      <c r="K93" s="128">
        <f>K94+K96+K100+K97+K98+K101+K99+K95+K95</f>
        <v>0</v>
      </c>
      <c r="L93" s="128" t="e">
        <f>L94+L96+L100+L97+L98+L101+L99+L95+L95</f>
        <v>#DIV/0!</v>
      </c>
      <c r="M93" s="128">
        <f>M94+M96+M100+M97+M98+M101+M99+M95+M95</f>
        <v>0</v>
      </c>
      <c r="N93" s="128">
        <f>N94+N96+N100+N97+N98+N101+N99+N95+N95</f>
        <v>0</v>
      </c>
      <c r="O93" s="128" t="e">
        <f>O94+O96+O100+O97+O98+O101+O99+O95+O95</f>
        <v>#DIV/0!</v>
      </c>
      <c r="P93" s="128">
        <f t="shared" si="27"/>
        <v>55.58896037520295</v>
      </c>
      <c r="Q93" s="129">
        <f t="shared" si="28"/>
        <v>27.737773777377747</v>
      </c>
    </row>
    <row r="94" spans="1:17" ht="12.75">
      <c r="A94" s="110" t="s">
        <v>223</v>
      </c>
      <c r="B94" s="110"/>
      <c r="C94" s="111" t="s">
        <v>224</v>
      </c>
      <c r="D94" s="163">
        <f>F94+G94+H94+I94</f>
        <v>3255</v>
      </c>
      <c r="E94" s="159">
        <f aca="true" t="shared" si="35" ref="E94:E103">F94+G94</f>
        <v>1627.5</v>
      </c>
      <c r="F94" s="171">
        <v>813.7</v>
      </c>
      <c r="G94" s="171">
        <v>813.8</v>
      </c>
      <c r="H94" s="164">
        <v>813.7</v>
      </c>
      <c r="I94" s="165">
        <v>813.8</v>
      </c>
      <c r="J94" s="165">
        <v>903</v>
      </c>
      <c r="K94" s="160"/>
      <c r="L94" s="160">
        <f>J94/H94*100</f>
        <v>110.9745606488878</v>
      </c>
      <c r="M94" s="169"/>
      <c r="N94" s="162"/>
      <c r="O94" s="164">
        <f t="shared" si="30"/>
        <v>110.9609240599656</v>
      </c>
      <c r="P94" s="160">
        <f t="shared" si="27"/>
        <v>55.483870967741936</v>
      </c>
      <c r="Q94" s="165">
        <f t="shared" si="28"/>
        <v>27.741935483870968</v>
      </c>
    </row>
    <row r="95" spans="1:17" ht="12.75">
      <c r="A95" s="112" t="s">
        <v>227</v>
      </c>
      <c r="B95" s="112"/>
      <c r="C95" s="111" t="s">
        <v>228</v>
      </c>
      <c r="D95" s="163"/>
      <c r="E95" s="159">
        <f t="shared" si="35"/>
        <v>0</v>
      </c>
      <c r="F95" s="171"/>
      <c r="G95" s="171"/>
      <c r="H95" s="164"/>
      <c r="I95" s="165"/>
      <c r="J95" s="165">
        <v>3.7</v>
      </c>
      <c r="K95" s="160"/>
      <c r="L95" s="160"/>
      <c r="M95" s="169"/>
      <c r="N95" s="162"/>
      <c r="O95" s="164"/>
      <c r="P95" s="160"/>
      <c r="Q95" s="165"/>
    </row>
    <row r="96" spans="1:17" ht="12.75">
      <c r="A96" s="112" t="s">
        <v>229</v>
      </c>
      <c r="B96" s="112"/>
      <c r="C96" s="111" t="s">
        <v>230</v>
      </c>
      <c r="D96" s="163">
        <f aca="true" t="shared" si="36" ref="D96:D104">F96+G96+H96+I96</f>
        <v>40</v>
      </c>
      <c r="E96" s="159">
        <f t="shared" si="35"/>
        <v>18.1</v>
      </c>
      <c r="F96" s="171">
        <v>7.1</v>
      </c>
      <c r="G96" s="171">
        <v>11</v>
      </c>
      <c r="H96" s="164">
        <v>10.9</v>
      </c>
      <c r="I96" s="165">
        <v>11</v>
      </c>
      <c r="J96" s="165">
        <v>-4.8</v>
      </c>
      <c r="K96" s="160"/>
      <c r="L96" s="160">
        <f aca="true" t="shared" si="37" ref="L96:L103">J96/H96*100</f>
        <v>-44.03669724770642</v>
      </c>
      <c r="M96" s="169"/>
      <c r="N96" s="162"/>
      <c r="O96" s="164">
        <f t="shared" si="30"/>
        <v>-43.63636363636363</v>
      </c>
      <c r="P96" s="160">
        <f t="shared" si="27"/>
        <v>-26.519337016574582</v>
      </c>
      <c r="Q96" s="165">
        <f t="shared" si="28"/>
        <v>-12</v>
      </c>
    </row>
    <row r="97" spans="1:17" ht="12.75">
      <c r="A97" s="112" t="s">
        <v>231</v>
      </c>
      <c r="B97" s="112"/>
      <c r="C97" s="111" t="s">
        <v>232</v>
      </c>
      <c r="D97" s="163">
        <f t="shared" si="36"/>
        <v>10</v>
      </c>
      <c r="E97" s="159">
        <f t="shared" si="35"/>
        <v>4</v>
      </c>
      <c r="F97" s="171">
        <v>1</v>
      </c>
      <c r="G97" s="171">
        <v>3</v>
      </c>
      <c r="H97" s="164">
        <v>3</v>
      </c>
      <c r="I97" s="165">
        <v>3</v>
      </c>
      <c r="J97" s="165">
        <v>4.7</v>
      </c>
      <c r="K97" s="160"/>
      <c r="L97" s="160">
        <f t="shared" si="37"/>
        <v>156.66666666666666</v>
      </c>
      <c r="M97" s="162"/>
      <c r="N97" s="162"/>
      <c r="O97" s="164">
        <f t="shared" si="30"/>
        <v>156.66666666666666</v>
      </c>
      <c r="P97" s="160">
        <f t="shared" si="27"/>
        <v>117.5</v>
      </c>
      <c r="Q97" s="165">
        <f t="shared" si="28"/>
        <v>47</v>
      </c>
    </row>
    <row r="98" spans="1:17" ht="24">
      <c r="A98" s="113" t="s">
        <v>235</v>
      </c>
      <c r="B98" s="113"/>
      <c r="C98" s="111" t="s">
        <v>236</v>
      </c>
      <c r="D98" s="163"/>
      <c r="E98" s="159">
        <f t="shared" si="35"/>
        <v>0</v>
      </c>
      <c r="F98" s="171"/>
      <c r="G98" s="171"/>
      <c r="H98" s="164"/>
      <c r="I98" s="165"/>
      <c r="J98" s="165">
        <v>1.7</v>
      </c>
      <c r="K98" s="160"/>
      <c r="L98" s="160" t="e">
        <f t="shared" si="37"/>
        <v>#DIV/0!</v>
      </c>
      <c r="M98" s="162"/>
      <c r="N98" s="162"/>
      <c r="O98" s="164" t="e">
        <f t="shared" si="30"/>
        <v>#DIV/0!</v>
      </c>
      <c r="P98" s="160"/>
      <c r="Q98" s="165"/>
    </row>
    <row r="99" spans="1:17" ht="24">
      <c r="A99" s="115" t="s">
        <v>239</v>
      </c>
      <c r="B99" s="115"/>
      <c r="C99" s="111" t="s">
        <v>240</v>
      </c>
      <c r="D99" s="163">
        <f t="shared" si="36"/>
        <v>27</v>
      </c>
      <c r="E99" s="159">
        <f t="shared" si="35"/>
        <v>13.5</v>
      </c>
      <c r="F99" s="171">
        <v>6.7</v>
      </c>
      <c r="G99" s="171">
        <v>6.8</v>
      </c>
      <c r="H99" s="164">
        <v>6.7</v>
      </c>
      <c r="I99" s="165">
        <v>6.8</v>
      </c>
      <c r="J99" s="165">
        <v>14.2</v>
      </c>
      <c r="K99" s="160"/>
      <c r="L99" s="160">
        <f t="shared" si="37"/>
        <v>211.94029850746267</v>
      </c>
      <c r="M99" s="162"/>
      <c r="N99" s="162"/>
      <c r="O99" s="164">
        <f t="shared" si="30"/>
        <v>208.82352941176472</v>
      </c>
      <c r="P99" s="160">
        <f t="shared" si="27"/>
        <v>105.18518518518519</v>
      </c>
      <c r="Q99" s="165">
        <f t="shared" si="28"/>
        <v>52.592592592592595</v>
      </c>
    </row>
    <row r="100" spans="1:17" ht="24">
      <c r="A100" s="115" t="s">
        <v>241</v>
      </c>
      <c r="B100" s="115"/>
      <c r="C100" s="111" t="s">
        <v>242</v>
      </c>
      <c r="D100" s="163">
        <f t="shared" si="36"/>
        <v>1</v>
      </c>
      <c r="E100" s="159">
        <f t="shared" si="35"/>
        <v>0</v>
      </c>
      <c r="F100" s="171"/>
      <c r="G100" s="171"/>
      <c r="H100" s="164"/>
      <c r="I100" s="165">
        <v>1</v>
      </c>
      <c r="J100" s="165"/>
      <c r="K100" s="160"/>
      <c r="L100" s="160" t="e">
        <f t="shared" si="37"/>
        <v>#DIV/0!</v>
      </c>
      <c r="M100" s="162"/>
      <c r="N100" s="162"/>
      <c r="O100" s="164">
        <f t="shared" si="30"/>
        <v>0</v>
      </c>
      <c r="P100" s="160"/>
      <c r="Q100" s="165">
        <f t="shared" si="28"/>
        <v>0</v>
      </c>
    </row>
    <row r="101" spans="1:17" ht="12.75">
      <c r="A101" s="115" t="s">
        <v>247</v>
      </c>
      <c r="B101" s="138"/>
      <c r="C101" s="118" t="s">
        <v>248</v>
      </c>
      <c r="D101" s="163">
        <f t="shared" si="36"/>
        <v>0</v>
      </c>
      <c r="E101" s="159">
        <f t="shared" si="35"/>
        <v>0</v>
      </c>
      <c r="F101" s="171"/>
      <c r="G101" s="171"/>
      <c r="H101" s="164"/>
      <c r="I101" s="165"/>
      <c r="J101" s="165">
        <v>2</v>
      </c>
      <c r="K101" s="128"/>
      <c r="L101" s="160" t="e">
        <f t="shared" si="37"/>
        <v>#DIV/0!</v>
      </c>
      <c r="M101" s="162"/>
      <c r="N101" s="162"/>
      <c r="O101" s="164" t="e">
        <f t="shared" si="30"/>
        <v>#DIV/0!</v>
      </c>
      <c r="P101" s="128"/>
      <c r="Q101" s="129"/>
    </row>
    <row r="102" spans="1:17" ht="12.75">
      <c r="A102" s="134" t="s">
        <v>249</v>
      </c>
      <c r="B102" s="134"/>
      <c r="C102" s="119" t="s">
        <v>250</v>
      </c>
      <c r="D102" s="166">
        <f aca="true" t="shared" si="38" ref="D102:K102">D103+D104</f>
        <v>20105.2</v>
      </c>
      <c r="E102" s="166">
        <f t="shared" si="38"/>
        <v>10454.900000000001</v>
      </c>
      <c r="F102" s="166">
        <f t="shared" si="38"/>
        <v>5280</v>
      </c>
      <c r="G102" s="166">
        <f t="shared" si="38"/>
        <v>5174.900000000001</v>
      </c>
      <c r="H102" s="166">
        <f t="shared" si="38"/>
        <v>4825.1</v>
      </c>
      <c r="I102" s="166">
        <f t="shared" si="38"/>
        <v>4825.2</v>
      </c>
      <c r="J102" s="166">
        <f t="shared" si="38"/>
        <v>7725.8</v>
      </c>
      <c r="K102" s="166">
        <f t="shared" si="38"/>
        <v>0</v>
      </c>
      <c r="L102" s="128">
        <f>J102/H102*100</f>
        <v>160.11688876914468</v>
      </c>
      <c r="M102" s="162"/>
      <c r="N102" s="162"/>
      <c r="O102" s="157">
        <f t="shared" si="30"/>
        <v>160.11357042195144</v>
      </c>
      <c r="P102" s="128">
        <f t="shared" si="27"/>
        <v>73.89645046820151</v>
      </c>
      <c r="Q102" s="129">
        <f t="shared" si="28"/>
        <v>38.42687463939677</v>
      </c>
    </row>
    <row r="103" spans="1:17" ht="24">
      <c r="A103" s="120" t="s">
        <v>251</v>
      </c>
      <c r="B103" s="112"/>
      <c r="C103" s="121" t="s">
        <v>252</v>
      </c>
      <c r="D103" s="163">
        <f t="shared" si="36"/>
        <v>20105.2</v>
      </c>
      <c r="E103" s="159">
        <f t="shared" si="35"/>
        <v>10454.900000000001</v>
      </c>
      <c r="F103" s="171">
        <f>5015.2+157.5+107.3</f>
        <v>5280</v>
      </c>
      <c r="G103" s="171">
        <f>4825.1+349.8</f>
        <v>5174.900000000001</v>
      </c>
      <c r="H103" s="164">
        <v>4825.1</v>
      </c>
      <c r="I103" s="165">
        <v>4825.2</v>
      </c>
      <c r="J103" s="165">
        <v>7725.8</v>
      </c>
      <c r="K103" s="160"/>
      <c r="L103" s="160">
        <f t="shared" si="37"/>
        <v>160.11688876914468</v>
      </c>
      <c r="M103" s="162"/>
      <c r="N103" s="162"/>
      <c r="O103" s="164">
        <f t="shared" si="30"/>
        <v>160.11357042195144</v>
      </c>
      <c r="P103" s="160">
        <f t="shared" si="27"/>
        <v>73.89645046820151</v>
      </c>
      <c r="Q103" s="165">
        <f t="shared" si="28"/>
        <v>38.42687463939677</v>
      </c>
    </row>
    <row r="104" spans="1:17" ht="12.75">
      <c r="A104" s="120" t="s">
        <v>253</v>
      </c>
      <c r="B104" s="120"/>
      <c r="C104" s="122" t="s">
        <v>254</v>
      </c>
      <c r="D104" s="163">
        <f t="shared" si="36"/>
        <v>0</v>
      </c>
      <c r="E104" s="163">
        <f>F104+G104</f>
        <v>0</v>
      </c>
      <c r="F104" s="176"/>
      <c r="G104" s="176"/>
      <c r="H104" s="164"/>
      <c r="I104" s="165"/>
      <c r="J104" s="165"/>
      <c r="K104" s="160"/>
      <c r="L104" s="160"/>
      <c r="M104" s="162"/>
      <c r="N104" s="162"/>
      <c r="O104" s="164" t="e">
        <f t="shared" si="30"/>
        <v>#DIV/0!</v>
      </c>
      <c r="P104" s="128"/>
      <c r="Q104" s="129"/>
    </row>
    <row r="105" spans="1:17" ht="12.75">
      <c r="A105" s="110"/>
      <c r="B105" s="126"/>
      <c r="C105" s="127" t="s">
        <v>259</v>
      </c>
      <c r="D105" s="129">
        <f aca="true" t="shared" si="39" ref="D105:K105">D102+D93</f>
        <v>23438.2</v>
      </c>
      <c r="E105" s="157">
        <f t="shared" si="39"/>
        <v>12118.000000000002</v>
      </c>
      <c r="F105" s="157">
        <f t="shared" si="39"/>
        <v>6108.5</v>
      </c>
      <c r="G105" s="157">
        <f>G102+G93</f>
        <v>6009.5</v>
      </c>
      <c r="H105" s="129">
        <f t="shared" si="39"/>
        <v>5659.400000000001</v>
      </c>
      <c r="I105" s="129">
        <f t="shared" si="39"/>
        <v>5660.799999999999</v>
      </c>
      <c r="J105" s="129">
        <f t="shared" si="39"/>
        <v>8650.300000000001</v>
      </c>
      <c r="K105" s="129">
        <f t="shared" si="39"/>
        <v>0</v>
      </c>
      <c r="L105" s="128">
        <f>J105/H105*100</f>
        <v>152.84835848323144</v>
      </c>
      <c r="M105" s="162"/>
      <c r="N105" s="169" t="e">
        <f>I105+#REF!+#REF!</f>
        <v>#REF!</v>
      </c>
      <c r="O105" s="157">
        <f t="shared" si="30"/>
        <v>152.8105568117581</v>
      </c>
      <c r="P105" s="128">
        <f t="shared" si="27"/>
        <v>71.3838917313088</v>
      </c>
      <c r="Q105" s="129">
        <f t="shared" si="28"/>
        <v>36.90684438224779</v>
      </c>
    </row>
    <row r="106" spans="1:17" ht="12.75">
      <c r="A106" s="210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2"/>
      <c r="M106" s="162"/>
      <c r="N106" s="162"/>
      <c r="O106" s="170"/>
      <c r="P106" s="128"/>
      <c r="Q106" s="129"/>
    </row>
    <row r="107" spans="1:17" ht="12.75">
      <c r="A107" s="219" t="s">
        <v>267</v>
      </c>
      <c r="B107" s="219"/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128"/>
      <c r="Q107" s="129"/>
    </row>
    <row r="108" spans="1:17" ht="12.75">
      <c r="A108" s="108" t="s">
        <v>221</v>
      </c>
      <c r="B108" s="108"/>
      <c r="C108" s="109" t="s">
        <v>222</v>
      </c>
      <c r="D108" s="128">
        <f>D109+D111+D115+D112+D113+D116+D114+D117+D110</f>
        <v>1573.1</v>
      </c>
      <c r="E108" s="128">
        <f aca="true" t="shared" si="40" ref="E108:J108">E109+E111+E115+E112+E113+E116+E114+E117+E110</f>
        <v>684.8</v>
      </c>
      <c r="F108" s="128">
        <f t="shared" si="40"/>
        <v>306.6</v>
      </c>
      <c r="G108" s="128">
        <f t="shared" si="40"/>
        <v>378.2</v>
      </c>
      <c r="H108" s="128">
        <f t="shared" si="40"/>
        <v>367.1</v>
      </c>
      <c r="I108" s="128">
        <f t="shared" si="40"/>
        <v>521.2</v>
      </c>
      <c r="J108" s="128">
        <f t="shared" si="40"/>
        <v>1198.6000000000001</v>
      </c>
      <c r="K108" s="128" t="e">
        <f>J108/#REF!*100</f>
        <v>#REF!</v>
      </c>
      <c r="L108" s="128">
        <f aca="true" t="shared" si="41" ref="L108:L115">J108/H108*100</f>
        <v>326.5050394987742</v>
      </c>
      <c r="M108" s="162"/>
      <c r="N108" s="162"/>
      <c r="O108" s="128">
        <f t="shared" si="30"/>
        <v>229.9693016116654</v>
      </c>
      <c r="P108" s="128">
        <f t="shared" si="27"/>
        <v>175.02920560747665</v>
      </c>
      <c r="Q108" s="129">
        <f t="shared" si="28"/>
        <v>76.19350327379061</v>
      </c>
    </row>
    <row r="109" spans="1:17" ht="12.75">
      <c r="A109" s="110" t="s">
        <v>223</v>
      </c>
      <c r="B109" s="110"/>
      <c r="C109" s="111" t="s">
        <v>224</v>
      </c>
      <c r="D109" s="163">
        <f>F109+G109+H109+I109</f>
        <v>1260</v>
      </c>
      <c r="E109" s="159">
        <f aca="true" t="shared" si="42" ref="E109:E119">F109+G109</f>
        <v>520.4</v>
      </c>
      <c r="F109" s="163">
        <v>235.4</v>
      </c>
      <c r="G109" s="163">
        <v>285</v>
      </c>
      <c r="H109" s="165">
        <v>292.7</v>
      </c>
      <c r="I109" s="165">
        <v>446.9</v>
      </c>
      <c r="J109" s="165">
        <v>1158.4</v>
      </c>
      <c r="K109" s="160" t="e">
        <f>J109/#REF!*100</f>
        <v>#REF!</v>
      </c>
      <c r="L109" s="160">
        <f t="shared" si="41"/>
        <v>395.76358045780665</v>
      </c>
      <c r="M109" s="162"/>
      <c r="N109" s="162"/>
      <c r="O109" s="164">
        <f t="shared" si="30"/>
        <v>259.2078764824346</v>
      </c>
      <c r="P109" s="160">
        <f t="shared" si="27"/>
        <v>222.59800153727906</v>
      </c>
      <c r="Q109" s="165">
        <f t="shared" si="28"/>
        <v>91.93650793650795</v>
      </c>
    </row>
    <row r="110" spans="1:17" ht="12.75">
      <c r="A110" s="112" t="s">
        <v>227</v>
      </c>
      <c r="B110" s="112"/>
      <c r="C110" s="111" t="s">
        <v>228</v>
      </c>
      <c r="D110" s="163">
        <f>F110+G110+H110+I110</f>
        <v>0</v>
      </c>
      <c r="E110" s="159">
        <f t="shared" si="42"/>
        <v>0</v>
      </c>
      <c r="F110" s="163"/>
      <c r="G110" s="163"/>
      <c r="H110" s="165"/>
      <c r="I110" s="165"/>
      <c r="J110" s="165"/>
      <c r="K110" s="160"/>
      <c r="L110" s="160"/>
      <c r="M110" s="162"/>
      <c r="N110" s="162"/>
      <c r="O110" s="164"/>
      <c r="P110" s="160"/>
      <c r="Q110" s="165"/>
    </row>
    <row r="111" spans="1:17" ht="12.75">
      <c r="A111" s="112" t="s">
        <v>229</v>
      </c>
      <c r="B111" s="112"/>
      <c r="C111" s="111" t="s">
        <v>230</v>
      </c>
      <c r="D111" s="163">
        <f aca="true" t="shared" si="43" ref="D111:D119">F111+G111+H111+I111</f>
        <v>63</v>
      </c>
      <c r="E111" s="159">
        <f t="shared" si="42"/>
        <v>39</v>
      </c>
      <c r="F111" s="163">
        <v>9</v>
      </c>
      <c r="G111" s="163">
        <v>30</v>
      </c>
      <c r="H111" s="165">
        <v>12</v>
      </c>
      <c r="I111" s="165">
        <v>12</v>
      </c>
      <c r="J111" s="165">
        <v>5.1</v>
      </c>
      <c r="K111" s="160" t="e">
        <f>J111/#REF!*100</f>
        <v>#REF!</v>
      </c>
      <c r="L111" s="160">
        <f t="shared" si="41"/>
        <v>42.5</v>
      </c>
      <c r="M111" s="162"/>
      <c r="N111" s="162"/>
      <c r="O111" s="164">
        <f t="shared" si="30"/>
        <v>42.49999999999999</v>
      </c>
      <c r="P111" s="160">
        <f t="shared" si="27"/>
        <v>13.076923076923075</v>
      </c>
      <c r="Q111" s="165">
        <f t="shared" si="28"/>
        <v>8.095238095238095</v>
      </c>
    </row>
    <row r="112" spans="1:17" ht="12.75">
      <c r="A112" s="112" t="s">
        <v>231</v>
      </c>
      <c r="B112" s="112"/>
      <c r="C112" s="111" t="s">
        <v>232</v>
      </c>
      <c r="D112" s="163">
        <f t="shared" si="43"/>
        <v>31</v>
      </c>
      <c r="E112" s="159">
        <f t="shared" si="42"/>
        <v>15.9</v>
      </c>
      <c r="F112" s="163">
        <v>7.5</v>
      </c>
      <c r="G112" s="163">
        <v>8.4</v>
      </c>
      <c r="H112" s="165">
        <v>7.6</v>
      </c>
      <c r="I112" s="165">
        <v>7.5</v>
      </c>
      <c r="J112" s="165">
        <v>14.2</v>
      </c>
      <c r="K112" s="160" t="e">
        <f>J112/#REF!*100</f>
        <v>#REF!</v>
      </c>
      <c r="L112" s="160">
        <f t="shared" si="41"/>
        <v>186.8421052631579</v>
      </c>
      <c r="M112" s="162"/>
      <c r="N112" s="162"/>
      <c r="O112" s="164">
        <f t="shared" si="30"/>
        <v>189.33333333333334</v>
      </c>
      <c r="P112" s="160">
        <f t="shared" si="27"/>
        <v>89.30817610062893</v>
      </c>
      <c r="Q112" s="165">
        <f t="shared" si="28"/>
        <v>45.806451612903224</v>
      </c>
    </row>
    <row r="113" spans="1:17" ht="24">
      <c r="A113" s="113" t="s">
        <v>235</v>
      </c>
      <c r="B113" s="113"/>
      <c r="C113" s="111" t="s">
        <v>236</v>
      </c>
      <c r="D113" s="163">
        <f t="shared" si="43"/>
        <v>129.1</v>
      </c>
      <c r="E113" s="159">
        <f t="shared" si="42"/>
        <v>64.5</v>
      </c>
      <c r="F113" s="163">
        <v>32.2</v>
      </c>
      <c r="G113" s="163">
        <v>32.3</v>
      </c>
      <c r="H113" s="165">
        <v>32.3</v>
      </c>
      <c r="I113" s="165">
        <v>32.3</v>
      </c>
      <c r="J113" s="165">
        <v>20.9</v>
      </c>
      <c r="K113" s="160" t="e">
        <f>J113/#REF!*100</f>
        <v>#REF!</v>
      </c>
      <c r="L113" s="160">
        <f t="shared" si="41"/>
        <v>64.70588235294117</v>
      </c>
      <c r="M113" s="162"/>
      <c r="N113" s="162"/>
      <c r="O113" s="164">
        <f t="shared" si="30"/>
        <v>64.70588235294119</v>
      </c>
      <c r="P113" s="160">
        <f t="shared" si="27"/>
        <v>32.4031007751938</v>
      </c>
      <c r="Q113" s="165">
        <f t="shared" si="28"/>
        <v>16.18900077459334</v>
      </c>
    </row>
    <row r="114" spans="1:17" ht="24">
      <c r="A114" s="115" t="s">
        <v>239</v>
      </c>
      <c r="B114" s="115"/>
      <c r="C114" s="111" t="s">
        <v>240</v>
      </c>
      <c r="D114" s="163">
        <f t="shared" si="43"/>
        <v>90</v>
      </c>
      <c r="E114" s="159">
        <f t="shared" si="42"/>
        <v>45</v>
      </c>
      <c r="F114" s="163">
        <v>22.5</v>
      </c>
      <c r="G114" s="163">
        <v>22.5</v>
      </c>
      <c r="H114" s="165">
        <v>22.5</v>
      </c>
      <c r="I114" s="165">
        <v>22.5</v>
      </c>
      <c r="J114" s="165"/>
      <c r="K114" s="160" t="e">
        <f>J114/#REF!*100</f>
        <v>#REF!</v>
      </c>
      <c r="L114" s="160">
        <f t="shared" si="41"/>
        <v>0</v>
      </c>
      <c r="M114" s="162"/>
      <c r="N114" s="162"/>
      <c r="O114" s="164">
        <f t="shared" si="30"/>
        <v>0</v>
      </c>
      <c r="P114" s="160">
        <f t="shared" si="27"/>
        <v>0</v>
      </c>
      <c r="Q114" s="165">
        <f t="shared" si="28"/>
        <v>0</v>
      </c>
    </row>
    <row r="115" spans="1:17" ht="24">
      <c r="A115" s="114" t="s">
        <v>241</v>
      </c>
      <c r="B115" s="114"/>
      <c r="C115" s="111" t="s">
        <v>242</v>
      </c>
      <c r="D115" s="163">
        <f t="shared" si="43"/>
        <v>0</v>
      </c>
      <c r="E115" s="159">
        <f t="shared" si="42"/>
        <v>0</v>
      </c>
      <c r="F115" s="163"/>
      <c r="G115" s="163"/>
      <c r="H115" s="165"/>
      <c r="I115" s="165"/>
      <c r="J115" s="165"/>
      <c r="K115" s="160" t="e">
        <f>J115/#REF!*100</f>
        <v>#REF!</v>
      </c>
      <c r="L115" s="160" t="e">
        <f t="shared" si="41"/>
        <v>#DIV/0!</v>
      </c>
      <c r="M115" s="162"/>
      <c r="N115" s="162"/>
      <c r="O115" s="164" t="e">
        <f t="shared" si="30"/>
        <v>#DIV/0!</v>
      </c>
      <c r="P115" s="160"/>
      <c r="Q115" s="165"/>
    </row>
    <row r="116" spans="1:17" ht="12.75">
      <c r="A116" s="110" t="s">
        <v>245</v>
      </c>
      <c r="B116" s="110"/>
      <c r="C116" s="111" t="s">
        <v>246</v>
      </c>
      <c r="D116" s="163">
        <f t="shared" si="43"/>
        <v>0</v>
      </c>
      <c r="E116" s="159">
        <f t="shared" si="42"/>
        <v>0</v>
      </c>
      <c r="F116" s="163"/>
      <c r="G116" s="163"/>
      <c r="H116" s="165"/>
      <c r="I116" s="165"/>
      <c r="J116" s="165"/>
      <c r="K116" s="160"/>
      <c r="L116" s="160"/>
      <c r="M116" s="162"/>
      <c r="N116" s="162"/>
      <c r="O116" s="164" t="e">
        <f t="shared" si="30"/>
        <v>#DIV/0!</v>
      </c>
      <c r="P116" s="128" t="e">
        <f t="shared" si="27"/>
        <v>#DIV/0!</v>
      </c>
      <c r="Q116" s="129" t="e">
        <f t="shared" si="28"/>
        <v>#DIV/0!</v>
      </c>
    </row>
    <row r="117" spans="1:17" ht="12.75">
      <c r="A117" s="114" t="s">
        <v>247</v>
      </c>
      <c r="B117" s="138"/>
      <c r="C117" s="118" t="s">
        <v>248</v>
      </c>
      <c r="D117" s="163">
        <f t="shared" si="43"/>
        <v>0</v>
      </c>
      <c r="E117" s="159">
        <f t="shared" si="42"/>
        <v>0</v>
      </c>
      <c r="F117" s="163"/>
      <c r="G117" s="163"/>
      <c r="H117" s="165"/>
      <c r="I117" s="165"/>
      <c r="J117" s="165"/>
      <c r="K117" s="160"/>
      <c r="L117" s="160"/>
      <c r="M117" s="162"/>
      <c r="N117" s="162"/>
      <c r="O117" s="164" t="e">
        <f t="shared" si="30"/>
        <v>#DIV/0!</v>
      </c>
      <c r="P117" s="128"/>
      <c r="Q117" s="129"/>
    </row>
    <row r="118" spans="1:17" ht="12.75">
      <c r="A118" s="108" t="s">
        <v>249</v>
      </c>
      <c r="B118" s="108"/>
      <c r="C118" s="119" t="s">
        <v>250</v>
      </c>
      <c r="D118" s="166">
        <f aca="true" t="shared" si="44" ref="D118:K118">D119</f>
        <v>25812.5</v>
      </c>
      <c r="E118" s="177">
        <f t="shared" si="44"/>
        <v>11980.8</v>
      </c>
      <c r="F118" s="177">
        <f t="shared" si="44"/>
        <v>4130.1</v>
      </c>
      <c r="G118" s="177">
        <f t="shared" si="44"/>
        <v>7850.7</v>
      </c>
      <c r="H118" s="177">
        <f t="shared" si="44"/>
        <v>7725.2</v>
      </c>
      <c r="I118" s="166">
        <f t="shared" si="44"/>
        <v>6106.5</v>
      </c>
      <c r="J118" s="166">
        <f t="shared" si="44"/>
        <v>6497.4</v>
      </c>
      <c r="K118" s="166" t="e">
        <f t="shared" si="44"/>
        <v>#REF!</v>
      </c>
      <c r="L118" s="128">
        <f>J118/H118*100</f>
        <v>84.10656034795215</v>
      </c>
      <c r="M118" s="162"/>
      <c r="N118" s="162"/>
      <c r="O118" s="157">
        <f t="shared" si="30"/>
        <v>106.40137558339474</v>
      </c>
      <c r="P118" s="128">
        <f t="shared" si="27"/>
        <v>54.231770833333336</v>
      </c>
      <c r="Q118" s="129">
        <f t="shared" si="28"/>
        <v>25.171525423728813</v>
      </c>
    </row>
    <row r="119" spans="1:17" ht="24">
      <c r="A119" s="120" t="s">
        <v>251</v>
      </c>
      <c r="B119" s="112"/>
      <c r="C119" s="121" t="s">
        <v>252</v>
      </c>
      <c r="D119" s="163">
        <f t="shared" si="43"/>
        <v>25812.5</v>
      </c>
      <c r="E119" s="159">
        <f t="shared" si="42"/>
        <v>11980.8</v>
      </c>
      <c r="F119" s="163">
        <f>3823.7+27.9+278.5</f>
        <v>4130.1</v>
      </c>
      <c r="G119" s="163">
        <f>7079.4+700+71.3</f>
        <v>7850.7</v>
      </c>
      <c r="H119" s="165">
        <v>7725.2</v>
      </c>
      <c r="I119" s="165">
        <v>6106.5</v>
      </c>
      <c r="J119" s="165">
        <v>6497.4</v>
      </c>
      <c r="K119" s="160" t="e">
        <f>J119/#REF!*100</f>
        <v>#REF!</v>
      </c>
      <c r="L119" s="160">
        <f>J119/H119*100</f>
        <v>84.10656034795215</v>
      </c>
      <c r="M119" s="162"/>
      <c r="N119" s="162"/>
      <c r="O119" s="164">
        <f t="shared" si="30"/>
        <v>106.40137558339474</v>
      </c>
      <c r="P119" s="160">
        <f t="shared" si="27"/>
        <v>54.231770833333336</v>
      </c>
      <c r="Q119" s="165">
        <f t="shared" si="28"/>
        <v>25.171525423728813</v>
      </c>
    </row>
    <row r="120" spans="1:17" ht="12.75">
      <c r="A120" s="110"/>
      <c r="B120" s="126"/>
      <c r="C120" s="127" t="s">
        <v>259</v>
      </c>
      <c r="D120" s="129">
        <f aca="true" t="shared" si="45" ref="D120:J120">D118+D108</f>
        <v>27385.6</v>
      </c>
      <c r="E120" s="129">
        <f t="shared" si="45"/>
        <v>12665.599999999999</v>
      </c>
      <c r="F120" s="129">
        <f t="shared" si="45"/>
        <v>4436.700000000001</v>
      </c>
      <c r="G120" s="129">
        <f t="shared" si="45"/>
        <v>8228.9</v>
      </c>
      <c r="H120" s="129">
        <f t="shared" si="45"/>
        <v>8092.3</v>
      </c>
      <c r="I120" s="129">
        <f t="shared" si="45"/>
        <v>6627.7</v>
      </c>
      <c r="J120" s="129">
        <f t="shared" si="45"/>
        <v>7696</v>
      </c>
      <c r="K120" s="128" t="e">
        <f>J120/#REF!*100</f>
        <v>#REF!</v>
      </c>
      <c r="L120" s="128">
        <f>J120/H120*100</f>
        <v>95.10275199881369</v>
      </c>
      <c r="M120" s="162"/>
      <c r="N120" s="169" t="e">
        <f>I120+#REF!+#REF!</f>
        <v>#REF!</v>
      </c>
      <c r="O120" s="157">
        <f t="shared" si="30"/>
        <v>116.11871388264406</v>
      </c>
      <c r="P120" s="128">
        <f t="shared" si="27"/>
        <v>60.763011622031335</v>
      </c>
      <c r="Q120" s="129">
        <f t="shared" si="28"/>
        <v>28.10236036457116</v>
      </c>
    </row>
    <row r="121" spans="1:17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2"/>
      <c r="M121" s="162"/>
      <c r="N121" s="162"/>
      <c r="O121" s="170"/>
      <c r="P121" s="128"/>
      <c r="Q121" s="129"/>
    </row>
    <row r="122" spans="1:17" ht="12.75">
      <c r="A122" s="219" t="s">
        <v>268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128"/>
      <c r="Q122" s="129"/>
    </row>
    <row r="123" spans="1:17" ht="12.75">
      <c r="A123" s="108" t="s">
        <v>221</v>
      </c>
      <c r="B123" s="108"/>
      <c r="C123" s="109" t="s">
        <v>222</v>
      </c>
      <c r="D123" s="128">
        <f aca="true" t="shared" si="46" ref="D123:J123">D124+D125+D126+D127+D129+D131+D128+D130</f>
        <v>2310.5</v>
      </c>
      <c r="E123" s="128">
        <f t="shared" si="46"/>
        <v>1140.4</v>
      </c>
      <c r="F123" s="128">
        <f t="shared" si="46"/>
        <v>567.2</v>
      </c>
      <c r="G123" s="128">
        <f t="shared" si="46"/>
        <v>573.2</v>
      </c>
      <c r="H123" s="128">
        <f t="shared" si="46"/>
        <v>576.4</v>
      </c>
      <c r="I123" s="128">
        <f t="shared" si="46"/>
        <v>593.7</v>
      </c>
      <c r="J123" s="128">
        <f t="shared" si="46"/>
        <v>673.9</v>
      </c>
      <c r="K123" s="128" t="e">
        <f>J123/#REF!*100</f>
        <v>#REF!</v>
      </c>
      <c r="L123" s="128">
        <f aca="true" t="shared" si="47" ref="L123:L129">J123/H123*100</f>
        <v>116.91533657182511</v>
      </c>
      <c r="M123" s="162"/>
      <c r="N123" s="162"/>
      <c r="O123" s="128">
        <f t="shared" si="30"/>
        <v>113.50850597945089</v>
      </c>
      <c r="P123" s="128">
        <f t="shared" si="27"/>
        <v>59.093300596282</v>
      </c>
      <c r="Q123" s="129">
        <f t="shared" si="28"/>
        <v>29.166847002813245</v>
      </c>
    </row>
    <row r="124" spans="1:17" ht="12.75">
      <c r="A124" s="110" t="s">
        <v>223</v>
      </c>
      <c r="B124" s="110"/>
      <c r="C124" s="111" t="s">
        <v>224</v>
      </c>
      <c r="D124" s="163">
        <f>F124+G124+H124+I124</f>
        <v>1922.5000000000002</v>
      </c>
      <c r="E124" s="159">
        <f aca="true" t="shared" si="48" ref="E124:E133">F124+G124</f>
        <v>961.2</v>
      </c>
      <c r="F124" s="171">
        <v>480.6</v>
      </c>
      <c r="G124" s="171">
        <v>480.6</v>
      </c>
      <c r="H124" s="164">
        <v>480.6</v>
      </c>
      <c r="I124" s="165">
        <v>480.7</v>
      </c>
      <c r="J124" s="165">
        <v>562.1</v>
      </c>
      <c r="K124" s="160" t="e">
        <f>J124/#REF!*100</f>
        <v>#REF!</v>
      </c>
      <c r="L124" s="160">
        <f t="shared" si="47"/>
        <v>116.95796920516021</v>
      </c>
      <c r="M124" s="162"/>
      <c r="N124" s="162"/>
      <c r="O124" s="164">
        <f t="shared" si="30"/>
        <v>116.93363844393593</v>
      </c>
      <c r="P124" s="160">
        <f t="shared" si="27"/>
        <v>58.478984602580105</v>
      </c>
      <c r="Q124" s="165">
        <f t="shared" si="28"/>
        <v>29.23797139141742</v>
      </c>
    </row>
    <row r="125" spans="1:17" ht="12.75">
      <c r="A125" s="112" t="s">
        <v>229</v>
      </c>
      <c r="B125" s="112"/>
      <c r="C125" s="111" t="s">
        <v>230</v>
      </c>
      <c r="D125" s="163">
        <f aca="true" t="shared" si="49" ref="D125:D134">F125+G125+H125+I125</f>
        <v>196</v>
      </c>
      <c r="E125" s="159">
        <f t="shared" si="48"/>
        <v>90.9</v>
      </c>
      <c r="F125" s="171">
        <v>43</v>
      </c>
      <c r="G125" s="171">
        <v>47.9</v>
      </c>
      <c r="H125" s="164">
        <v>45.3</v>
      </c>
      <c r="I125" s="165">
        <v>59.8</v>
      </c>
      <c r="J125" s="165">
        <v>35.4</v>
      </c>
      <c r="K125" s="160" t="e">
        <f>J125/#REF!*100</f>
        <v>#REF!</v>
      </c>
      <c r="L125" s="160">
        <f t="shared" si="47"/>
        <v>78.1456953642384</v>
      </c>
      <c r="M125" s="162"/>
      <c r="N125" s="162"/>
      <c r="O125" s="164">
        <f t="shared" si="30"/>
        <v>59.19732441471572</v>
      </c>
      <c r="P125" s="160">
        <f t="shared" si="27"/>
        <v>38.94389438943894</v>
      </c>
      <c r="Q125" s="165">
        <f t="shared" si="28"/>
        <v>18.06122448979592</v>
      </c>
    </row>
    <row r="126" spans="1:17" ht="12.75">
      <c r="A126" s="112" t="s">
        <v>231</v>
      </c>
      <c r="B126" s="112"/>
      <c r="C126" s="111" t="s">
        <v>232</v>
      </c>
      <c r="D126" s="163">
        <f t="shared" si="49"/>
        <v>40</v>
      </c>
      <c r="E126" s="159">
        <f t="shared" si="48"/>
        <v>12</v>
      </c>
      <c r="F126" s="171">
        <v>6</v>
      </c>
      <c r="G126" s="171">
        <v>6</v>
      </c>
      <c r="H126" s="164">
        <v>12.8</v>
      </c>
      <c r="I126" s="165">
        <v>15.2</v>
      </c>
      <c r="J126" s="165">
        <v>27</v>
      </c>
      <c r="K126" s="160" t="e">
        <f>J126/#REF!*100</f>
        <v>#REF!</v>
      </c>
      <c r="L126" s="160">
        <f t="shared" si="47"/>
        <v>210.9375</v>
      </c>
      <c r="M126" s="162"/>
      <c r="N126" s="162"/>
      <c r="O126" s="164">
        <f t="shared" si="30"/>
        <v>177.63157894736844</v>
      </c>
      <c r="P126" s="160">
        <f t="shared" si="27"/>
        <v>225</v>
      </c>
      <c r="Q126" s="165">
        <f t="shared" si="28"/>
        <v>67.5</v>
      </c>
    </row>
    <row r="127" spans="1:17" ht="24">
      <c r="A127" s="113" t="s">
        <v>235</v>
      </c>
      <c r="B127" s="113"/>
      <c r="C127" s="111" t="s">
        <v>236</v>
      </c>
      <c r="D127" s="163">
        <f t="shared" si="49"/>
        <v>72</v>
      </c>
      <c r="E127" s="159">
        <f t="shared" si="48"/>
        <v>36</v>
      </c>
      <c r="F127" s="171">
        <v>18</v>
      </c>
      <c r="G127" s="171">
        <v>18</v>
      </c>
      <c r="H127" s="164">
        <v>18</v>
      </c>
      <c r="I127" s="165">
        <v>18</v>
      </c>
      <c r="J127" s="165">
        <v>29.3</v>
      </c>
      <c r="K127" s="160" t="e">
        <f>J127/#REF!*100</f>
        <v>#REF!</v>
      </c>
      <c r="L127" s="160">
        <f t="shared" si="47"/>
        <v>162.77777777777777</v>
      </c>
      <c r="M127" s="162"/>
      <c r="N127" s="162"/>
      <c r="O127" s="164">
        <f t="shared" si="30"/>
        <v>162.77777777777777</v>
      </c>
      <c r="P127" s="160">
        <f t="shared" si="27"/>
        <v>81.38888888888889</v>
      </c>
      <c r="Q127" s="165">
        <f t="shared" si="28"/>
        <v>40.69444444444444</v>
      </c>
    </row>
    <row r="128" spans="1:17" ht="24">
      <c r="A128" s="115" t="s">
        <v>239</v>
      </c>
      <c r="B128" s="115"/>
      <c r="C128" s="111" t="s">
        <v>240</v>
      </c>
      <c r="D128" s="163">
        <f t="shared" si="49"/>
        <v>80</v>
      </c>
      <c r="E128" s="159">
        <f t="shared" si="48"/>
        <v>40.3</v>
      </c>
      <c r="F128" s="171">
        <v>19.6</v>
      </c>
      <c r="G128" s="171">
        <v>20.7</v>
      </c>
      <c r="H128" s="164">
        <v>19.7</v>
      </c>
      <c r="I128" s="165">
        <v>20</v>
      </c>
      <c r="J128" s="165">
        <v>20.1</v>
      </c>
      <c r="K128" s="160" t="e">
        <f>J128/#REF!*100</f>
        <v>#REF!</v>
      </c>
      <c r="L128" s="160">
        <f t="shared" si="47"/>
        <v>102.03045685279189</v>
      </c>
      <c r="M128" s="162"/>
      <c r="N128" s="162"/>
      <c r="O128" s="164">
        <f t="shared" si="30"/>
        <v>100.50000000000001</v>
      </c>
      <c r="P128" s="160">
        <f t="shared" si="27"/>
        <v>49.87593052109182</v>
      </c>
      <c r="Q128" s="165">
        <f t="shared" si="28"/>
        <v>25.125000000000004</v>
      </c>
    </row>
    <row r="129" spans="1:17" ht="24">
      <c r="A129" s="115" t="s">
        <v>241</v>
      </c>
      <c r="B129" s="115"/>
      <c r="C129" s="111" t="s">
        <v>242</v>
      </c>
      <c r="D129" s="163">
        <f t="shared" si="49"/>
        <v>0</v>
      </c>
      <c r="E129" s="159">
        <f t="shared" si="48"/>
        <v>0</v>
      </c>
      <c r="F129" s="171"/>
      <c r="G129" s="171"/>
      <c r="H129" s="164"/>
      <c r="I129" s="165"/>
      <c r="J129" s="165">
        <v>0</v>
      </c>
      <c r="K129" s="160" t="e">
        <f>J129/#REF!*100</f>
        <v>#REF!</v>
      </c>
      <c r="L129" s="160" t="e">
        <f t="shared" si="47"/>
        <v>#DIV/0!</v>
      </c>
      <c r="M129" s="162"/>
      <c r="N129" s="162"/>
      <c r="O129" s="164" t="e">
        <f t="shared" si="30"/>
        <v>#DIV/0!</v>
      </c>
      <c r="P129" s="160"/>
      <c r="Q129" s="165"/>
    </row>
    <row r="130" spans="1:17" ht="12.75">
      <c r="A130" s="110" t="s">
        <v>245</v>
      </c>
      <c r="B130" s="110"/>
      <c r="C130" s="111" t="s">
        <v>246</v>
      </c>
      <c r="D130" s="163">
        <f t="shared" si="49"/>
        <v>0</v>
      </c>
      <c r="E130" s="159">
        <f t="shared" si="48"/>
        <v>0</v>
      </c>
      <c r="F130" s="171"/>
      <c r="G130" s="171"/>
      <c r="H130" s="164"/>
      <c r="I130" s="165"/>
      <c r="J130" s="165"/>
      <c r="K130" s="160"/>
      <c r="L130" s="160"/>
      <c r="M130" s="162"/>
      <c r="N130" s="162"/>
      <c r="O130" s="164"/>
      <c r="P130" s="160"/>
      <c r="Q130" s="165"/>
    </row>
    <row r="131" spans="1:17" ht="12.75">
      <c r="A131" s="115" t="s">
        <v>247</v>
      </c>
      <c r="B131" s="138"/>
      <c r="C131" s="118" t="s">
        <v>248</v>
      </c>
      <c r="D131" s="163">
        <f t="shared" si="49"/>
        <v>0</v>
      </c>
      <c r="E131" s="159">
        <f t="shared" si="48"/>
        <v>0</v>
      </c>
      <c r="F131" s="171">
        <v>0</v>
      </c>
      <c r="G131" s="171"/>
      <c r="H131" s="164"/>
      <c r="I131" s="165"/>
      <c r="J131" s="164">
        <v>0</v>
      </c>
      <c r="K131" s="160"/>
      <c r="L131" s="160"/>
      <c r="M131" s="162"/>
      <c r="N131" s="162"/>
      <c r="O131" s="164"/>
      <c r="P131" s="160"/>
      <c r="Q131" s="165"/>
    </row>
    <row r="132" spans="1:17" ht="12.75">
      <c r="A132" s="134" t="s">
        <v>249</v>
      </c>
      <c r="B132" s="134"/>
      <c r="C132" s="119" t="s">
        <v>250</v>
      </c>
      <c r="D132" s="166">
        <f aca="true" t="shared" si="50" ref="D132:J132">D133+D134</f>
        <v>45658.8</v>
      </c>
      <c r="E132" s="166">
        <f t="shared" si="50"/>
        <v>24310.4</v>
      </c>
      <c r="F132" s="166">
        <f t="shared" si="50"/>
        <v>13626.2</v>
      </c>
      <c r="G132" s="166">
        <f t="shared" si="50"/>
        <v>10684.2</v>
      </c>
      <c r="H132" s="166">
        <f t="shared" si="50"/>
        <v>10674.2</v>
      </c>
      <c r="I132" s="166">
        <f t="shared" si="50"/>
        <v>10674.2</v>
      </c>
      <c r="J132" s="166">
        <f t="shared" si="50"/>
        <v>12273.4</v>
      </c>
      <c r="K132" s="128" t="e">
        <f>J132/#REF!*100</f>
        <v>#REF!</v>
      </c>
      <c r="L132" s="128">
        <f>J132/H132*100</f>
        <v>114.98191901969233</v>
      </c>
      <c r="M132" s="162"/>
      <c r="N132" s="162"/>
      <c r="O132" s="157">
        <f t="shared" si="30"/>
        <v>114.98191901969234</v>
      </c>
      <c r="P132" s="128">
        <f t="shared" si="27"/>
        <v>50.48621166249835</v>
      </c>
      <c r="Q132" s="129">
        <f t="shared" si="28"/>
        <v>26.880688936196307</v>
      </c>
    </row>
    <row r="133" spans="1:17" ht="24">
      <c r="A133" s="120" t="s">
        <v>251</v>
      </c>
      <c r="B133" s="112"/>
      <c r="C133" s="121" t="s">
        <v>252</v>
      </c>
      <c r="D133" s="163">
        <f t="shared" si="49"/>
        <v>45658.8</v>
      </c>
      <c r="E133" s="159">
        <f t="shared" si="48"/>
        <v>24310.4</v>
      </c>
      <c r="F133" s="171">
        <f>11113.2+83.6+2263.9+165.5</f>
        <v>13626.2</v>
      </c>
      <c r="G133" s="171">
        <f>10674.2+10</f>
        <v>10684.2</v>
      </c>
      <c r="H133" s="164">
        <v>10674.2</v>
      </c>
      <c r="I133" s="165">
        <v>10674.2</v>
      </c>
      <c r="J133" s="165">
        <v>12273.4</v>
      </c>
      <c r="K133" s="160" t="e">
        <f>J133/#REF!*100</f>
        <v>#REF!</v>
      </c>
      <c r="L133" s="160">
        <f>J133/H133*100</f>
        <v>114.98191901969233</v>
      </c>
      <c r="M133" s="162"/>
      <c r="N133" s="162"/>
      <c r="O133" s="164">
        <f t="shared" si="30"/>
        <v>114.98191901969234</v>
      </c>
      <c r="P133" s="160">
        <f t="shared" si="27"/>
        <v>50.48621166249835</v>
      </c>
      <c r="Q133" s="165">
        <f t="shared" si="28"/>
        <v>26.880688936196307</v>
      </c>
    </row>
    <row r="134" spans="1:17" ht="12.75">
      <c r="A134" s="120" t="s">
        <v>253</v>
      </c>
      <c r="B134" s="120"/>
      <c r="C134" s="122" t="s">
        <v>254</v>
      </c>
      <c r="D134" s="163">
        <f t="shared" si="49"/>
        <v>0</v>
      </c>
      <c r="E134" s="163">
        <f>F134</f>
        <v>0</v>
      </c>
      <c r="F134" s="176"/>
      <c r="G134" s="176"/>
      <c r="H134" s="164"/>
      <c r="I134" s="165"/>
      <c r="J134" s="165"/>
      <c r="K134" s="160"/>
      <c r="L134" s="160"/>
      <c r="M134" s="162"/>
      <c r="N134" s="162"/>
      <c r="O134" s="164" t="e">
        <f t="shared" si="30"/>
        <v>#DIV/0!</v>
      </c>
      <c r="P134" s="160"/>
      <c r="Q134" s="165"/>
    </row>
    <row r="135" spans="1:17" ht="12.75">
      <c r="A135" s="110"/>
      <c r="B135" s="126"/>
      <c r="C135" s="127" t="s">
        <v>259</v>
      </c>
      <c r="D135" s="129">
        <f aca="true" t="shared" si="51" ref="D135:J135">D132+D123</f>
        <v>47969.3</v>
      </c>
      <c r="E135" s="129">
        <f t="shared" si="51"/>
        <v>25450.800000000003</v>
      </c>
      <c r="F135" s="157">
        <f t="shared" si="51"/>
        <v>14193.400000000001</v>
      </c>
      <c r="G135" s="157">
        <f t="shared" si="51"/>
        <v>11257.400000000001</v>
      </c>
      <c r="H135" s="157">
        <f t="shared" si="51"/>
        <v>11250.6</v>
      </c>
      <c r="I135" s="129">
        <f t="shared" si="51"/>
        <v>11267.900000000001</v>
      </c>
      <c r="J135" s="129">
        <f t="shared" si="51"/>
        <v>12947.3</v>
      </c>
      <c r="K135" s="128" t="e">
        <f>J135/#REF!*100</f>
        <v>#REF!</v>
      </c>
      <c r="L135" s="128">
        <f>J135/H135*100</f>
        <v>115.08097345919327</v>
      </c>
      <c r="M135" s="162"/>
      <c r="N135" s="169" t="e">
        <f>I135+#REF!+#REF!</f>
        <v>#REF!</v>
      </c>
      <c r="O135" s="157">
        <f t="shared" si="30"/>
        <v>114.90428562553802</v>
      </c>
      <c r="P135" s="128">
        <f t="shared" si="27"/>
        <v>50.871878290662764</v>
      </c>
      <c r="Q135" s="129">
        <f t="shared" si="28"/>
        <v>26.990804535400766</v>
      </c>
    </row>
    <row r="136" spans="1:17" ht="12.75">
      <c r="A136" s="226"/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8"/>
      <c r="M136" s="162"/>
      <c r="N136" s="162"/>
      <c r="O136" s="170"/>
      <c r="P136" s="128"/>
      <c r="Q136" s="129"/>
    </row>
    <row r="137" spans="1:17" ht="12.75">
      <c r="A137" s="219" t="s">
        <v>269</v>
      </c>
      <c r="B137" s="219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128"/>
      <c r="Q137" s="129"/>
    </row>
    <row r="138" spans="1:17" ht="12.75">
      <c r="A138" s="108" t="s">
        <v>221</v>
      </c>
      <c r="B138" s="108"/>
      <c r="C138" s="109" t="s">
        <v>222</v>
      </c>
      <c r="D138" s="128">
        <f aca="true" t="shared" si="52" ref="D138:J138">D139+D141+D143+D145+D142+D146+D144+D147+D140</f>
        <v>14260.000000000002</v>
      </c>
      <c r="E138" s="128">
        <f t="shared" si="52"/>
        <v>6576.8</v>
      </c>
      <c r="F138" s="128">
        <f t="shared" si="52"/>
        <v>2819.4</v>
      </c>
      <c r="G138" s="128">
        <f t="shared" si="52"/>
        <v>3757.4</v>
      </c>
      <c r="H138" s="128">
        <f t="shared" si="52"/>
        <v>3745.4</v>
      </c>
      <c r="I138" s="128">
        <f t="shared" si="52"/>
        <v>3937.7999999999997</v>
      </c>
      <c r="J138" s="128">
        <f t="shared" si="52"/>
        <v>3925.4</v>
      </c>
      <c r="K138" s="128" t="e">
        <f>J138/#REF!*100</f>
        <v>#REF!</v>
      </c>
      <c r="L138" s="128">
        <f>J138/H138*100</f>
        <v>104.80589523148396</v>
      </c>
      <c r="M138" s="162"/>
      <c r="N138" s="162"/>
      <c r="O138" s="128">
        <f t="shared" si="30"/>
        <v>99.68510335720454</v>
      </c>
      <c r="P138" s="128">
        <f t="shared" si="27"/>
        <v>59.685561367230264</v>
      </c>
      <c r="Q138" s="129">
        <f t="shared" si="28"/>
        <v>27.5273492286115</v>
      </c>
    </row>
    <row r="139" spans="1:17" ht="12.75">
      <c r="A139" s="110" t="s">
        <v>223</v>
      </c>
      <c r="B139" s="110"/>
      <c r="C139" s="111" t="s">
        <v>224</v>
      </c>
      <c r="D139" s="171">
        <f>F139+G139+H139+I139</f>
        <v>12839.7</v>
      </c>
      <c r="E139" s="159">
        <f aca="true" t="shared" si="53" ref="E139:E149">F139+G139</f>
        <v>6090</v>
      </c>
      <c r="F139" s="171">
        <v>2590</v>
      </c>
      <c r="G139" s="171">
        <v>3500</v>
      </c>
      <c r="H139" s="164">
        <v>3400</v>
      </c>
      <c r="I139" s="165">
        <v>3349.7</v>
      </c>
      <c r="J139" s="165">
        <v>3592</v>
      </c>
      <c r="K139" s="160" t="e">
        <f>J139/#REF!*100</f>
        <v>#REF!</v>
      </c>
      <c r="L139" s="160">
        <f>J139/H139*100</f>
        <v>105.6470588235294</v>
      </c>
      <c r="M139" s="162"/>
      <c r="N139" s="162"/>
      <c r="O139" s="164">
        <f t="shared" si="30"/>
        <v>107.23348359554588</v>
      </c>
      <c r="P139" s="160">
        <f t="shared" si="27"/>
        <v>58.981937602627255</v>
      </c>
      <c r="Q139" s="165">
        <f t="shared" si="28"/>
        <v>27.975731520206857</v>
      </c>
    </row>
    <row r="140" spans="1:17" ht="12.75">
      <c r="A140" s="112" t="s">
        <v>227</v>
      </c>
      <c r="B140" s="112"/>
      <c r="C140" s="111" t="s">
        <v>228</v>
      </c>
      <c r="D140" s="171">
        <f aca="true" t="shared" si="54" ref="D140:D149">F140+G140+H140+I140</f>
        <v>0</v>
      </c>
      <c r="E140" s="159">
        <f t="shared" si="53"/>
        <v>0</v>
      </c>
      <c r="F140" s="171"/>
      <c r="G140" s="171"/>
      <c r="H140" s="164"/>
      <c r="I140" s="165"/>
      <c r="J140" s="165"/>
      <c r="K140" s="160"/>
      <c r="L140" s="160"/>
      <c r="M140" s="162"/>
      <c r="N140" s="162"/>
      <c r="O140" s="164" t="e">
        <f t="shared" si="30"/>
        <v>#DIV/0!</v>
      </c>
      <c r="P140" s="160"/>
      <c r="Q140" s="165"/>
    </row>
    <row r="141" spans="1:17" ht="12.75">
      <c r="A141" s="112" t="s">
        <v>229</v>
      </c>
      <c r="B141" s="112"/>
      <c r="C141" s="111" t="s">
        <v>230</v>
      </c>
      <c r="D141" s="171">
        <f t="shared" si="54"/>
        <v>792</v>
      </c>
      <c r="E141" s="159">
        <f t="shared" si="53"/>
        <v>177</v>
      </c>
      <c r="F141" s="171">
        <v>90</v>
      </c>
      <c r="G141" s="171">
        <v>87</v>
      </c>
      <c r="H141" s="164">
        <v>201</v>
      </c>
      <c r="I141" s="165">
        <v>414</v>
      </c>
      <c r="J141" s="165">
        <v>204.2</v>
      </c>
      <c r="K141" s="160" t="e">
        <f>J141/#REF!*100</f>
        <v>#REF!</v>
      </c>
      <c r="L141" s="160">
        <f>J141/H141*100</f>
        <v>101.59203980099502</v>
      </c>
      <c r="M141" s="162"/>
      <c r="N141" s="162"/>
      <c r="O141" s="164">
        <f t="shared" si="30"/>
        <v>49.32367149758454</v>
      </c>
      <c r="P141" s="160">
        <f aca="true" t="shared" si="55" ref="P141:P205">J141*100/E141</f>
        <v>115.36723163841808</v>
      </c>
      <c r="Q141" s="165">
        <f aca="true" t="shared" si="56" ref="Q141:Q205">J141*100/D141</f>
        <v>25.782828282828284</v>
      </c>
    </row>
    <row r="142" spans="1:17" ht="12.75">
      <c r="A142" s="112" t="s">
        <v>231</v>
      </c>
      <c r="B142" s="112"/>
      <c r="C142" s="111" t="s">
        <v>232</v>
      </c>
      <c r="D142" s="171">
        <f t="shared" si="54"/>
        <v>158.7</v>
      </c>
      <c r="E142" s="159">
        <f t="shared" si="53"/>
        <v>75</v>
      </c>
      <c r="F142" s="171">
        <v>22</v>
      </c>
      <c r="G142" s="171">
        <v>53</v>
      </c>
      <c r="H142" s="164">
        <v>27</v>
      </c>
      <c r="I142" s="165">
        <v>56.7</v>
      </c>
      <c r="J142" s="165">
        <v>54.3</v>
      </c>
      <c r="K142" s="160" t="e">
        <f>J142/#REF!*100</f>
        <v>#REF!</v>
      </c>
      <c r="L142" s="160">
        <f>J142/H142*100</f>
        <v>201.11111111111111</v>
      </c>
      <c r="M142" s="162"/>
      <c r="N142" s="162"/>
      <c r="O142" s="164">
        <f t="shared" si="30"/>
        <v>95.76719576719576</v>
      </c>
      <c r="P142" s="160">
        <f t="shared" si="55"/>
        <v>72.4</v>
      </c>
      <c r="Q142" s="165">
        <f t="shared" si="56"/>
        <v>34.215500945179585</v>
      </c>
    </row>
    <row r="143" spans="1:17" ht="24">
      <c r="A143" s="113" t="s">
        <v>235</v>
      </c>
      <c r="B143" s="113"/>
      <c r="C143" s="111" t="s">
        <v>236</v>
      </c>
      <c r="D143" s="171">
        <f t="shared" si="54"/>
        <v>469.6</v>
      </c>
      <c r="E143" s="159">
        <f t="shared" si="53"/>
        <v>234.8</v>
      </c>
      <c r="F143" s="171">
        <v>117.4</v>
      </c>
      <c r="G143" s="171">
        <v>117.4</v>
      </c>
      <c r="H143" s="164">
        <v>117.4</v>
      </c>
      <c r="I143" s="165">
        <v>117.4</v>
      </c>
      <c r="J143" s="165">
        <v>45.4</v>
      </c>
      <c r="K143" s="160" t="e">
        <f>J143/#REF!*100</f>
        <v>#REF!</v>
      </c>
      <c r="L143" s="160">
        <f>J143/H143*100</f>
        <v>38.67120954003407</v>
      </c>
      <c r="M143" s="162"/>
      <c r="N143" s="162"/>
      <c r="O143" s="164">
        <f t="shared" si="30"/>
        <v>38.67120954003407</v>
      </c>
      <c r="P143" s="160">
        <f t="shared" si="55"/>
        <v>19.335604770017035</v>
      </c>
      <c r="Q143" s="165">
        <f t="shared" si="56"/>
        <v>9.667802385008518</v>
      </c>
    </row>
    <row r="144" spans="1:17" ht="24">
      <c r="A144" s="115" t="s">
        <v>239</v>
      </c>
      <c r="B144" s="115"/>
      <c r="C144" s="111" t="s">
        <v>240</v>
      </c>
      <c r="D144" s="171">
        <f t="shared" si="54"/>
        <v>0</v>
      </c>
      <c r="E144" s="159">
        <f t="shared" si="53"/>
        <v>0</v>
      </c>
      <c r="F144" s="171"/>
      <c r="G144" s="171"/>
      <c r="H144" s="164"/>
      <c r="I144" s="165"/>
      <c r="J144" s="165"/>
      <c r="K144" s="160"/>
      <c r="L144" s="160"/>
      <c r="M144" s="162"/>
      <c r="N144" s="162"/>
      <c r="O144" s="164" t="e">
        <f aca="true" t="shared" si="57" ref="O144:O209">J144*100/I144</f>
        <v>#DIV/0!</v>
      </c>
      <c r="P144" s="160" t="e">
        <f t="shared" si="55"/>
        <v>#DIV/0!</v>
      </c>
      <c r="Q144" s="165" t="e">
        <f t="shared" si="56"/>
        <v>#DIV/0!</v>
      </c>
    </row>
    <row r="145" spans="1:17" ht="24">
      <c r="A145" s="114" t="s">
        <v>241</v>
      </c>
      <c r="B145" s="114"/>
      <c r="C145" s="111" t="s">
        <v>242</v>
      </c>
      <c r="D145" s="171">
        <f t="shared" si="54"/>
        <v>0</v>
      </c>
      <c r="E145" s="159">
        <f t="shared" si="53"/>
        <v>0</v>
      </c>
      <c r="F145" s="171"/>
      <c r="G145" s="171"/>
      <c r="H145" s="164"/>
      <c r="I145" s="165"/>
      <c r="J145" s="165"/>
      <c r="K145" s="160" t="e">
        <f>J145/#REF!*100</f>
        <v>#REF!</v>
      </c>
      <c r="L145" s="160" t="e">
        <f>J145/H145*100</f>
        <v>#DIV/0!</v>
      </c>
      <c r="M145" s="162"/>
      <c r="N145" s="162"/>
      <c r="O145" s="164" t="e">
        <f t="shared" si="57"/>
        <v>#DIV/0!</v>
      </c>
      <c r="P145" s="160"/>
      <c r="Q145" s="165"/>
    </row>
    <row r="146" spans="1:17" ht="12.75">
      <c r="A146" s="110" t="s">
        <v>245</v>
      </c>
      <c r="B146" s="110"/>
      <c r="C146" s="111" t="s">
        <v>246</v>
      </c>
      <c r="D146" s="171">
        <f t="shared" si="54"/>
        <v>0</v>
      </c>
      <c r="E146" s="159">
        <f t="shared" si="53"/>
        <v>0</v>
      </c>
      <c r="F146" s="171"/>
      <c r="G146" s="171"/>
      <c r="H146" s="164"/>
      <c r="I146" s="165"/>
      <c r="J146" s="165">
        <v>9.1</v>
      </c>
      <c r="K146" s="160" t="e">
        <f>J146/#REF!*100</f>
        <v>#REF!</v>
      </c>
      <c r="L146" s="160"/>
      <c r="M146" s="162"/>
      <c r="N146" s="162"/>
      <c r="O146" s="164" t="e">
        <f t="shared" si="57"/>
        <v>#DIV/0!</v>
      </c>
      <c r="P146" s="160"/>
      <c r="Q146" s="165"/>
    </row>
    <row r="147" spans="1:17" ht="12.75">
      <c r="A147" s="114" t="s">
        <v>247</v>
      </c>
      <c r="B147" s="139"/>
      <c r="C147" s="118" t="s">
        <v>248</v>
      </c>
      <c r="D147" s="171">
        <f t="shared" si="54"/>
        <v>0</v>
      </c>
      <c r="E147" s="159">
        <f t="shared" si="53"/>
        <v>0</v>
      </c>
      <c r="F147" s="171"/>
      <c r="G147" s="171"/>
      <c r="H147" s="164"/>
      <c r="I147" s="165"/>
      <c r="J147" s="165">
        <v>20.4</v>
      </c>
      <c r="K147" s="160"/>
      <c r="L147" s="160"/>
      <c r="M147" s="162"/>
      <c r="N147" s="162"/>
      <c r="O147" s="164" t="e">
        <f t="shared" si="57"/>
        <v>#DIV/0!</v>
      </c>
      <c r="P147" s="128"/>
      <c r="Q147" s="129"/>
    </row>
    <row r="148" spans="1:17" ht="12.75">
      <c r="A148" s="108" t="s">
        <v>249</v>
      </c>
      <c r="B148" s="108"/>
      <c r="C148" s="119" t="s">
        <v>250</v>
      </c>
      <c r="D148" s="166">
        <f>D149+D150</f>
        <v>29254.299999999996</v>
      </c>
      <c r="E148" s="166">
        <f aca="true" t="shared" si="58" ref="E148:J148">E149+E150</f>
        <v>14183.099999999999</v>
      </c>
      <c r="F148" s="166">
        <f t="shared" si="58"/>
        <v>6800.2</v>
      </c>
      <c r="G148" s="166">
        <f t="shared" si="58"/>
        <v>7382.9</v>
      </c>
      <c r="H148" s="166">
        <f t="shared" si="58"/>
        <v>7745.3</v>
      </c>
      <c r="I148" s="166">
        <f t="shared" si="58"/>
        <v>7325.9</v>
      </c>
      <c r="J148" s="166">
        <f t="shared" si="58"/>
        <v>8902.2</v>
      </c>
      <c r="K148" s="128" t="e">
        <f>J148/#REF!*100</f>
        <v>#REF!</v>
      </c>
      <c r="L148" s="128">
        <f>J148/H148*100</f>
        <v>114.93680038216725</v>
      </c>
      <c r="M148" s="162"/>
      <c r="N148" s="162"/>
      <c r="O148" s="157">
        <f t="shared" si="57"/>
        <v>121.51681022126976</v>
      </c>
      <c r="P148" s="128">
        <f t="shared" si="55"/>
        <v>62.76624997356009</v>
      </c>
      <c r="Q148" s="129">
        <f t="shared" si="56"/>
        <v>30.43039826623779</v>
      </c>
    </row>
    <row r="149" spans="1:17" ht="24">
      <c r="A149" s="120" t="s">
        <v>251</v>
      </c>
      <c r="B149" s="112"/>
      <c r="C149" s="121" t="s">
        <v>252</v>
      </c>
      <c r="D149" s="171">
        <f t="shared" si="54"/>
        <v>29254.299999999996</v>
      </c>
      <c r="E149" s="159">
        <f t="shared" si="53"/>
        <v>14183.099999999999</v>
      </c>
      <c r="F149" s="171">
        <f>5672.4+951+176.8</f>
        <v>6800.2</v>
      </c>
      <c r="G149" s="171">
        <f>7405-22.1</f>
        <v>7382.9</v>
      </c>
      <c r="H149" s="164">
        <v>7745.3</v>
      </c>
      <c r="I149" s="165">
        <v>7325.9</v>
      </c>
      <c r="J149" s="165">
        <v>8902.2</v>
      </c>
      <c r="K149" s="160" t="e">
        <f>J149/#REF!*100</f>
        <v>#REF!</v>
      </c>
      <c r="L149" s="160">
        <f>J149/H149*100</f>
        <v>114.93680038216725</v>
      </c>
      <c r="M149" s="162"/>
      <c r="N149" s="162"/>
      <c r="O149" s="164">
        <f t="shared" si="57"/>
        <v>121.51681022126976</v>
      </c>
      <c r="P149" s="160">
        <f t="shared" si="55"/>
        <v>62.76624997356009</v>
      </c>
      <c r="Q149" s="165">
        <f t="shared" si="56"/>
        <v>30.43039826623779</v>
      </c>
    </row>
    <row r="150" spans="1:17" ht="12.75">
      <c r="A150" s="120" t="s">
        <v>253</v>
      </c>
      <c r="B150" s="120"/>
      <c r="C150" s="122" t="s">
        <v>254</v>
      </c>
      <c r="D150" s="171">
        <f>F150+G150+H150+I150</f>
        <v>0</v>
      </c>
      <c r="E150" s="163">
        <f>F150</f>
        <v>0</v>
      </c>
      <c r="F150" s="171"/>
      <c r="G150" s="171"/>
      <c r="H150" s="164"/>
      <c r="I150" s="165"/>
      <c r="J150" s="165"/>
      <c r="K150" s="160"/>
      <c r="L150" s="160"/>
      <c r="M150" s="162"/>
      <c r="N150" s="162"/>
      <c r="O150" s="164"/>
      <c r="P150" s="160"/>
      <c r="Q150" s="165"/>
    </row>
    <row r="151" spans="1:17" ht="12.75">
      <c r="A151" s="110"/>
      <c r="B151" s="126"/>
      <c r="C151" s="127" t="s">
        <v>259</v>
      </c>
      <c r="D151" s="129">
        <f aca="true" t="shared" si="59" ref="D151:J151">D148+D138</f>
        <v>43514.299999999996</v>
      </c>
      <c r="E151" s="129">
        <f t="shared" si="59"/>
        <v>20759.899999999998</v>
      </c>
      <c r="F151" s="129">
        <f t="shared" si="59"/>
        <v>9619.6</v>
      </c>
      <c r="G151" s="129">
        <f t="shared" si="59"/>
        <v>11140.3</v>
      </c>
      <c r="H151" s="129">
        <f t="shared" si="59"/>
        <v>11490.7</v>
      </c>
      <c r="I151" s="129">
        <f t="shared" si="59"/>
        <v>11263.699999999999</v>
      </c>
      <c r="J151" s="129">
        <f t="shared" si="59"/>
        <v>12827.6</v>
      </c>
      <c r="K151" s="128" t="e">
        <f>J151/#REF!*100</f>
        <v>#REF!</v>
      </c>
      <c r="L151" s="128">
        <f>J151/H151*100</f>
        <v>111.63462626297789</v>
      </c>
      <c r="M151" s="162"/>
      <c r="N151" s="169" t="e">
        <f>I151+#REF!+#REF!</f>
        <v>#REF!</v>
      </c>
      <c r="O151" s="157">
        <f t="shared" si="57"/>
        <v>113.88442518888111</v>
      </c>
      <c r="P151" s="128">
        <f t="shared" si="55"/>
        <v>61.790278373209894</v>
      </c>
      <c r="Q151" s="129">
        <f t="shared" si="56"/>
        <v>29.479044819748914</v>
      </c>
    </row>
    <row r="152" spans="1:17" ht="12.75">
      <c r="A152" s="210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2"/>
      <c r="M152" s="162"/>
      <c r="N152" s="162"/>
      <c r="O152" s="170"/>
      <c r="P152" s="128"/>
      <c r="Q152" s="129"/>
    </row>
    <row r="153" spans="1:17" ht="12.75">
      <c r="A153" s="219" t="s">
        <v>270</v>
      </c>
      <c r="B153" s="219"/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128"/>
      <c r="Q153" s="129"/>
    </row>
    <row r="154" spans="1:17" ht="12.75">
      <c r="A154" s="108" t="s">
        <v>221</v>
      </c>
      <c r="B154" s="108"/>
      <c r="C154" s="109" t="s">
        <v>222</v>
      </c>
      <c r="D154" s="128">
        <f aca="true" t="shared" si="60" ref="D154:J154">D155+D156+D157+D158+D160+D161+D162+D159</f>
        <v>4028.5</v>
      </c>
      <c r="E154" s="128">
        <f t="shared" si="60"/>
        <v>1824</v>
      </c>
      <c r="F154" s="128">
        <f t="shared" si="60"/>
        <v>751</v>
      </c>
      <c r="G154" s="128">
        <f t="shared" si="60"/>
        <v>1073</v>
      </c>
      <c r="H154" s="128">
        <f t="shared" si="60"/>
        <v>984</v>
      </c>
      <c r="I154" s="128">
        <f t="shared" si="60"/>
        <v>1220.5</v>
      </c>
      <c r="J154" s="128">
        <f t="shared" si="60"/>
        <v>1245.8999999999999</v>
      </c>
      <c r="K154" s="128" t="e">
        <f>J154/#REF!*100</f>
        <v>#REF!</v>
      </c>
      <c r="L154" s="128">
        <f aca="true" t="shared" si="61" ref="L154:L160">J154/H154*100</f>
        <v>126.61585365853658</v>
      </c>
      <c r="M154" s="162"/>
      <c r="N154" s="162"/>
      <c r="O154" s="128">
        <f t="shared" si="57"/>
        <v>102.08111429741908</v>
      </c>
      <c r="P154" s="128">
        <f t="shared" si="55"/>
        <v>68.30592105263158</v>
      </c>
      <c r="Q154" s="129">
        <f t="shared" si="56"/>
        <v>30.92714409829961</v>
      </c>
    </row>
    <row r="155" spans="1:17" ht="12.75">
      <c r="A155" s="110" t="s">
        <v>223</v>
      </c>
      <c r="B155" s="110"/>
      <c r="C155" s="111" t="s">
        <v>224</v>
      </c>
      <c r="D155" s="171">
        <f>F155+G155+H155+I155</f>
        <v>3255.5</v>
      </c>
      <c r="E155" s="159">
        <f aca="true" t="shared" si="62" ref="E155:E164">F155+G155</f>
        <v>1500</v>
      </c>
      <c r="F155" s="163">
        <v>600</v>
      </c>
      <c r="G155" s="163">
        <v>900</v>
      </c>
      <c r="H155" s="164">
        <v>750</v>
      </c>
      <c r="I155" s="165">
        <v>1005.5</v>
      </c>
      <c r="J155" s="165">
        <v>1001.3</v>
      </c>
      <c r="K155" s="160" t="e">
        <f>J155/#REF!*100</f>
        <v>#REF!</v>
      </c>
      <c r="L155" s="160">
        <f t="shared" si="61"/>
        <v>133.50666666666666</v>
      </c>
      <c r="M155" s="162"/>
      <c r="N155" s="162"/>
      <c r="O155" s="164">
        <f t="shared" si="57"/>
        <v>99.58229736449528</v>
      </c>
      <c r="P155" s="160">
        <f t="shared" si="55"/>
        <v>66.75333333333333</v>
      </c>
      <c r="Q155" s="165">
        <f t="shared" si="56"/>
        <v>30.757180156657963</v>
      </c>
    </row>
    <row r="156" spans="1:17" ht="12.75">
      <c r="A156" s="112" t="s">
        <v>229</v>
      </c>
      <c r="B156" s="112"/>
      <c r="C156" s="111" t="s">
        <v>230</v>
      </c>
      <c r="D156" s="171">
        <f aca="true" t="shared" si="63" ref="D156:D162">F156+G156+H156+I156</f>
        <v>321</v>
      </c>
      <c r="E156" s="159">
        <f t="shared" si="62"/>
        <v>109</v>
      </c>
      <c r="F156" s="163">
        <v>46</v>
      </c>
      <c r="G156" s="163">
        <v>63</v>
      </c>
      <c r="H156" s="164">
        <v>124</v>
      </c>
      <c r="I156" s="165">
        <v>88</v>
      </c>
      <c r="J156" s="165">
        <v>68.4</v>
      </c>
      <c r="K156" s="160" t="e">
        <f>J156/#REF!*100</f>
        <v>#REF!</v>
      </c>
      <c r="L156" s="160">
        <f t="shared" si="61"/>
        <v>55.16129032258065</v>
      </c>
      <c r="M156" s="162"/>
      <c r="N156" s="162"/>
      <c r="O156" s="164">
        <f t="shared" si="57"/>
        <v>77.72727272727273</v>
      </c>
      <c r="P156" s="160">
        <f t="shared" si="55"/>
        <v>62.75229357798166</v>
      </c>
      <c r="Q156" s="165">
        <f t="shared" si="56"/>
        <v>21.308411214953274</v>
      </c>
    </row>
    <row r="157" spans="1:17" ht="12.75">
      <c r="A157" s="112" t="s">
        <v>231</v>
      </c>
      <c r="B157" s="112"/>
      <c r="C157" s="111" t="s">
        <v>232</v>
      </c>
      <c r="D157" s="171">
        <f t="shared" si="63"/>
        <v>78</v>
      </c>
      <c r="E157" s="159">
        <f t="shared" si="62"/>
        <v>35</v>
      </c>
      <c r="F157" s="163">
        <v>15</v>
      </c>
      <c r="G157" s="163">
        <v>20</v>
      </c>
      <c r="H157" s="164">
        <v>20</v>
      </c>
      <c r="I157" s="165">
        <v>23</v>
      </c>
      <c r="J157" s="165">
        <v>40.3</v>
      </c>
      <c r="K157" s="160" t="e">
        <f>J157/#REF!*100</f>
        <v>#REF!</v>
      </c>
      <c r="L157" s="160">
        <f t="shared" si="61"/>
        <v>201.49999999999997</v>
      </c>
      <c r="M157" s="162"/>
      <c r="N157" s="162"/>
      <c r="O157" s="164">
        <f t="shared" si="57"/>
        <v>175.2173913043478</v>
      </c>
      <c r="P157" s="160">
        <f t="shared" si="55"/>
        <v>115.14285714285712</v>
      </c>
      <c r="Q157" s="165">
        <f t="shared" si="56"/>
        <v>51.666666666666664</v>
      </c>
    </row>
    <row r="158" spans="1:17" ht="24">
      <c r="A158" s="113" t="s">
        <v>235</v>
      </c>
      <c r="B158" s="113"/>
      <c r="C158" s="111" t="s">
        <v>236</v>
      </c>
      <c r="D158" s="171">
        <f t="shared" si="63"/>
        <v>304</v>
      </c>
      <c r="E158" s="159">
        <f t="shared" si="62"/>
        <v>150</v>
      </c>
      <c r="F158" s="163">
        <v>75</v>
      </c>
      <c r="G158" s="163">
        <v>75</v>
      </c>
      <c r="H158" s="164">
        <v>75</v>
      </c>
      <c r="I158" s="165">
        <v>79</v>
      </c>
      <c r="J158" s="165">
        <v>108.1</v>
      </c>
      <c r="K158" s="160" t="e">
        <f>J158/#REF!*100</f>
        <v>#REF!</v>
      </c>
      <c r="L158" s="160">
        <f t="shared" si="61"/>
        <v>144.13333333333333</v>
      </c>
      <c r="M158" s="162"/>
      <c r="N158" s="162"/>
      <c r="O158" s="164">
        <f t="shared" si="57"/>
        <v>136.83544303797467</v>
      </c>
      <c r="P158" s="160">
        <f t="shared" si="55"/>
        <v>72.06666666666666</v>
      </c>
      <c r="Q158" s="165">
        <f t="shared" si="56"/>
        <v>35.55921052631579</v>
      </c>
    </row>
    <row r="159" spans="1:17" ht="24">
      <c r="A159" s="115" t="s">
        <v>239</v>
      </c>
      <c r="B159" s="115"/>
      <c r="C159" s="111" t="s">
        <v>240</v>
      </c>
      <c r="D159" s="171">
        <f t="shared" si="63"/>
        <v>70</v>
      </c>
      <c r="E159" s="159">
        <f t="shared" si="62"/>
        <v>30</v>
      </c>
      <c r="F159" s="163">
        <v>15</v>
      </c>
      <c r="G159" s="163">
        <v>15</v>
      </c>
      <c r="H159" s="164">
        <v>15</v>
      </c>
      <c r="I159" s="165">
        <v>25</v>
      </c>
      <c r="J159" s="165">
        <v>27.8</v>
      </c>
      <c r="K159" s="160" t="e">
        <f>J159/#REF!*100</f>
        <v>#REF!</v>
      </c>
      <c r="L159" s="160">
        <f t="shared" si="61"/>
        <v>185.33333333333331</v>
      </c>
      <c r="M159" s="162"/>
      <c r="N159" s="162"/>
      <c r="O159" s="164">
        <f t="shared" si="57"/>
        <v>111.2</v>
      </c>
      <c r="P159" s="160">
        <f t="shared" si="55"/>
        <v>92.66666666666667</v>
      </c>
      <c r="Q159" s="165">
        <f t="shared" si="56"/>
        <v>39.714285714285715</v>
      </c>
    </row>
    <row r="160" spans="1:17" ht="24">
      <c r="A160" s="114" t="s">
        <v>241</v>
      </c>
      <c r="B160" s="114"/>
      <c r="C160" s="111" t="s">
        <v>242</v>
      </c>
      <c r="D160" s="171">
        <f t="shared" si="63"/>
        <v>0</v>
      </c>
      <c r="E160" s="159">
        <f t="shared" si="62"/>
        <v>0</v>
      </c>
      <c r="F160" s="163"/>
      <c r="G160" s="163"/>
      <c r="H160" s="164"/>
      <c r="I160" s="165"/>
      <c r="J160" s="165"/>
      <c r="K160" s="160" t="e">
        <f>J160/#REF!*100</f>
        <v>#REF!</v>
      </c>
      <c r="L160" s="160" t="e">
        <f t="shared" si="61"/>
        <v>#DIV/0!</v>
      </c>
      <c r="M160" s="162"/>
      <c r="N160" s="162"/>
      <c r="O160" s="164" t="e">
        <f t="shared" si="57"/>
        <v>#DIV/0!</v>
      </c>
      <c r="P160" s="160"/>
      <c r="Q160" s="165"/>
    </row>
    <row r="161" spans="1:17" ht="12.75">
      <c r="A161" s="110" t="s">
        <v>245</v>
      </c>
      <c r="B161" s="110"/>
      <c r="C161" s="111" t="s">
        <v>246</v>
      </c>
      <c r="D161" s="171">
        <f t="shared" si="63"/>
        <v>0</v>
      </c>
      <c r="E161" s="159">
        <f t="shared" si="62"/>
        <v>0</v>
      </c>
      <c r="F161" s="163"/>
      <c r="G161" s="163"/>
      <c r="H161" s="164"/>
      <c r="I161" s="165"/>
      <c r="J161" s="165"/>
      <c r="K161" s="160"/>
      <c r="L161" s="160"/>
      <c r="M161" s="162"/>
      <c r="N161" s="162"/>
      <c r="O161" s="164" t="e">
        <f t="shared" si="57"/>
        <v>#DIV/0!</v>
      </c>
      <c r="P161" s="128" t="e">
        <f t="shared" si="55"/>
        <v>#DIV/0!</v>
      </c>
      <c r="Q161" s="129" t="e">
        <f t="shared" si="56"/>
        <v>#DIV/0!</v>
      </c>
    </row>
    <row r="162" spans="1:17" ht="12.75">
      <c r="A162" s="133" t="s">
        <v>247</v>
      </c>
      <c r="B162" s="117"/>
      <c r="C162" s="118" t="s">
        <v>248</v>
      </c>
      <c r="D162" s="171">
        <f t="shared" si="63"/>
        <v>0</v>
      </c>
      <c r="E162" s="159">
        <f t="shared" si="62"/>
        <v>0</v>
      </c>
      <c r="F162" s="163"/>
      <c r="G162" s="163"/>
      <c r="H162" s="164"/>
      <c r="I162" s="165"/>
      <c r="J162" s="165">
        <v>0</v>
      </c>
      <c r="K162" s="160"/>
      <c r="L162" s="160"/>
      <c r="M162" s="162"/>
      <c r="N162" s="162"/>
      <c r="O162" s="164" t="e">
        <f t="shared" si="57"/>
        <v>#DIV/0!</v>
      </c>
      <c r="P162" s="128"/>
      <c r="Q162" s="129"/>
    </row>
    <row r="163" spans="1:17" ht="12.75">
      <c r="A163" s="108" t="s">
        <v>249</v>
      </c>
      <c r="B163" s="108"/>
      <c r="C163" s="119" t="s">
        <v>250</v>
      </c>
      <c r="D163" s="166">
        <f aca="true" t="shared" si="64" ref="D163:J163">D164+D165</f>
        <v>23805.800000000003</v>
      </c>
      <c r="E163" s="177">
        <f t="shared" si="64"/>
        <v>11736.9</v>
      </c>
      <c r="F163" s="177">
        <f t="shared" si="64"/>
        <v>5136.4</v>
      </c>
      <c r="G163" s="177">
        <f t="shared" si="64"/>
        <v>6600.5</v>
      </c>
      <c r="H163" s="166">
        <f t="shared" si="64"/>
        <v>7362.8</v>
      </c>
      <c r="I163" s="166">
        <f t="shared" si="64"/>
        <v>4706.1</v>
      </c>
      <c r="J163" s="166">
        <f t="shared" si="64"/>
        <v>7101.4</v>
      </c>
      <c r="K163" s="128" t="e">
        <f>J163/#REF!*100</f>
        <v>#REF!</v>
      </c>
      <c r="L163" s="128">
        <f>J163/H163*100</f>
        <v>96.44972021513554</v>
      </c>
      <c r="M163" s="162"/>
      <c r="N163" s="162"/>
      <c r="O163" s="157">
        <f t="shared" si="57"/>
        <v>150.89777097809224</v>
      </c>
      <c r="P163" s="128">
        <f t="shared" si="55"/>
        <v>60.504903339041824</v>
      </c>
      <c r="Q163" s="129">
        <f t="shared" si="56"/>
        <v>29.830545497315775</v>
      </c>
    </row>
    <row r="164" spans="1:17" ht="24">
      <c r="A164" s="120" t="s">
        <v>251</v>
      </c>
      <c r="B164" s="112"/>
      <c r="C164" s="121" t="s">
        <v>252</v>
      </c>
      <c r="D164" s="171">
        <f>F164+G164+H164+I164</f>
        <v>23805.800000000003</v>
      </c>
      <c r="E164" s="159">
        <f t="shared" si="62"/>
        <v>11736.9</v>
      </c>
      <c r="F164" s="163">
        <f>4985.4+151</f>
        <v>5136.4</v>
      </c>
      <c r="G164" s="163">
        <f>6588.8+11.7</f>
        <v>6600.5</v>
      </c>
      <c r="H164" s="164">
        <v>7362.8</v>
      </c>
      <c r="I164" s="165">
        <v>4706.1</v>
      </c>
      <c r="J164" s="165">
        <f>7101.4</f>
        <v>7101.4</v>
      </c>
      <c r="K164" s="160" t="e">
        <f>J164/#REF!*100</f>
        <v>#REF!</v>
      </c>
      <c r="L164" s="160">
        <f>J164/H164*100</f>
        <v>96.44972021513554</v>
      </c>
      <c r="M164" s="162"/>
      <c r="N164" s="162"/>
      <c r="O164" s="164">
        <f t="shared" si="57"/>
        <v>150.89777097809224</v>
      </c>
      <c r="P164" s="160">
        <f t="shared" si="55"/>
        <v>60.504903339041824</v>
      </c>
      <c r="Q164" s="165">
        <f t="shared" si="56"/>
        <v>29.830545497315775</v>
      </c>
    </row>
    <row r="165" spans="1:17" ht="12.75">
      <c r="A165" s="120" t="s">
        <v>253</v>
      </c>
      <c r="B165" s="120"/>
      <c r="C165" s="122" t="s">
        <v>254</v>
      </c>
      <c r="D165" s="171">
        <f>F165+G165+H165+I165</f>
        <v>0</v>
      </c>
      <c r="E165" s="163">
        <f>F165</f>
        <v>0</v>
      </c>
      <c r="F165" s="167"/>
      <c r="G165" s="167"/>
      <c r="H165" s="164"/>
      <c r="I165" s="165"/>
      <c r="J165" s="165"/>
      <c r="K165" s="160" t="e">
        <f>J165/#REF!*100</f>
        <v>#REF!</v>
      </c>
      <c r="L165" s="160"/>
      <c r="M165" s="162"/>
      <c r="N165" s="162"/>
      <c r="O165" s="164" t="e">
        <f t="shared" si="57"/>
        <v>#DIV/0!</v>
      </c>
      <c r="P165" s="160"/>
      <c r="Q165" s="165"/>
    </row>
    <row r="166" spans="1:17" ht="12.75">
      <c r="A166" s="110"/>
      <c r="B166" s="126"/>
      <c r="C166" s="127" t="s">
        <v>259</v>
      </c>
      <c r="D166" s="129">
        <f aca="true" t="shared" si="65" ref="D166:J166">D163+D154</f>
        <v>27834.300000000003</v>
      </c>
      <c r="E166" s="129">
        <f t="shared" si="65"/>
        <v>13560.9</v>
      </c>
      <c r="F166" s="129">
        <f t="shared" si="65"/>
        <v>5887.4</v>
      </c>
      <c r="G166" s="129">
        <f t="shared" si="65"/>
        <v>7673.5</v>
      </c>
      <c r="H166" s="129">
        <f t="shared" si="65"/>
        <v>8346.8</v>
      </c>
      <c r="I166" s="129">
        <f t="shared" si="65"/>
        <v>5926.6</v>
      </c>
      <c r="J166" s="129">
        <f t="shared" si="65"/>
        <v>8347.3</v>
      </c>
      <c r="K166" s="128" t="e">
        <f>J166/#REF!*100</f>
        <v>#REF!</v>
      </c>
      <c r="L166" s="128">
        <f>J166/H166*100</f>
        <v>100.00599031964346</v>
      </c>
      <c r="M166" s="162"/>
      <c r="N166" s="169" t="e">
        <f>I166+#REF!+#REF!</f>
        <v>#REF!</v>
      </c>
      <c r="O166" s="157">
        <f t="shared" si="57"/>
        <v>140.8446664191948</v>
      </c>
      <c r="P166" s="128">
        <f t="shared" si="55"/>
        <v>61.55417413298527</v>
      </c>
      <c r="Q166" s="129">
        <f t="shared" si="56"/>
        <v>29.98925785811031</v>
      </c>
    </row>
    <row r="167" spans="1:17" ht="12.75">
      <c r="A167" s="210"/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2"/>
      <c r="M167" s="162"/>
      <c r="N167" s="162"/>
      <c r="O167" s="170"/>
      <c r="P167" s="128"/>
      <c r="Q167" s="129"/>
    </row>
    <row r="168" spans="1:17" ht="12.75">
      <c r="A168" s="219" t="s">
        <v>271</v>
      </c>
      <c r="B168" s="219"/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128"/>
      <c r="Q168" s="129"/>
    </row>
    <row r="169" spans="1:17" ht="12.75">
      <c r="A169" s="108" t="s">
        <v>221</v>
      </c>
      <c r="B169" s="108"/>
      <c r="C169" s="109" t="s">
        <v>222</v>
      </c>
      <c r="D169" s="128">
        <f aca="true" t="shared" si="66" ref="D169:J169">D170+D171+D172+D173+D174+D176+D178+D177+D175</f>
        <v>15602.3</v>
      </c>
      <c r="E169" s="128">
        <f t="shared" si="66"/>
        <v>7350</v>
      </c>
      <c r="F169" s="128">
        <f t="shared" si="66"/>
        <v>3565</v>
      </c>
      <c r="G169" s="128">
        <f t="shared" si="66"/>
        <v>3785</v>
      </c>
      <c r="H169" s="128">
        <f t="shared" si="66"/>
        <v>3180</v>
      </c>
      <c r="I169" s="128">
        <f t="shared" si="66"/>
        <v>5072.3</v>
      </c>
      <c r="J169" s="128">
        <f t="shared" si="66"/>
        <v>5164.700000000001</v>
      </c>
      <c r="K169" s="128" t="e">
        <f>J169/#REF!*100</f>
        <v>#REF!</v>
      </c>
      <c r="L169" s="128">
        <f>J169/H169*100</f>
        <v>162.4119496855346</v>
      </c>
      <c r="M169" s="162"/>
      <c r="N169" s="162"/>
      <c r="O169" s="128">
        <f t="shared" si="57"/>
        <v>101.82165881355598</v>
      </c>
      <c r="P169" s="128">
        <f t="shared" si="55"/>
        <v>70.26802721088436</v>
      </c>
      <c r="Q169" s="129">
        <f t="shared" si="56"/>
        <v>33.10217083378733</v>
      </c>
    </row>
    <row r="170" spans="1:17" ht="12.75">
      <c r="A170" s="110" t="s">
        <v>223</v>
      </c>
      <c r="B170" s="110"/>
      <c r="C170" s="111" t="s">
        <v>224</v>
      </c>
      <c r="D170" s="171">
        <f>F170+G170+H170+I170</f>
        <v>13755</v>
      </c>
      <c r="E170" s="159">
        <f aca="true" t="shared" si="67" ref="E170:E175">F170+G170</f>
        <v>6774</v>
      </c>
      <c r="F170" s="171">
        <v>3262</v>
      </c>
      <c r="G170" s="171">
        <v>3512</v>
      </c>
      <c r="H170" s="164">
        <v>2707</v>
      </c>
      <c r="I170" s="165">
        <v>4274</v>
      </c>
      <c r="J170" s="165">
        <v>4527.8</v>
      </c>
      <c r="K170" s="160" t="e">
        <f>J170/#REF!*100</f>
        <v>#REF!</v>
      </c>
      <c r="L170" s="160">
        <f>J170/H170*100</f>
        <v>167.2626523827115</v>
      </c>
      <c r="M170" s="162"/>
      <c r="N170" s="162"/>
      <c r="O170" s="164">
        <f t="shared" si="57"/>
        <v>105.93823116518485</v>
      </c>
      <c r="P170" s="160">
        <f t="shared" si="55"/>
        <v>66.8408621198701</v>
      </c>
      <c r="Q170" s="165">
        <f t="shared" si="56"/>
        <v>32.917484551072334</v>
      </c>
    </row>
    <row r="171" spans="1:17" ht="12.75">
      <c r="A171" s="112" t="s">
        <v>227</v>
      </c>
      <c r="B171" s="112"/>
      <c r="C171" s="111" t="s">
        <v>228</v>
      </c>
      <c r="D171" s="171">
        <f aca="true" t="shared" si="68" ref="D171:D180">F171+G171+H171+I171</f>
        <v>0</v>
      </c>
      <c r="E171" s="159">
        <f t="shared" si="67"/>
        <v>0</v>
      </c>
      <c r="F171" s="171"/>
      <c r="G171" s="171"/>
      <c r="H171" s="164"/>
      <c r="I171" s="165"/>
      <c r="J171" s="165"/>
      <c r="K171" s="160"/>
      <c r="L171" s="160"/>
      <c r="M171" s="162"/>
      <c r="N171" s="162"/>
      <c r="O171" s="164" t="e">
        <f t="shared" si="57"/>
        <v>#DIV/0!</v>
      </c>
      <c r="P171" s="160"/>
      <c r="Q171" s="165"/>
    </row>
    <row r="172" spans="1:17" ht="12.75">
      <c r="A172" s="112" t="s">
        <v>229</v>
      </c>
      <c r="B172" s="112"/>
      <c r="C172" s="111" t="s">
        <v>230</v>
      </c>
      <c r="D172" s="171">
        <f t="shared" si="68"/>
        <v>1155</v>
      </c>
      <c r="E172" s="159">
        <f t="shared" si="67"/>
        <v>230</v>
      </c>
      <c r="F172" s="171">
        <v>130</v>
      </c>
      <c r="G172" s="171">
        <v>100</v>
      </c>
      <c r="H172" s="164">
        <v>300</v>
      </c>
      <c r="I172" s="165">
        <v>625</v>
      </c>
      <c r="J172" s="165">
        <v>417.6</v>
      </c>
      <c r="K172" s="160" t="e">
        <f>J172/#REF!*100</f>
        <v>#REF!</v>
      </c>
      <c r="L172" s="160">
        <f>J172/H172*100</f>
        <v>139.20000000000002</v>
      </c>
      <c r="M172" s="162"/>
      <c r="N172" s="162"/>
      <c r="O172" s="164">
        <f t="shared" si="57"/>
        <v>66.816</v>
      </c>
      <c r="P172" s="160">
        <f t="shared" si="55"/>
        <v>181.56521739130434</v>
      </c>
      <c r="Q172" s="165">
        <f t="shared" si="56"/>
        <v>36.15584415584416</v>
      </c>
    </row>
    <row r="173" spans="1:17" ht="12.75">
      <c r="A173" s="112" t="s">
        <v>231</v>
      </c>
      <c r="B173" s="112"/>
      <c r="C173" s="111" t="s">
        <v>232</v>
      </c>
      <c r="D173" s="171">
        <f t="shared" si="68"/>
        <v>198.5</v>
      </c>
      <c r="E173" s="159">
        <f t="shared" si="67"/>
        <v>98</v>
      </c>
      <c r="F173" s="171">
        <v>49</v>
      </c>
      <c r="G173" s="171">
        <v>49</v>
      </c>
      <c r="H173" s="164">
        <v>49</v>
      </c>
      <c r="I173" s="165">
        <v>51.5</v>
      </c>
      <c r="J173" s="165">
        <v>42.8</v>
      </c>
      <c r="K173" s="160" t="e">
        <f>J173/#REF!*100</f>
        <v>#REF!</v>
      </c>
      <c r="L173" s="160">
        <f>J173/H173*100</f>
        <v>87.3469387755102</v>
      </c>
      <c r="M173" s="162"/>
      <c r="N173" s="162"/>
      <c r="O173" s="164">
        <f t="shared" si="57"/>
        <v>83.10679611650485</v>
      </c>
      <c r="P173" s="160">
        <f t="shared" si="55"/>
        <v>43.673469387755105</v>
      </c>
      <c r="Q173" s="165">
        <f t="shared" si="56"/>
        <v>21.561712846347607</v>
      </c>
    </row>
    <row r="174" spans="1:17" ht="24">
      <c r="A174" s="113" t="s">
        <v>235</v>
      </c>
      <c r="B174" s="113"/>
      <c r="C174" s="111" t="s">
        <v>236</v>
      </c>
      <c r="D174" s="171">
        <f t="shared" si="68"/>
        <v>383.8</v>
      </c>
      <c r="E174" s="159">
        <f t="shared" si="67"/>
        <v>192</v>
      </c>
      <c r="F174" s="171">
        <v>96</v>
      </c>
      <c r="G174" s="171">
        <v>96</v>
      </c>
      <c r="H174" s="164">
        <v>96</v>
      </c>
      <c r="I174" s="165">
        <v>95.8</v>
      </c>
      <c r="J174" s="165">
        <v>133.6</v>
      </c>
      <c r="K174" s="160" t="e">
        <f>J174/#REF!*100</f>
        <v>#REF!</v>
      </c>
      <c r="L174" s="160">
        <f>J174/H174*100</f>
        <v>139.16666666666666</v>
      </c>
      <c r="M174" s="162"/>
      <c r="N174" s="162"/>
      <c r="O174" s="164">
        <f t="shared" si="57"/>
        <v>139.45720250521921</v>
      </c>
      <c r="P174" s="160">
        <f t="shared" si="55"/>
        <v>69.58333333333333</v>
      </c>
      <c r="Q174" s="165">
        <f t="shared" si="56"/>
        <v>34.8097967691506</v>
      </c>
    </row>
    <row r="175" spans="1:17" ht="24">
      <c r="A175" s="115" t="s">
        <v>239</v>
      </c>
      <c r="B175" s="115"/>
      <c r="C175" s="111" t="s">
        <v>240</v>
      </c>
      <c r="D175" s="171">
        <f t="shared" si="68"/>
        <v>110</v>
      </c>
      <c r="E175" s="159">
        <f t="shared" si="67"/>
        <v>56</v>
      </c>
      <c r="F175" s="171">
        <v>28</v>
      </c>
      <c r="G175" s="171">
        <v>28</v>
      </c>
      <c r="H175" s="164">
        <v>28</v>
      </c>
      <c r="I175" s="165">
        <v>26</v>
      </c>
      <c r="J175" s="165">
        <v>42.9</v>
      </c>
      <c r="K175" s="160" t="e">
        <f>J175/#REF!*100</f>
        <v>#REF!</v>
      </c>
      <c r="L175" s="160">
        <f>J175/H175*100</f>
        <v>153.2142857142857</v>
      </c>
      <c r="M175" s="162"/>
      <c r="N175" s="162"/>
      <c r="O175" s="164">
        <f t="shared" si="57"/>
        <v>165</v>
      </c>
      <c r="P175" s="160">
        <f t="shared" si="55"/>
        <v>76.60714285714286</v>
      </c>
      <c r="Q175" s="165">
        <f t="shared" si="56"/>
        <v>39</v>
      </c>
    </row>
    <row r="176" spans="1:17" ht="24">
      <c r="A176" s="115" t="s">
        <v>241</v>
      </c>
      <c r="B176" s="115"/>
      <c r="C176" s="111" t="s">
        <v>242</v>
      </c>
      <c r="D176" s="171">
        <f t="shared" si="68"/>
        <v>0</v>
      </c>
      <c r="E176" s="163">
        <f>F176</f>
        <v>0</v>
      </c>
      <c r="F176" s="171"/>
      <c r="G176" s="171"/>
      <c r="H176" s="164"/>
      <c r="I176" s="165"/>
      <c r="J176" s="165">
        <v>0</v>
      </c>
      <c r="K176" s="160" t="e">
        <f>J176/#REF!*100</f>
        <v>#REF!</v>
      </c>
      <c r="L176" s="160" t="e">
        <f>J176/H176*100</f>
        <v>#DIV/0!</v>
      </c>
      <c r="M176" s="162"/>
      <c r="N176" s="162"/>
      <c r="O176" s="164" t="e">
        <f t="shared" si="57"/>
        <v>#DIV/0!</v>
      </c>
      <c r="P176" s="160"/>
      <c r="Q176" s="165"/>
    </row>
    <row r="177" spans="1:17" ht="12.75">
      <c r="A177" s="110" t="s">
        <v>245</v>
      </c>
      <c r="B177" s="110"/>
      <c r="C177" s="111" t="s">
        <v>246</v>
      </c>
      <c r="D177" s="171">
        <f t="shared" si="68"/>
        <v>0</v>
      </c>
      <c r="E177" s="163">
        <f>F177+G177</f>
        <v>0</v>
      </c>
      <c r="F177" s="171"/>
      <c r="G177" s="171"/>
      <c r="H177" s="164"/>
      <c r="I177" s="165"/>
      <c r="J177" s="165"/>
      <c r="K177" s="160" t="e">
        <f>J177/#REF!*100</f>
        <v>#REF!</v>
      </c>
      <c r="L177" s="160"/>
      <c r="M177" s="162"/>
      <c r="N177" s="162"/>
      <c r="O177" s="164" t="e">
        <f t="shared" si="57"/>
        <v>#DIV/0!</v>
      </c>
      <c r="P177" s="160"/>
      <c r="Q177" s="165"/>
    </row>
    <row r="178" spans="1:17" ht="12.75">
      <c r="A178" s="133" t="s">
        <v>247</v>
      </c>
      <c r="B178" s="117"/>
      <c r="C178" s="118" t="s">
        <v>248</v>
      </c>
      <c r="D178" s="171">
        <f t="shared" si="68"/>
        <v>0</v>
      </c>
      <c r="E178" s="163">
        <f>F178+G178</f>
        <v>0</v>
      </c>
      <c r="F178" s="178"/>
      <c r="G178" s="178"/>
      <c r="H178" s="164"/>
      <c r="I178" s="165"/>
      <c r="J178" s="165">
        <v>0</v>
      </c>
      <c r="K178" s="160" t="e">
        <f>J178/#REF!*100</f>
        <v>#REF!</v>
      </c>
      <c r="L178" s="160"/>
      <c r="M178" s="162"/>
      <c r="N178" s="162"/>
      <c r="O178" s="164" t="e">
        <f t="shared" si="57"/>
        <v>#DIV/0!</v>
      </c>
      <c r="P178" s="128"/>
      <c r="Q178" s="129"/>
    </row>
    <row r="179" spans="1:17" ht="12.75">
      <c r="A179" s="108" t="s">
        <v>249</v>
      </c>
      <c r="B179" s="108"/>
      <c r="C179" s="119" t="s">
        <v>250</v>
      </c>
      <c r="D179" s="157">
        <f aca="true" t="shared" si="69" ref="D179:J179">D180</f>
        <v>41007.100000000006</v>
      </c>
      <c r="E179" s="157">
        <f t="shared" si="69"/>
        <v>22711.9</v>
      </c>
      <c r="F179" s="157">
        <f t="shared" si="69"/>
        <v>12622.5</v>
      </c>
      <c r="G179" s="157">
        <f t="shared" si="69"/>
        <v>10089.4</v>
      </c>
      <c r="H179" s="157">
        <f t="shared" si="69"/>
        <v>9152.4</v>
      </c>
      <c r="I179" s="157">
        <f t="shared" si="69"/>
        <v>9142.8</v>
      </c>
      <c r="J179" s="157">
        <f t="shared" si="69"/>
        <v>17340.2</v>
      </c>
      <c r="K179" s="128" t="e">
        <f>J179/#REF!*100</f>
        <v>#REF!</v>
      </c>
      <c r="L179" s="128">
        <f>J179/H179*100</f>
        <v>189.4606879069971</v>
      </c>
      <c r="M179" s="162"/>
      <c r="N179" s="162"/>
      <c r="O179" s="157">
        <f t="shared" si="57"/>
        <v>189.65962287264296</v>
      </c>
      <c r="P179" s="128">
        <f t="shared" si="55"/>
        <v>76.34852214037575</v>
      </c>
      <c r="Q179" s="129">
        <f t="shared" si="56"/>
        <v>42.285848060457816</v>
      </c>
    </row>
    <row r="180" spans="1:17" ht="24">
      <c r="A180" s="120" t="s">
        <v>251</v>
      </c>
      <c r="B180" s="112"/>
      <c r="C180" s="121" t="s">
        <v>252</v>
      </c>
      <c r="D180" s="171">
        <f t="shared" si="68"/>
        <v>41007.100000000006</v>
      </c>
      <c r="E180" s="159">
        <f>F180+G180</f>
        <v>22711.9</v>
      </c>
      <c r="F180" s="171">
        <f>10361.4+2021+240.1</f>
        <v>12622.5</v>
      </c>
      <c r="G180" s="171">
        <f>9152.4+937</f>
        <v>10089.4</v>
      </c>
      <c r="H180" s="164">
        <v>9152.4</v>
      </c>
      <c r="I180" s="165">
        <v>9142.8</v>
      </c>
      <c r="J180" s="165">
        <v>17340.2</v>
      </c>
      <c r="K180" s="160" t="e">
        <f>J180/#REF!*100</f>
        <v>#REF!</v>
      </c>
      <c r="L180" s="160">
        <f>J180/H180*100</f>
        <v>189.4606879069971</v>
      </c>
      <c r="M180" s="162"/>
      <c r="N180" s="162"/>
      <c r="O180" s="164">
        <f t="shared" si="57"/>
        <v>189.65962287264296</v>
      </c>
      <c r="P180" s="160">
        <f t="shared" si="55"/>
        <v>76.34852214037575</v>
      </c>
      <c r="Q180" s="165">
        <f t="shared" si="56"/>
        <v>42.285848060457816</v>
      </c>
    </row>
    <row r="181" spans="1:17" ht="12.75">
      <c r="A181" s="110"/>
      <c r="B181" s="126"/>
      <c r="C181" s="127" t="s">
        <v>259</v>
      </c>
      <c r="D181" s="129">
        <f aca="true" t="shared" si="70" ref="D181:J181">D179+D169</f>
        <v>56609.40000000001</v>
      </c>
      <c r="E181" s="129">
        <f t="shared" si="70"/>
        <v>30061.9</v>
      </c>
      <c r="F181" s="129">
        <f t="shared" si="70"/>
        <v>16187.5</v>
      </c>
      <c r="G181" s="129">
        <f t="shared" si="70"/>
        <v>13874.4</v>
      </c>
      <c r="H181" s="129">
        <f t="shared" si="70"/>
        <v>12332.4</v>
      </c>
      <c r="I181" s="129">
        <f t="shared" si="70"/>
        <v>14215.099999999999</v>
      </c>
      <c r="J181" s="129">
        <f t="shared" si="70"/>
        <v>22504.9</v>
      </c>
      <c r="K181" s="128" t="e">
        <f>J181/#REF!*100</f>
        <v>#REF!</v>
      </c>
      <c r="L181" s="128">
        <f>J181/H181*100</f>
        <v>182.4859719113879</v>
      </c>
      <c r="M181" s="162"/>
      <c r="N181" s="169" t="e">
        <f>I181+#REF!+#REF!</f>
        <v>#REF!</v>
      </c>
      <c r="O181" s="157">
        <f t="shared" si="57"/>
        <v>158.31686024016716</v>
      </c>
      <c r="P181" s="128">
        <f t="shared" si="55"/>
        <v>74.86186834498152</v>
      </c>
      <c r="Q181" s="129">
        <f t="shared" si="56"/>
        <v>39.75470504898479</v>
      </c>
    </row>
    <row r="182" spans="1:17" ht="12.75">
      <c r="A182" s="210"/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2"/>
      <c r="M182" s="162"/>
      <c r="N182" s="162"/>
      <c r="O182" s="170"/>
      <c r="P182" s="128"/>
      <c r="Q182" s="129"/>
    </row>
    <row r="183" spans="1:17" ht="12.75">
      <c r="A183" s="219" t="s">
        <v>272</v>
      </c>
      <c r="B183" s="219"/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128"/>
      <c r="Q183" s="129"/>
    </row>
    <row r="184" spans="1:17" ht="12.75">
      <c r="A184" s="108" t="s">
        <v>221</v>
      </c>
      <c r="B184" s="108"/>
      <c r="C184" s="109" t="s">
        <v>222</v>
      </c>
      <c r="D184" s="128">
        <f>D185+D187+D189+D191+D188+D192+D193+D186+D190</f>
        <v>1373</v>
      </c>
      <c r="E184" s="128">
        <f aca="true" t="shared" si="71" ref="E184:J184">E185+E187+E189+E191+E188+E192+E193+E186+E190</f>
        <v>500</v>
      </c>
      <c r="F184" s="128">
        <f t="shared" si="71"/>
        <v>163</v>
      </c>
      <c r="G184" s="128">
        <f t="shared" si="71"/>
        <v>337</v>
      </c>
      <c r="H184" s="128">
        <f t="shared" si="71"/>
        <v>366</v>
      </c>
      <c r="I184" s="128">
        <f t="shared" si="71"/>
        <v>507</v>
      </c>
      <c r="J184" s="128">
        <f t="shared" si="71"/>
        <v>540.3</v>
      </c>
      <c r="K184" s="128" t="e">
        <f>J184/#REF!*100</f>
        <v>#REF!</v>
      </c>
      <c r="L184" s="128">
        <f aca="true" t="shared" si="72" ref="L184:L191">J184/H184*100</f>
        <v>147.62295081967213</v>
      </c>
      <c r="M184" s="162"/>
      <c r="N184" s="162"/>
      <c r="O184" s="128">
        <f t="shared" si="57"/>
        <v>106.56804733727809</v>
      </c>
      <c r="P184" s="128">
        <f t="shared" si="55"/>
        <v>108.05999999999999</v>
      </c>
      <c r="Q184" s="129">
        <f t="shared" si="56"/>
        <v>39.35178441369264</v>
      </c>
    </row>
    <row r="185" spans="1:17" ht="12.75">
      <c r="A185" s="110" t="s">
        <v>223</v>
      </c>
      <c r="B185" s="110"/>
      <c r="C185" s="111" t="s">
        <v>224</v>
      </c>
      <c r="D185" s="171">
        <f>F185+G185+H185+I185</f>
        <v>1155</v>
      </c>
      <c r="E185" s="159">
        <f aca="true" t="shared" si="73" ref="E185:E195">F185+G185</f>
        <v>420</v>
      </c>
      <c r="F185" s="171">
        <v>120</v>
      </c>
      <c r="G185" s="171">
        <v>300</v>
      </c>
      <c r="H185" s="164">
        <v>280</v>
      </c>
      <c r="I185" s="164">
        <v>455</v>
      </c>
      <c r="J185" s="165">
        <v>258.2</v>
      </c>
      <c r="K185" s="160" t="e">
        <f>J185/#REF!*100</f>
        <v>#REF!</v>
      </c>
      <c r="L185" s="160">
        <f t="shared" si="72"/>
        <v>92.21428571428572</v>
      </c>
      <c r="M185" s="162"/>
      <c r="N185" s="162"/>
      <c r="O185" s="164">
        <f t="shared" si="57"/>
        <v>56.747252747252745</v>
      </c>
      <c r="P185" s="160">
        <f t="shared" si="55"/>
        <v>61.476190476190474</v>
      </c>
      <c r="Q185" s="165">
        <f t="shared" si="56"/>
        <v>22.354978354978353</v>
      </c>
    </row>
    <row r="186" spans="1:17" ht="36">
      <c r="A186" s="112" t="s">
        <v>227</v>
      </c>
      <c r="B186" s="140" t="s">
        <v>273</v>
      </c>
      <c r="C186" s="111" t="s">
        <v>228</v>
      </c>
      <c r="D186" s="171">
        <f aca="true" t="shared" si="74" ref="D186:D195">F186+G186+H186+I186</f>
        <v>16</v>
      </c>
      <c r="E186" s="159">
        <f t="shared" si="73"/>
        <v>16</v>
      </c>
      <c r="F186" s="171">
        <v>16</v>
      </c>
      <c r="G186" s="171"/>
      <c r="H186" s="164"/>
      <c r="I186" s="164"/>
      <c r="J186" s="165">
        <v>0.4</v>
      </c>
      <c r="K186" s="160" t="e">
        <f>J186/#REF!*100</f>
        <v>#REF!</v>
      </c>
      <c r="L186" s="160"/>
      <c r="M186" s="162"/>
      <c r="N186" s="162"/>
      <c r="O186" s="164" t="e">
        <f t="shared" si="57"/>
        <v>#DIV/0!</v>
      </c>
      <c r="P186" s="160">
        <f t="shared" si="55"/>
        <v>2.5</v>
      </c>
      <c r="Q186" s="165">
        <f t="shared" si="56"/>
        <v>2.5</v>
      </c>
    </row>
    <row r="187" spans="1:17" ht="12.75">
      <c r="A187" s="112" t="s">
        <v>229</v>
      </c>
      <c r="B187" s="112"/>
      <c r="C187" s="111" t="s">
        <v>230</v>
      </c>
      <c r="D187" s="171">
        <f t="shared" si="74"/>
        <v>87</v>
      </c>
      <c r="E187" s="159">
        <f t="shared" si="73"/>
        <v>8</v>
      </c>
      <c r="F187" s="171">
        <v>3</v>
      </c>
      <c r="G187" s="171">
        <v>5</v>
      </c>
      <c r="H187" s="164">
        <v>54</v>
      </c>
      <c r="I187" s="164">
        <v>25</v>
      </c>
      <c r="J187" s="165">
        <v>5.6</v>
      </c>
      <c r="K187" s="160" t="e">
        <f>J187/#REF!*100</f>
        <v>#REF!</v>
      </c>
      <c r="L187" s="160">
        <f t="shared" si="72"/>
        <v>10.37037037037037</v>
      </c>
      <c r="M187" s="162"/>
      <c r="N187" s="162"/>
      <c r="O187" s="164">
        <f t="shared" si="57"/>
        <v>22.4</v>
      </c>
      <c r="P187" s="160">
        <f t="shared" si="55"/>
        <v>70</v>
      </c>
      <c r="Q187" s="165">
        <f t="shared" si="56"/>
        <v>6.436781609195402</v>
      </c>
    </row>
    <row r="188" spans="1:17" ht="12.75">
      <c r="A188" s="112" t="s">
        <v>231</v>
      </c>
      <c r="B188" s="112"/>
      <c r="C188" s="111" t="s">
        <v>232</v>
      </c>
      <c r="D188" s="171">
        <f t="shared" si="74"/>
        <v>35</v>
      </c>
      <c r="E188" s="159">
        <f t="shared" si="73"/>
        <v>16</v>
      </c>
      <c r="F188" s="171">
        <v>4</v>
      </c>
      <c r="G188" s="171">
        <v>12</v>
      </c>
      <c r="H188" s="164">
        <v>12</v>
      </c>
      <c r="I188" s="164">
        <v>7</v>
      </c>
      <c r="J188" s="165">
        <v>9</v>
      </c>
      <c r="K188" s="160" t="e">
        <f>J188/#REF!*100</f>
        <v>#REF!</v>
      </c>
      <c r="L188" s="160">
        <f t="shared" si="72"/>
        <v>75</v>
      </c>
      <c r="M188" s="162"/>
      <c r="N188" s="162"/>
      <c r="O188" s="164">
        <f t="shared" si="57"/>
        <v>128.57142857142858</v>
      </c>
      <c r="P188" s="160">
        <f t="shared" si="55"/>
        <v>56.25</v>
      </c>
      <c r="Q188" s="165">
        <f t="shared" si="56"/>
        <v>25.714285714285715</v>
      </c>
    </row>
    <row r="189" spans="1:17" ht="24">
      <c r="A189" s="113" t="s">
        <v>235</v>
      </c>
      <c r="B189" s="113"/>
      <c r="C189" s="111" t="s">
        <v>236</v>
      </c>
      <c r="D189" s="171">
        <f t="shared" si="74"/>
        <v>80</v>
      </c>
      <c r="E189" s="159">
        <f t="shared" si="73"/>
        <v>40</v>
      </c>
      <c r="F189" s="171">
        <v>20</v>
      </c>
      <c r="G189" s="171">
        <v>20</v>
      </c>
      <c r="H189" s="164">
        <v>20</v>
      </c>
      <c r="I189" s="164">
        <v>20</v>
      </c>
      <c r="J189" s="165">
        <v>123.1</v>
      </c>
      <c r="K189" s="160" t="e">
        <f>J189/#REF!*100</f>
        <v>#REF!</v>
      </c>
      <c r="L189" s="160">
        <f t="shared" si="72"/>
        <v>615.4999999999999</v>
      </c>
      <c r="M189" s="162"/>
      <c r="N189" s="162"/>
      <c r="O189" s="164">
        <f t="shared" si="57"/>
        <v>615.5</v>
      </c>
      <c r="P189" s="160">
        <f t="shared" si="55"/>
        <v>307.75</v>
      </c>
      <c r="Q189" s="165">
        <f t="shared" si="56"/>
        <v>153.875</v>
      </c>
    </row>
    <row r="190" spans="1:17" ht="24">
      <c r="A190" s="115" t="s">
        <v>239</v>
      </c>
      <c r="B190" s="115"/>
      <c r="C190" s="111" t="s">
        <v>240</v>
      </c>
      <c r="D190" s="171"/>
      <c r="E190" s="159">
        <f t="shared" si="73"/>
        <v>0</v>
      </c>
      <c r="F190" s="171"/>
      <c r="G190" s="171"/>
      <c r="H190" s="164"/>
      <c r="I190" s="164"/>
      <c r="J190" s="165">
        <v>94</v>
      </c>
      <c r="K190" s="160"/>
      <c r="L190" s="160"/>
      <c r="M190" s="162"/>
      <c r="N190" s="162"/>
      <c r="O190" s="164"/>
      <c r="P190" s="160"/>
      <c r="Q190" s="165"/>
    </row>
    <row r="191" spans="1:17" ht="24">
      <c r="A191" s="114" t="s">
        <v>241</v>
      </c>
      <c r="B191" s="114"/>
      <c r="C191" s="111" t="s">
        <v>242</v>
      </c>
      <c r="D191" s="171">
        <f t="shared" si="74"/>
        <v>0</v>
      </c>
      <c r="E191" s="159">
        <f t="shared" si="73"/>
        <v>0</v>
      </c>
      <c r="F191" s="171"/>
      <c r="G191" s="171"/>
      <c r="H191" s="164"/>
      <c r="I191" s="164"/>
      <c r="J191" s="165"/>
      <c r="K191" s="160" t="e">
        <f>J191/#REF!*100</f>
        <v>#REF!</v>
      </c>
      <c r="L191" s="160" t="e">
        <f t="shared" si="72"/>
        <v>#DIV/0!</v>
      </c>
      <c r="M191" s="162"/>
      <c r="N191" s="162"/>
      <c r="O191" s="164" t="e">
        <f t="shared" si="57"/>
        <v>#DIV/0!</v>
      </c>
      <c r="P191" s="160"/>
      <c r="Q191" s="165" t="e">
        <f t="shared" si="56"/>
        <v>#DIV/0!</v>
      </c>
    </row>
    <row r="192" spans="1:17" ht="12.75">
      <c r="A192" s="114" t="s">
        <v>245</v>
      </c>
      <c r="B192" s="139"/>
      <c r="C192" s="111" t="s">
        <v>246</v>
      </c>
      <c r="D192" s="171">
        <f t="shared" si="74"/>
        <v>0</v>
      </c>
      <c r="E192" s="159">
        <f t="shared" si="73"/>
        <v>0</v>
      </c>
      <c r="F192" s="171"/>
      <c r="G192" s="171"/>
      <c r="H192" s="164"/>
      <c r="I192" s="164"/>
      <c r="J192" s="165"/>
      <c r="K192" s="160" t="e">
        <f>J192/#REF!*100</f>
        <v>#REF!</v>
      </c>
      <c r="L192" s="160"/>
      <c r="M192" s="162"/>
      <c r="N192" s="162"/>
      <c r="O192" s="164" t="e">
        <f t="shared" si="57"/>
        <v>#DIV/0!</v>
      </c>
      <c r="P192" s="160"/>
      <c r="Q192" s="165"/>
    </row>
    <row r="193" spans="1:17" ht="12.75">
      <c r="A193" s="133" t="s">
        <v>247</v>
      </c>
      <c r="B193" s="117"/>
      <c r="C193" s="118" t="s">
        <v>248</v>
      </c>
      <c r="D193" s="171">
        <f t="shared" si="74"/>
        <v>0</v>
      </c>
      <c r="E193" s="159">
        <f t="shared" si="73"/>
        <v>0</v>
      </c>
      <c r="F193" s="171"/>
      <c r="G193" s="171"/>
      <c r="H193" s="164"/>
      <c r="I193" s="164"/>
      <c r="J193" s="165">
        <v>50</v>
      </c>
      <c r="K193" s="160" t="e">
        <f>J193/#REF!*100</f>
        <v>#REF!</v>
      </c>
      <c r="L193" s="160"/>
      <c r="M193" s="162"/>
      <c r="N193" s="162"/>
      <c r="O193" s="164"/>
      <c r="P193" s="160"/>
      <c r="Q193" s="165"/>
    </row>
    <row r="194" spans="1:17" ht="12.75">
      <c r="A194" s="108" t="s">
        <v>249</v>
      </c>
      <c r="B194" s="108"/>
      <c r="C194" s="119" t="s">
        <v>250</v>
      </c>
      <c r="D194" s="166">
        <f>D195+D196</f>
        <v>22449.4</v>
      </c>
      <c r="E194" s="166">
        <f aca="true" t="shared" si="75" ref="E194:O194">E195+E196</f>
        <v>11830.3</v>
      </c>
      <c r="F194" s="166">
        <f t="shared" si="75"/>
        <v>5925.2</v>
      </c>
      <c r="G194" s="166">
        <f t="shared" si="75"/>
        <v>5905.1</v>
      </c>
      <c r="H194" s="166">
        <f t="shared" si="75"/>
        <v>5544.5</v>
      </c>
      <c r="I194" s="166">
        <f t="shared" si="75"/>
        <v>5074.6</v>
      </c>
      <c r="J194" s="166">
        <f t="shared" si="75"/>
        <v>6974.8</v>
      </c>
      <c r="K194" s="166" t="e">
        <f t="shared" si="75"/>
        <v>#REF!</v>
      </c>
      <c r="L194" s="166">
        <f t="shared" si="75"/>
        <v>125.25565876093425</v>
      </c>
      <c r="M194" s="166">
        <f t="shared" si="75"/>
        <v>0</v>
      </c>
      <c r="N194" s="166">
        <f t="shared" si="75"/>
        <v>0</v>
      </c>
      <c r="O194" s="166">
        <f t="shared" si="75"/>
        <v>136.85413628660385</v>
      </c>
      <c r="P194" s="128">
        <f t="shared" si="55"/>
        <v>58.95708477384344</v>
      </c>
      <c r="Q194" s="129">
        <f t="shared" si="56"/>
        <v>31.068981799068126</v>
      </c>
    </row>
    <row r="195" spans="1:17" ht="24">
      <c r="A195" s="120" t="s">
        <v>251</v>
      </c>
      <c r="B195" s="112"/>
      <c r="C195" s="121" t="s">
        <v>252</v>
      </c>
      <c r="D195" s="171">
        <f t="shared" si="74"/>
        <v>22449.4</v>
      </c>
      <c r="E195" s="159">
        <f t="shared" si="73"/>
        <v>11830.3</v>
      </c>
      <c r="F195" s="171">
        <f>5827.2+98</f>
        <v>5925.2</v>
      </c>
      <c r="G195" s="171">
        <f>5844.5+60.6</f>
        <v>5905.1</v>
      </c>
      <c r="H195" s="164">
        <v>5544.5</v>
      </c>
      <c r="I195" s="164">
        <v>5074.6</v>
      </c>
      <c r="J195" s="165">
        <v>6944.8</v>
      </c>
      <c r="K195" s="160" t="e">
        <f>J195/#REF!*100</f>
        <v>#REF!</v>
      </c>
      <c r="L195" s="160">
        <f>J195/H195*100</f>
        <v>125.25565876093425</v>
      </c>
      <c r="M195" s="162"/>
      <c r="N195" s="162"/>
      <c r="O195" s="164">
        <f t="shared" si="57"/>
        <v>136.85413628660385</v>
      </c>
      <c r="P195" s="160">
        <f t="shared" si="55"/>
        <v>58.703498643314205</v>
      </c>
      <c r="Q195" s="165">
        <f t="shared" si="56"/>
        <v>30.935347938029523</v>
      </c>
    </row>
    <row r="196" spans="1:17" ht="12.75">
      <c r="A196" s="120" t="s">
        <v>253</v>
      </c>
      <c r="B196" s="120"/>
      <c r="C196" s="122" t="s">
        <v>254</v>
      </c>
      <c r="D196" s="171"/>
      <c r="E196" s="159"/>
      <c r="F196" s="171"/>
      <c r="G196" s="171"/>
      <c r="H196" s="164"/>
      <c r="I196" s="164"/>
      <c r="J196" s="165">
        <v>30</v>
      </c>
      <c r="K196" s="160"/>
      <c r="L196" s="160"/>
      <c r="M196" s="162"/>
      <c r="N196" s="162"/>
      <c r="O196" s="164"/>
      <c r="P196" s="160"/>
      <c r="Q196" s="165"/>
    </row>
    <row r="197" spans="1:17" ht="12.75">
      <c r="A197" s="110"/>
      <c r="B197" s="126"/>
      <c r="C197" s="127" t="s">
        <v>259</v>
      </c>
      <c r="D197" s="129">
        <f aca="true" t="shared" si="76" ref="D197:J197">D194+D184</f>
        <v>23822.4</v>
      </c>
      <c r="E197" s="129">
        <f t="shared" si="76"/>
        <v>12330.3</v>
      </c>
      <c r="F197" s="157">
        <f t="shared" si="76"/>
        <v>6088.2</v>
      </c>
      <c r="G197" s="157">
        <f t="shared" si="76"/>
        <v>6242.1</v>
      </c>
      <c r="H197" s="157">
        <f t="shared" si="76"/>
        <v>5910.5</v>
      </c>
      <c r="I197" s="157">
        <f t="shared" si="76"/>
        <v>5581.6</v>
      </c>
      <c r="J197" s="129">
        <f t="shared" si="76"/>
        <v>7515.1</v>
      </c>
      <c r="K197" s="128" t="e">
        <f>J197/#REF!*100</f>
        <v>#REF!</v>
      </c>
      <c r="L197" s="128">
        <f>J197/H197*100</f>
        <v>127.14829540648</v>
      </c>
      <c r="M197" s="162"/>
      <c r="N197" s="169" t="e">
        <f>I197+#REF!+#REF!</f>
        <v>#REF!</v>
      </c>
      <c r="O197" s="157">
        <f t="shared" si="57"/>
        <v>134.64060484448902</v>
      </c>
      <c r="P197" s="128">
        <f t="shared" si="55"/>
        <v>60.94823321411483</v>
      </c>
      <c r="Q197" s="129">
        <f t="shared" si="56"/>
        <v>31.54635972865874</v>
      </c>
    </row>
    <row r="198" spans="1:17" ht="12.75">
      <c r="A198" s="210"/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2"/>
      <c r="M198" s="162"/>
      <c r="N198" s="162"/>
      <c r="O198" s="170"/>
      <c r="P198" s="128"/>
      <c r="Q198" s="129"/>
    </row>
    <row r="199" spans="1:17" ht="12.75">
      <c r="A199" s="213" t="s">
        <v>274</v>
      </c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5"/>
    </row>
    <row r="200" spans="1:17" ht="12.75">
      <c r="A200" s="108" t="s">
        <v>221</v>
      </c>
      <c r="B200" s="141"/>
      <c r="C200" s="109" t="s">
        <v>222</v>
      </c>
      <c r="D200" s="128">
        <f aca="true" t="shared" si="77" ref="D200:J200">D201+D203+D204+D205+D207+D208+D210+D212+D209+D206+D213+D211+D202</f>
        <v>786001.7000000001</v>
      </c>
      <c r="E200" s="128">
        <f t="shared" si="77"/>
        <v>376032.5</v>
      </c>
      <c r="F200" s="128">
        <f t="shared" si="77"/>
        <v>170718.60000000003</v>
      </c>
      <c r="G200" s="128">
        <f t="shared" si="77"/>
        <v>205313.90000000002</v>
      </c>
      <c r="H200" s="128">
        <f t="shared" si="77"/>
        <v>186242.8</v>
      </c>
      <c r="I200" s="128">
        <f t="shared" si="77"/>
        <v>223726.4</v>
      </c>
      <c r="J200" s="128">
        <f t="shared" si="77"/>
        <v>300075</v>
      </c>
      <c r="K200" s="128" t="e">
        <f>J200/#REF!*100</f>
        <v>#REF!</v>
      </c>
      <c r="L200" s="128">
        <f aca="true" t="shared" si="78" ref="L200:L211">J200/H200*100</f>
        <v>161.12032250374244</v>
      </c>
      <c r="M200" s="162"/>
      <c r="N200" s="162"/>
      <c r="O200" s="128">
        <f t="shared" si="57"/>
        <v>134.1258787519041</v>
      </c>
      <c r="P200" s="128">
        <f t="shared" si="55"/>
        <v>79.80028322020038</v>
      </c>
      <c r="Q200" s="129">
        <f t="shared" si="56"/>
        <v>38.17739834404938</v>
      </c>
    </row>
    <row r="201" spans="1:17" ht="36">
      <c r="A201" s="110" t="s">
        <v>223</v>
      </c>
      <c r="B201" s="142" t="s">
        <v>275</v>
      </c>
      <c r="C201" s="111" t="s">
        <v>224</v>
      </c>
      <c r="D201" s="171">
        <f>F201+G201+H201+I201</f>
        <v>574720.1000000001</v>
      </c>
      <c r="E201" s="159">
        <f aca="true" t="shared" si="79" ref="E201:E217">F201+G201</f>
        <v>282919.2</v>
      </c>
      <c r="F201" s="165">
        <f>F9+F31+F45+F61+F77+F94+F109+F124+F139+F155+F170+F185</f>
        <v>131621.1</v>
      </c>
      <c r="G201" s="165">
        <f>G9+G31+G45+G61+G77+G94+G109+G124+G139+G155+G170+G185</f>
        <v>151298.1</v>
      </c>
      <c r="H201" s="165">
        <f>H9+H31+H45+H61+H77+H94+H109+H124+H139+H155+H170+H185</f>
        <v>132400.6</v>
      </c>
      <c r="I201" s="165">
        <f>I9+I31+I45+I61+I77+I94+I109+I124+I139+I155+I170+I185</f>
        <v>159400.30000000002</v>
      </c>
      <c r="J201" s="165">
        <f>J9+J31+J45+J61+J77+J94+J109+J124+J139+J155+J170+J185</f>
        <v>195725.59999999995</v>
      </c>
      <c r="K201" s="160" t="e">
        <f>J201/#REF!*100</f>
        <v>#REF!</v>
      </c>
      <c r="L201" s="160">
        <f t="shared" si="78"/>
        <v>147.8283331042306</v>
      </c>
      <c r="M201" s="162"/>
      <c r="N201" s="162"/>
      <c r="O201" s="164">
        <f t="shared" si="57"/>
        <v>122.78872749925812</v>
      </c>
      <c r="P201" s="160">
        <f t="shared" si="55"/>
        <v>69.18074135654277</v>
      </c>
      <c r="Q201" s="165">
        <f t="shared" si="56"/>
        <v>34.05581255988783</v>
      </c>
    </row>
    <row r="202" spans="1:17" ht="12.75">
      <c r="A202" s="112" t="s">
        <v>225</v>
      </c>
      <c r="B202" s="112"/>
      <c r="C202" s="111" t="s">
        <v>226</v>
      </c>
      <c r="D202" s="171">
        <f aca="true" t="shared" si="80" ref="D202:D217">F202+G202+H202+I202</f>
        <v>33926</v>
      </c>
      <c r="E202" s="159">
        <f t="shared" si="79"/>
        <v>16963</v>
      </c>
      <c r="F202" s="165">
        <f aca="true" t="shared" si="81" ref="F202:O202">F10</f>
        <v>8481.5</v>
      </c>
      <c r="G202" s="165">
        <f t="shared" si="81"/>
        <v>8481.5</v>
      </c>
      <c r="H202" s="165">
        <f t="shared" si="81"/>
        <v>8481.5</v>
      </c>
      <c r="I202" s="165">
        <f t="shared" si="81"/>
        <v>8481.5</v>
      </c>
      <c r="J202" s="165">
        <f>J10</f>
        <v>12321.4</v>
      </c>
      <c r="K202" s="165">
        <f t="shared" si="81"/>
        <v>0</v>
      </c>
      <c r="L202" s="165">
        <f t="shared" si="81"/>
        <v>0</v>
      </c>
      <c r="M202" s="165">
        <f t="shared" si="81"/>
        <v>0</v>
      </c>
      <c r="N202" s="165">
        <f t="shared" si="81"/>
        <v>0</v>
      </c>
      <c r="O202" s="165">
        <f t="shared" si="81"/>
        <v>0</v>
      </c>
      <c r="P202" s="160">
        <f t="shared" si="55"/>
        <v>72.63691563992218</v>
      </c>
      <c r="Q202" s="165">
        <f t="shared" si="56"/>
        <v>36.31845781996109</v>
      </c>
    </row>
    <row r="203" spans="1:17" ht="36">
      <c r="A203" s="112" t="s">
        <v>227</v>
      </c>
      <c r="B203" s="140" t="s">
        <v>273</v>
      </c>
      <c r="C203" s="111" t="s">
        <v>228</v>
      </c>
      <c r="D203" s="171">
        <f t="shared" si="80"/>
        <v>31317.6</v>
      </c>
      <c r="E203" s="159">
        <f t="shared" si="79"/>
        <v>15553.599999999999</v>
      </c>
      <c r="F203" s="165">
        <f>F11+F46+F62+F186+F140+F110+F171+F78+F95</f>
        <v>7656.5</v>
      </c>
      <c r="G203" s="165">
        <f>G11+G46+G62+G186+G140+G110+G171+G78+G95</f>
        <v>7897.099999999999</v>
      </c>
      <c r="H203" s="165">
        <f>H11+H46+H62+H186+H140+H110+H171+H78+H95</f>
        <v>7917.099999999999</v>
      </c>
      <c r="I203" s="165">
        <f>I11+I46+I62+I186+I140+I110+I171+I78+I95</f>
        <v>7846.9</v>
      </c>
      <c r="J203" s="165">
        <f>J11+J46+J62+J186+J140+J110+J171+J78+J95+0.1</f>
        <v>18480.7</v>
      </c>
      <c r="K203" s="160" t="e">
        <f>J203/#REF!*100</f>
        <v>#REF!</v>
      </c>
      <c r="L203" s="160">
        <f t="shared" si="78"/>
        <v>233.42764396054113</v>
      </c>
      <c r="M203" s="162"/>
      <c r="N203" s="162"/>
      <c r="O203" s="164">
        <f t="shared" si="57"/>
        <v>235.51593622959388</v>
      </c>
      <c r="P203" s="160">
        <f t="shared" si="55"/>
        <v>118.81943730068924</v>
      </c>
      <c r="Q203" s="165">
        <f t="shared" si="56"/>
        <v>59.010588295399394</v>
      </c>
    </row>
    <row r="204" spans="1:17" ht="36">
      <c r="A204" s="112" t="s">
        <v>229</v>
      </c>
      <c r="B204" s="140" t="s">
        <v>276</v>
      </c>
      <c r="C204" s="111" t="s">
        <v>230</v>
      </c>
      <c r="D204" s="171">
        <f t="shared" si="80"/>
        <v>15750</v>
      </c>
      <c r="E204" s="159">
        <f t="shared" si="79"/>
        <v>6797.8</v>
      </c>
      <c r="F204" s="165">
        <f>F12+F32+F47+F63+F79+F96+F111+F125+F141+F156+F172+F187</f>
        <v>4589.5</v>
      </c>
      <c r="G204" s="165">
        <f>G12+G32+G47+G63+G79+G96+G111+G125+G141+G156+G172+G187</f>
        <v>2208.3</v>
      </c>
      <c r="H204" s="165">
        <f>H12+H32+H47+H63+H79+H96+H111+H125+H141+H156+H172+H187</f>
        <v>4809.400000000001</v>
      </c>
      <c r="I204" s="165">
        <f>I12+I32+I47+I63+I79+I96+I111+I125+I141+I156+I172+I187</f>
        <v>4142.8</v>
      </c>
      <c r="J204" s="165">
        <f>J12+J32+J47+J63+J79+J96+J111+J125+J141+J156+J172+J187</f>
        <v>6520.700000000001</v>
      </c>
      <c r="K204" s="160" t="e">
        <f>J204/#REF!*100</f>
        <v>#REF!</v>
      </c>
      <c r="L204" s="160">
        <f t="shared" si="78"/>
        <v>135.58240113111825</v>
      </c>
      <c r="M204" s="162"/>
      <c r="N204" s="162"/>
      <c r="O204" s="164">
        <f t="shared" si="57"/>
        <v>157.39837790866082</v>
      </c>
      <c r="P204" s="160">
        <f t="shared" si="55"/>
        <v>95.92368119097357</v>
      </c>
      <c r="Q204" s="165">
        <f t="shared" si="56"/>
        <v>41.40126984126985</v>
      </c>
    </row>
    <row r="205" spans="1:17" ht="36">
      <c r="A205" s="112" t="s">
        <v>231</v>
      </c>
      <c r="B205" s="140" t="s">
        <v>277</v>
      </c>
      <c r="C205" s="111" t="s">
        <v>232</v>
      </c>
      <c r="D205" s="171">
        <f t="shared" si="80"/>
        <v>2394.2000000000003</v>
      </c>
      <c r="E205" s="159">
        <f t="shared" si="79"/>
        <v>1176.9</v>
      </c>
      <c r="F205" s="165">
        <f>F13+F33+F64+F80+F97+F112+F126+F142+F157+F173+F188</f>
        <v>563.5</v>
      </c>
      <c r="G205" s="165">
        <f>G13+G33+G64+G80+G97+G112+G126+G142+G157+G173+G188</f>
        <v>613.4</v>
      </c>
      <c r="H205" s="165">
        <f>H13+H33+H64+H80+H97+H112+H126+H142+H157+H173+H188</f>
        <v>592.4000000000001</v>
      </c>
      <c r="I205" s="165">
        <f>I13+I33+I64+I80+I97+I112+I126+I142+I157+I173+I188</f>
        <v>624.9</v>
      </c>
      <c r="J205" s="165">
        <f>J13+J33+J48+J64+J80+J97+J112+J126+J142+J157+J173+J188+0.1</f>
        <v>1437.1</v>
      </c>
      <c r="K205" s="160" t="e">
        <f>J205/#REF!*100</f>
        <v>#REF!</v>
      </c>
      <c r="L205" s="160">
        <f t="shared" si="78"/>
        <v>242.58946657663736</v>
      </c>
      <c r="M205" s="162"/>
      <c r="N205" s="162"/>
      <c r="O205" s="164">
        <f t="shared" si="57"/>
        <v>229.97279564730357</v>
      </c>
      <c r="P205" s="160">
        <f t="shared" si="55"/>
        <v>122.10893024046223</v>
      </c>
      <c r="Q205" s="165">
        <f t="shared" si="56"/>
        <v>60.024225210926396</v>
      </c>
    </row>
    <row r="206" spans="1:17" ht="24">
      <c r="A206" s="112" t="s">
        <v>233</v>
      </c>
      <c r="B206" s="140" t="s">
        <v>278</v>
      </c>
      <c r="C206" s="111" t="s">
        <v>234</v>
      </c>
      <c r="D206" s="171">
        <f t="shared" si="80"/>
        <v>0</v>
      </c>
      <c r="E206" s="159">
        <f t="shared" si="79"/>
        <v>0</v>
      </c>
      <c r="F206" s="179">
        <f>F14</f>
        <v>0</v>
      </c>
      <c r="G206" s="179">
        <f>G14</f>
        <v>0</v>
      </c>
      <c r="H206" s="179">
        <f>H14</f>
        <v>0</v>
      </c>
      <c r="I206" s="179">
        <f>I14</f>
        <v>0</v>
      </c>
      <c r="J206" s="179">
        <f>J14</f>
        <v>0</v>
      </c>
      <c r="K206" s="160" t="e">
        <f>J206/#REF!*100</f>
        <v>#REF!</v>
      </c>
      <c r="L206" s="160"/>
      <c r="M206" s="162"/>
      <c r="N206" s="162"/>
      <c r="O206" s="164" t="e">
        <f t="shared" si="57"/>
        <v>#DIV/0!</v>
      </c>
      <c r="P206" s="160"/>
      <c r="Q206" s="165"/>
    </row>
    <row r="207" spans="1:17" ht="36">
      <c r="A207" s="113" t="s">
        <v>235</v>
      </c>
      <c r="B207" s="143" t="s">
        <v>279</v>
      </c>
      <c r="C207" s="111" t="s">
        <v>236</v>
      </c>
      <c r="D207" s="171">
        <f t="shared" si="80"/>
        <v>89844.80000000002</v>
      </c>
      <c r="E207" s="159">
        <f t="shared" si="79"/>
        <v>33127.700000000004</v>
      </c>
      <c r="F207" s="165">
        <f>F15+F34+F49+F65+F81+F98+F113+F127+F143+F158+F174+F189</f>
        <v>9844.900000000001</v>
      </c>
      <c r="G207" s="165">
        <f>G15+G34+G49+G65+G81+G98+G113+G127+G143+G158+G174+G189</f>
        <v>23282.800000000003</v>
      </c>
      <c r="H207" s="165">
        <f>H15+H34+H49+H65+H81+H98+H113+H127+H143+H158+H174+H189</f>
        <v>23184.300000000003</v>
      </c>
      <c r="I207" s="165">
        <f>I15+I34+I49+I65+I81+I98+I113+I127+I143+I158+I174+I189</f>
        <v>33532.80000000001</v>
      </c>
      <c r="J207" s="165">
        <f>J15+J34+J49+J65+J81+J98+J113+J127+J143+J158+J174+J189</f>
        <v>38025.09999999999</v>
      </c>
      <c r="K207" s="160" t="e">
        <f>J207/#REF!*100</f>
        <v>#REF!</v>
      </c>
      <c r="L207" s="160">
        <f t="shared" si="78"/>
        <v>164.01228417506667</v>
      </c>
      <c r="M207" s="162"/>
      <c r="N207" s="162"/>
      <c r="O207" s="164">
        <f t="shared" si="57"/>
        <v>113.39673394407858</v>
      </c>
      <c r="P207" s="160">
        <f aca="true" t="shared" si="82" ref="P207:P218">J207*100/E207</f>
        <v>114.78339878711769</v>
      </c>
      <c r="Q207" s="165">
        <f aca="true" t="shared" si="83" ref="Q207:Q218">J207*100/D207</f>
        <v>42.32309493704698</v>
      </c>
    </row>
    <row r="208" spans="1:17" ht="12.75">
      <c r="A208" s="114" t="s">
        <v>237</v>
      </c>
      <c r="B208" s="144" t="s">
        <v>280</v>
      </c>
      <c r="C208" s="111" t="s">
        <v>238</v>
      </c>
      <c r="D208" s="171">
        <f t="shared" si="80"/>
        <v>9202.4</v>
      </c>
      <c r="E208" s="159">
        <f t="shared" si="79"/>
        <v>4601.2</v>
      </c>
      <c r="F208" s="165">
        <f>F16</f>
        <v>2300.6</v>
      </c>
      <c r="G208" s="165">
        <f>G16</f>
        <v>2300.6</v>
      </c>
      <c r="H208" s="165">
        <f>H16</f>
        <v>2300.6</v>
      </c>
      <c r="I208" s="165">
        <f>I16</f>
        <v>2300.6</v>
      </c>
      <c r="J208" s="165">
        <f>J16</f>
        <v>15015.4</v>
      </c>
      <c r="K208" s="160" t="e">
        <f>J208/#REF!*100</f>
        <v>#REF!</v>
      </c>
      <c r="L208" s="160">
        <f t="shared" si="78"/>
        <v>652.6732156828654</v>
      </c>
      <c r="M208" s="162"/>
      <c r="N208" s="162"/>
      <c r="O208" s="164">
        <f t="shared" si="57"/>
        <v>652.6732156828654</v>
      </c>
      <c r="P208" s="160">
        <f t="shared" si="82"/>
        <v>326.3366078414327</v>
      </c>
      <c r="Q208" s="165">
        <f t="shared" si="83"/>
        <v>163.16830392071634</v>
      </c>
    </row>
    <row r="209" spans="1:17" ht="24">
      <c r="A209" s="115" t="s">
        <v>239</v>
      </c>
      <c r="B209" s="145" t="s">
        <v>281</v>
      </c>
      <c r="C209" s="111" t="s">
        <v>240</v>
      </c>
      <c r="D209" s="171">
        <f t="shared" si="80"/>
        <v>7607</v>
      </c>
      <c r="E209" s="159">
        <f t="shared" si="79"/>
        <v>3473.7</v>
      </c>
      <c r="F209" s="180">
        <f>F17+F82+F99+F128+F144+F159+F175+F114+F66+F35+F190</f>
        <v>1755.6</v>
      </c>
      <c r="G209" s="180">
        <f>G17+G82+G99+G128+G144+G159+G175+G114+G66+G35+G190</f>
        <v>1718.1</v>
      </c>
      <c r="H209" s="180">
        <f>H17+H82+H99+H128+H144+H159+H175+H114+H66+H35+H190</f>
        <v>1652.5</v>
      </c>
      <c r="I209" s="180">
        <f>I17+I82+I99+I128+I144+I159+I175+I114+I66+I35+I190</f>
        <v>2480.8</v>
      </c>
      <c r="J209" s="180">
        <f>J17+J82+J99+J128+J144+J159+J175+J114+J66+J35+J190</f>
        <v>2828.1</v>
      </c>
      <c r="K209" s="160" t="e">
        <f>J209/#REF!*100</f>
        <v>#REF!</v>
      </c>
      <c r="L209" s="160">
        <f t="shared" si="78"/>
        <v>171.14069591527988</v>
      </c>
      <c r="M209" s="162"/>
      <c r="N209" s="162"/>
      <c r="O209" s="164">
        <f t="shared" si="57"/>
        <v>113.99951628506932</v>
      </c>
      <c r="P209" s="160">
        <f t="shared" si="82"/>
        <v>81.41462993350031</v>
      </c>
      <c r="Q209" s="165">
        <f t="shared" si="83"/>
        <v>37.177599579334824</v>
      </c>
    </row>
    <row r="210" spans="1:17" ht="24">
      <c r="A210" s="115" t="s">
        <v>241</v>
      </c>
      <c r="B210" s="145" t="s">
        <v>282</v>
      </c>
      <c r="C210" s="111" t="s">
        <v>242</v>
      </c>
      <c r="D210" s="171">
        <f t="shared" si="80"/>
        <v>20097.6</v>
      </c>
      <c r="E210" s="159">
        <f t="shared" si="79"/>
        <v>10861.3</v>
      </c>
      <c r="F210" s="165">
        <f>F18+F36+F50+F67+F83+F100+F115+F145+F160+F176+F191+F129</f>
        <v>3631.2</v>
      </c>
      <c r="G210" s="165">
        <f>G18+G36+G50+G67+G83+G100+G115+G145+G160+G176+G191+G129</f>
        <v>7230.1</v>
      </c>
      <c r="H210" s="165">
        <f>H18+H36+H50+H67+H83+H100+H115+H145+H160+H176+H191+H129</f>
        <v>4620.5</v>
      </c>
      <c r="I210" s="165">
        <f>I18+I36+I50+I67+I83+I100+I115+I145+I160+I176+I191+I129</f>
        <v>4615.8</v>
      </c>
      <c r="J210" s="165">
        <f>J18+J36+J50+J67+J83+J100+J115+J145+J160+J176+J191+J129</f>
        <v>8265.3</v>
      </c>
      <c r="K210" s="160" t="e">
        <f>J210/#REF!*100</f>
        <v>#REF!</v>
      </c>
      <c r="L210" s="160">
        <f t="shared" si="78"/>
        <v>178.8832377448328</v>
      </c>
      <c r="M210" s="162"/>
      <c r="N210" s="162"/>
      <c r="O210" s="164">
        <f aca="true" t="shared" si="84" ref="O210:O218">J210*100/I210</f>
        <v>179.06538411542957</v>
      </c>
      <c r="P210" s="160">
        <f t="shared" si="82"/>
        <v>76.09862539475016</v>
      </c>
      <c r="Q210" s="165">
        <f t="shared" si="83"/>
        <v>41.12580606639599</v>
      </c>
    </row>
    <row r="211" spans="1:17" ht="12.75">
      <c r="A211" s="115" t="s">
        <v>243</v>
      </c>
      <c r="B211" s="115"/>
      <c r="C211" s="111" t="s">
        <v>244</v>
      </c>
      <c r="D211" s="171">
        <f t="shared" si="80"/>
        <v>7</v>
      </c>
      <c r="E211" s="159">
        <f t="shared" si="79"/>
        <v>3</v>
      </c>
      <c r="F211" s="165">
        <f>F19</f>
        <v>2</v>
      </c>
      <c r="G211" s="165">
        <f>G19</f>
        <v>1</v>
      </c>
      <c r="H211" s="165">
        <f>H19</f>
        <v>1</v>
      </c>
      <c r="I211" s="165">
        <f>I19</f>
        <v>3</v>
      </c>
      <c r="J211" s="165">
        <f>J19</f>
        <v>1.2</v>
      </c>
      <c r="K211" s="160" t="e">
        <f>J211/#REF!*100</f>
        <v>#REF!</v>
      </c>
      <c r="L211" s="160">
        <f t="shared" si="78"/>
        <v>120</v>
      </c>
      <c r="M211" s="162"/>
      <c r="N211" s="162"/>
      <c r="O211" s="164">
        <f t="shared" si="84"/>
        <v>40</v>
      </c>
      <c r="P211" s="160">
        <f t="shared" si="82"/>
        <v>40</v>
      </c>
      <c r="Q211" s="165">
        <f t="shared" si="83"/>
        <v>17.142857142857142</v>
      </c>
    </row>
    <row r="212" spans="1:17" ht="36">
      <c r="A212" s="110" t="s">
        <v>245</v>
      </c>
      <c r="B212" s="142" t="s">
        <v>283</v>
      </c>
      <c r="C212" s="111" t="s">
        <v>246</v>
      </c>
      <c r="D212" s="171">
        <f t="shared" si="80"/>
        <v>1135</v>
      </c>
      <c r="E212" s="159">
        <f t="shared" si="79"/>
        <v>555.0999999999999</v>
      </c>
      <c r="F212" s="165">
        <f aca="true" t="shared" si="85" ref="F212:O212">F20+F177+F192+F68+F130+F51+F146+F84</f>
        <v>272.2</v>
      </c>
      <c r="G212" s="165">
        <f t="shared" si="85"/>
        <v>282.9</v>
      </c>
      <c r="H212" s="165">
        <f t="shared" si="85"/>
        <v>282.9</v>
      </c>
      <c r="I212" s="165">
        <f t="shared" si="85"/>
        <v>297</v>
      </c>
      <c r="J212" s="165">
        <f>J20+J177+J192+J68+J130+J51+J146+J84</f>
        <v>1296.5</v>
      </c>
      <c r="K212" s="165" t="e">
        <f t="shared" si="85"/>
        <v>#REF!</v>
      </c>
      <c r="L212" s="165">
        <f t="shared" si="85"/>
        <v>454.93107104984097</v>
      </c>
      <c r="M212" s="165">
        <f t="shared" si="85"/>
        <v>0</v>
      </c>
      <c r="N212" s="165">
        <f t="shared" si="85"/>
        <v>0</v>
      </c>
      <c r="O212" s="165" t="e">
        <f t="shared" si="85"/>
        <v>#DIV/0!</v>
      </c>
      <c r="P212" s="160">
        <f t="shared" si="82"/>
        <v>233.5615204467664</v>
      </c>
      <c r="Q212" s="165">
        <f t="shared" si="83"/>
        <v>114.22907488986785</v>
      </c>
    </row>
    <row r="213" spans="1:17" ht="24">
      <c r="A213" s="116" t="s">
        <v>247</v>
      </c>
      <c r="B213" s="146" t="s">
        <v>278</v>
      </c>
      <c r="C213" s="118" t="s">
        <v>248</v>
      </c>
      <c r="D213" s="171">
        <f t="shared" si="80"/>
        <v>0</v>
      </c>
      <c r="E213" s="159">
        <f t="shared" si="79"/>
        <v>0</v>
      </c>
      <c r="F213" s="165">
        <f>F21+F37+F52+F69+F85+F101+F117+F131+F147+F162+F178+F193</f>
        <v>0</v>
      </c>
      <c r="G213" s="165">
        <f>G21+G37+G52+G69+G85+G101+G117+G131+G147+G162+G178+G193</f>
        <v>0</v>
      </c>
      <c r="H213" s="165">
        <f>H21+H37+H52+H69+H85+H101+H117+H131+H147+H162+H178+H193</f>
        <v>0</v>
      </c>
      <c r="I213" s="165">
        <f>I21+I37+I52+I69+I85+I101+I117+I131+I147+I162+I178+I193</f>
        <v>0</v>
      </c>
      <c r="J213" s="165">
        <f>J21+J37+J52+J69+J85+J101+J117+J131+J147+J162+J178+J193+0.1</f>
        <v>157.89999999999998</v>
      </c>
      <c r="K213" s="160"/>
      <c r="L213" s="160"/>
      <c r="M213" s="162"/>
      <c r="N213" s="162"/>
      <c r="O213" s="164" t="e">
        <f t="shared" si="84"/>
        <v>#DIV/0!</v>
      </c>
      <c r="P213" s="160"/>
      <c r="Q213" s="165"/>
    </row>
    <row r="214" spans="1:17" ht="12.75">
      <c r="A214" s="108" t="s">
        <v>249</v>
      </c>
      <c r="B214" s="141"/>
      <c r="C214" s="119" t="s">
        <v>250</v>
      </c>
      <c r="D214" s="166">
        <f aca="true" t="shared" si="86" ref="D214:J214">D215+D216+D217</f>
        <v>2832865.8</v>
      </c>
      <c r="E214" s="166">
        <f t="shared" si="86"/>
        <v>1442040.9</v>
      </c>
      <c r="F214" s="166">
        <f t="shared" si="86"/>
        <v>657888.4</v>
      </c>
      <c r="G214" s="166">
        <f t="shared" si="86"/>
        <v>784552.4999999999</v>
      </c>
      <c r="H214" s="166">
        <f t="shared" si="86"/>
        <v>601746.9</v>
      </c>
      <c r="I214" s="166">
        <f t="shared" si="86"/>
        <v>788678</v>
      </c>
      <c r="J214" s="166">
        <f t="shared" si="86"/>
        <v>969479.8999999999</v>
      </c>
      <c r="K214" s="128" t="e">
        <f>J214/#REF!*100</f>
        <v>#REF!</v>
      </c>
      <c r="L214" s="128">
        <f>J214/H214*100</f>
        <v>161.11090892200687</v>
      </c>
      <c r="M214" s="162"/>
      <c r="N214" s="162"/>
      <c r="O214" s="157">
        <f t="shared" si="84"/>
        <v>122.9246790198281</v>
      </c>
      <c r="P214" s="128">
        <f t="shared" si="82"/>
        <v>67.22970894930927</v>
      </c>
      <c r="Q214" s="129">
        <f t="shared" si="83"/>
        <v>34.22258477616553</v>
      </c>
    </row>
    <row r="215" spans="1:17" ht="36">
      <c r="A215" s="120" t="s">
        <v>251</v>
      </c>
      <c r="B215" s="140" t="s">
        <v>284</v>
      </c>
      <c r="C215" s="121" t="s">
        <v>252</v>
      </c>
      <c r="D215" s="171">
        <f t="shared" si="80"/>
        <v>2820680.9</v>
      </c>
      <c r="E215" s="159">
        <f t="shared" si="79"/>
        <v>1442856</v>
      </c>
      <c r="F215" s="164">
        <f>F23-3227.5-21.9-133.2</f>
        <v>665303.5</v>
      </c>
      <c r="G215" s="164">
        <f>G23-4841.3-33.5</f>
        <v>777552.4999999999</v>
      </c>
      <c r="H215" s="164">
        <f>H23-4357.2</f>
        <v>595146.9</v>
      </c>
      <c r="I215" s="164">
        <f>I23-3711.7</f>
        <v>782678</v>
      </c>
      <c r="J215" s="164">
        <f>J23-3280</f>
        <v>963156.1</v>
      </c>
      <c r="K215" s="160" t="e">
        <f>J215/#REF!*100</f>
        <v>#REF!</v>
      </c>
      <c r="L215" s="160">
        <f>J215/H215*100</f>
        <v>161.8350192196246</v>
      </c>
      <c r="M215" s="162"/>
      <c r="N215" s="162"/>
      <c r="O215" s="164">
        <f t="shared" si="84"/>
        <v>123.05904854870074</v>
      </c>
      <c r="P215" s="160">
        <f t="shared" si="82"/>
        <v>66.75344594332351</v>
      </c>
      <c r="Q215" s="165">
        <f t="shared" si="83"/>
        <v>34.146226891528215</v>
      </c>
    </row>
    <row r="216" spans="1:17" ht="36">
      <c r="A216" s="120" t="s">
        <v>253</v>
      </c>
      <c r="B216" s="120" t="s">
        <v>285</v>
      </c>
      <c r="C216" s="122" t="s">
        <v>254</v>
      </c>
      <c r="D216" s="171">
        <f t="shared" si="80"/>
        <v>20400</v>
      </c>
      <c r="E216" s="165">
        <f aca="true" t="shared" si="87" ref="E216:J216">E24+E89+E104+E165+E134+E55+E40+E150+E72+E196</f>
        <v>7400</v>
      </c>
      <c r="F216" s="165">
        <f t="shared" si="87"/>
        <v>800</v>
      </c>
      <c r="G216" s="165">
        <f t="shared" si="87"/>
        <v>7000</v>
      </c>
      <c r="H216" s="165">
        <f t="shared" si="87"/>
        <v>6600</v>
      </c>
      <c r="I216" s="165">
        <f t="shared" si="87"/>
        <v>6000</v>
      </c>
      <c r="J216" s="165">
        <f t="shared" si="87"/>
        <v>27570.6</v>
      </c>
      <c r="K216" s="160" t="e">
        <f>J216/#REF!*100</f>
        <v>#REF!</v>
      </c>
      <c r="L216" s="160">
        <f>J216/H216*100</f>
        <v>417.7363636363636</v>
      </c>
      <c r="M216" s="162"/>
      <c r="N216" s="162"/>
      <c r="O216" s="164">
        <f t="shared" si="84"/>
        <v>459.51</v>
      </c>
      <c r="P216" s="160">
        <f t="shared" si="82"/>
        <v>372.57567567567565</v>
      </c>
      <c r="Q216" s="165">
        <f t="shared" si="83"/>
        <v>135.15</v>
      </c>
    </row>
    <row r="217" spans="1:17" ht="36">
      <c r="A217" s="120" t="s">
        <v>257</v>
      </c>
      <c r="B217" s="123"/>
      <c r="C217" s="125" t="s">
        <v>258</v>
      </c>
      <c r="D217" s="171">
        <f t="shared" si="80"/>
        <v>-8215.1</v>
      </c>
      <c r="E217" s="159">
        <f t="shared" si="79"/>
        <v>-8215.1</v>
      </c>
      <c r="F217" s="165">
        <f>F26</f>
        <v>-8215.1</v>
      </c>
      <c r="G217" s="165">
        <f>G26</f>
        <v>0</v>
      </c>
      <c r="H217" s="165">
        <f>H26</f>
        <v>0</v>
      </c>
      <c r="I217" s="165">
        <f>I26</f>
        <v>0</v>
      </c>
      <c r="J217" s="165">
        <f>J26</f>
        <v>-21246.8</v>
      </c>
      <c r="K217" s="160" t="e">
        <f>J217/#REF!*100</f>
        <v>#REF!</v>
      </c>
      <c r="L217" s="160"/>
      <c r="M217" s="162"/>
      <c r="N217" s="162"/>
      <c r="O217" s="164" t="e">
        <f t="shared" si="84"/>
        <v>#DIV/0!</v>
      </c>
      <c r="P217" s="160">
        <f t="shared" si="82"/>
        <v>258.6310574430013</v>
      </c>
      <c r="Q217" s="165">
        <f t="shared" si="83"/>
        <v>258.6310574430013</v>
      </c>
    </row>
    <row r="218" spans="1:17" ht="12.75">
      <c r="A218" s="110"/>
      <c r="B218" s="126"/>
      <c r="C218" s="127" t="s">
        <v>259</v>
      </c>
      <c r="D218" s="129">
        <f aca="true" t="shared" si="88" ref="D218:J218">D214+D200</f>
        <v>3618867.5</v>
      </c>
      <c r="E218" s="129">
        <f t="shared" si="88"/>
        <v>1818073.4</v>
      </c>
      <c r="F218" s="129">
        <f t="shared" si="88"/>
        <v>828607</v>
      </c>
      <c r="G218" s="129">
        <f t="shared" si="88"/>
        <v>989866.3999999999</v>
      </c>
      <c r="H218" s="129">
        <f t="shared" si="88"/>
        <v>787989.7</v>
      </c>
      <c r="I218" s="129">
        <f t="shared" si="88"/>
        <v>1012404.4</v>
      </c>
      <c r="J218" s="129">
        <f t="shared" si="88"/>
        <v>1269554.9</v>
      </c>
      <c r="K218" s="128" t="e">
        <f>J218/#REF!*100</f>
        <v>#REF!</v>
      </c>
      <c r="L218" s="128">
        <f>J218/H218*100</f>
        <v>161.11313383918596</v>
      </c>
      <c r="M218" s="162"/>
      <c r="N218" s="169" t="e">
        <f>I218+#REF!+#REF!</f>
        <v>#REF!</v>
      </c>
      <c r="O218" s="157">
        <f t="shared" si="84"/>
        <v>125.39997850661256</v>
      </c>
      <c r="P218" s="128">
        <f t="shared" si="82"/>
        <v>69.82968344402376</v>
      </c>
      <c r="Q218" s="129">
        <f t="shared" si="83"/>
        <v>35.08155244700172</v>
      </c>
    </row>
  </sheetData>
  <sheetProtection/>
  <mergeCells count="41">
    <mergeCell ref="A122:O122"/>
    <mergeCell ref="A182:L182"/>
    <mergeCell ref="A183:O183"/>
    <mergeCell ref="H4:H6"/>
    <mergeCell ref="I4:I6"/>
    <mergeCell ref="J4:J6"/>
    <mergeCell ref="K4:K6"/>
    <mergeCell ref="M4:M6"/>
    <mergeCell ref="A152:L152"/>
    <mergeCell ref="C42:L42"/>
    <mergeCell ref="A137:O137"/>
    <mergeCell ref="Q4:Q6"/>
    <mergeCell ref="D4:D6"/>
    <mergeCell ref="E4:E6"/>
    <mergeCell ref="A59:O59"/>
    <mergeCell ref="G4:G6"/>
    <mergeCell ref="A136:L136"/>
    <mergeCell ref="A92:O92"/>
    <mergeCell ref="A43:O43"/>
    <mergeCell ref="A58:L58"/>
    <mergeCell ref="A74:L74"/>
    <mergeCell ref="A7:O7"/>
    <mergeCell ref="A28:L28"/>
    <mergeCell ref="A29:O29"/>
    <mergeCell ref="A91:L91"/>
    <mergeCell ref="F4:F6"/>
    <mergeCell ref="A167:L167"/>
    <mergeCell ref="A153:O153"/>
    <mergeCell ref="A106:L106"/>
    <mergeCell ref="A107:O107"/>
    <mergeCell ref="A121:L121"/>
    <mergeCell ref="A198:L198"/>
    <mergeCell ref="A199:Q199"/>
    <mergeCell ref="L4:L6"/>
    <mergeCell ref="A75:O75"/>
    <mergeCell ref="A1:Q1"/>
    <mergeCell ref="A2:L2"/>
    <mergeCell ref="N4:N6"/>
    <mergeCell ref="O4:O6"/>
    <mergeCell ref="P4:P6"/>
    <mergeCell ref="A168:O16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1">
      <selection activeCell="A1" sqref="A1:K125"/>
    </sheetView>
  </sheetViews>
  <sheetFormatPr defaultColWidth="9.00390625" defaultRowHeight="12.75"/>
  <cols>
    <col min="2" max="2" width="49.875" style="0" customWidth="1"/>
    <col min="3" max="3" width="14.375" style="0" customWidth="1"/>
    <col min="4" max="4" width="14.25390625" style="0" customWidth="1"/>
    <col min="5" max="5" width="8.375" style="0" customWidth="1"/>
    <col min="6" max="6" width="12.625" style="0" customWidth="1"/>
    <col min="7" max="7" width="12.375" style="0" customWidth="1"/>
    <col min="8" max="8" width="8.875" style="0" customWidth="1"/>
    <col min="9" max="9" width="14.75390625" style="0" customWidth="1"/>
    <col min="10" max="10" width="14.00390625" style="0" customWidth="1"/>
  </cols>
  <sheetData>
    <row r="1" spans="1:11" ht="24" customHeight="1">
      <c r="A1" s="240" t="s">
        <v>320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7.25" customHeight="1">
      <c r="A3" s="241" t="s">
        <v>98</v>
      </c>
      <c r="B3" s="243" t="s">
        <v>97</v>
      </c>
      <c r="C3" s="245" t="s">
        <v>113</v>
      </c>
      <c r="D3" s="245"/>
      <c r="E3" s="245"/>
      <c r="F3" s="246" t="s">
        <v>112</v>
      </c>
      <c r="G3" s="246"/>
      <c r="H3" s="246"/>
      <c r="I3" s="251" t="s">
        <v>111</v>
      </c>
      <c r="J3" s="251"/>
      <c r="K3" s="252"/>
    </row>
    <row r="4" spans="1:11" ht="16.5" customHeight="1">
      <c r="A4" s="242"/>
      <c r="B4" s="244"/>
      <c r="C4" s="234" t="s">
        <v>78</v>
      </c>
      <c r="D4" s="234" t="s">
        <v>321</v>
      </c>
      <c r="E4" s="234" t="s">
        <v>77</v>
      </c>
      <c r="F4" s="234" t="s">
        <v>78</v>
      </c>
      <c r="G4" s="239" t="s">
        <v>321</v>
      </c>
      <c r="H4" s="239" t="s">
        <v>77</v>
      </c>
      <c r="I4" s="257" t="s">
        <v>78</v>
      </c>
      <c r="J4" s="254" t="s">
        <v>322</v>
      </c>
      <c r="K4" s="247" t="s">
        <v>77</v>
      </c>
    </row>
    <row r="5" spans="1:11" ht="31.5" customHeight="1">
      <c r="A5" s="242"/>
      <c r="B5" s="244"/>
      <c r="C5" s="235"/>
      <c r="D5" s="234"/>
      <c r="E5" s="253"/>
      <c r="F5" s="235"/>
      <c r="G5" s="239"/>
      <c r="H5" s="235"/>
      <c r="I5" s="258"/>
      <c r="J5" s="254"/>
      <c r="K5" s="248"/>
    </row>
    <row r="6" spans="1:11" ht="12.75" customHeight="1">
      <c r="A6" s="242"/>
      <c r="B6" s="249" t="s">
        <v>0</v>
      </c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2.75" customHeight="1">
      <c r="A7" s="242"/>
      <c r="B7" s="249"/>
      <c r="C7" s="249"/>
      <c r="D7" s="249"/>
      <c r="E7" s="249"/>
      <c r="F7" s="249"/>
      <c r="G7" s="249"/>
      <c r="H7" s="249"/>
      <c r="I7" s="249"/>
      <c r="J7" s="249"/>
      <c r="K7" s="250"/>
    </row>
    <row r="8" spans="1:11" ht="12.75" customHeight="1">
      <c r="A8" s="242"/>
      <c r="B8" s="249"/>
      <c r="C8" s="249"/>
      <c r="D8" s="249"/>
      <c r="E8" s="249"/>
      <c r="F8" s="249"/>
      <c r="G8" s="249"/>
      <c r="H8" s="249"/>
      <c r="I8" s="249"/>
      <c r="J8" s="249"/>
      <c r="K8" s="250"/>
    </row>
    <row r="9" spans="1:11" ht="15">
      <c r="A9" s="81" t="s">
        <v>1</v>
      </c>
      <c r="B9" s="82" t="s">
        <v>2</v>
      </c>
      <c r="C9" s="83">
        <f>SUM(C10:C17)</f>
        <v>260793.9</v>
      </c>
      <c r="D9" s="83">
        <f>SUM(D10:D17)</f>
        <v>96103.20000000001</v>
      </c>
      <c r="E9" s="83">
        <f>D9/C9*100</f>
        <v>36.850248414552645</v>
      </c>
      <c r="F9" s="83">
        <f>F10+F11+F12+F13+F14+F16+F17+F15</f>
        <v>187850.2</v>
      </c>
      <c r="G9" s="83">
        <f>SUM(G10:G17)</f>
        <v>65722.6</v>
      </c>
      <c r="H9" s="84">
        <f>G9/F9*100</f>
        <v>34.986707493524094</v>
      </c>
      <c r="I9" s="83">
        <f>SUM(I10:I17)</f>
        <v>448407.30000000005</v>
      </c>
      <c r="J9" s="83">
        <f>SUM(J10:J17)</f>
        <v>161714.3</v>
      </c>
      <c r="K9" s="85">
        <f>J9/I9*100</f>
        <v>36.06415417411804</v>
      </c>
    </row>
    <row r="10" spans="1:11" ht="15">
      <c r="A10" s="86" t="s">
        <v>3</v>
      </c>
      <c r="B10" s="87" t="s">
        <v>4</v>
      </c>
      <c r="C10" s="79">
        <v>13786.2</v>
      </c>
      <c r="D10" s="79">
        <v>6290.4</v>
      </c>
      <c r="E10" s="79">
        <f>D10/C10*100</f>
        <v>45.628236932584755</v>
      </c>
      <c r="F10" s="88">
        <v>37958.5</v>
      </c>
      <c r="G10" s="88">
        <v>14100.7</v>
      </c>
      <c r="H10" s="88">
        <f>G10/F10*100</f>
        <v>37.14767443392126</v>
      </c>
      <c r="I10" s="89">
        <f aca="true" t="shared" si="0" ref="I10:J82">C10+F10</f>
        <v>51744.7</v>
      </c>
      <c r="J10" s="80">
        <f t="shared" si="0"/>
        <v>20391.1</v>
      </c>
      <c r="K10" s="90">
        <f aca="true" t="shared" si="1" ref="K10:K84">J10/I10*100</f>
        <v>39.40712768650702</v>
      </c>
    </row>
    <row r="11" spans="1:11" ht="30">
      <c r="A11" s="86" t="s">
        <v>5</v>
      </c>
      <c r="B11" s="87" t="s">
        <v>89</v>
      </c>
      <c r="C11" s="79">
        <v>26147.8</v>
      </c>
      <c r="D11" s="79">
        <v>9105.1</v>
      </c>
      <c r="E11" s="79">
        <f aca="true" t="shared" si="2" ref="E11:E19">D11/C11*100</f>
        <v>34.82166759727396</v>
      </c>
      <c r="F11" s="88">
        <v>0</v>
      </c>
      <c r="G11" s="88">
        <v>0</v>
      </c>
      <c r="H11" s="88">
        <v>0</v>
      </c>
      <c r="I11" s="89">
        <f t="shared" si="0"/>
        <v>26147.8</v>
      </c>
      <c r="J11" s="80">
        <f t="shared" si="0"/>
        <v>9105.1</v>
      </c>
      <c r="K11" s="90">
        <f t="shared" si="1"/>
        <v>34.82166759727396</v>
      </c>
    </row>
    <row r="12" spans="1:11" ht="30">
      <c r="A12" s="86" t="s">
        <v>6</v>
      </c>
      <c r="B12" s="87" t="s">
        <v>7</v>
      </c>
      <c r="C12" s="79">
        <v>120834.5</v>
      </c>
      <c r="D12" s="79">
        <v>47538.5</v>
      </c>
      <c r="E12" s="79">
        <f t="shared" si="2"/>
        <v>39.341827044428534</v>
      </c>
      <c r="F12" s="88">
        <v>117816</v>
      </c>
      <c r="G12" s="88">
        <v>42293.8</v>
      </c>
      <c r="H12" s="88">
        <f aca="true" t="shared" si="3" ref="H12:H19">G12/F12*100</f>
        <v>35.89818021321383</v>
      </c>
      <c r="I12" s="89">
        <f t="shared" si="0"/>
        <v>238650.5</v>
      </c>
      <c r="J12" s="80">
        <f t="shared" si="0"/>
        <v>89832.3</v>
      </c>
      <c r="K12" s="90">
        <f t="shared" si="1"/>
        <v>37.64178160112801</v>
      </c>
    </row>
    <row r="13" spans="1:11" ht="15">
      <c r="A13" s="86" t="s">
        <v>8</v>
      </c>
      <c r="B13" s="87" t="s">
        <v>9</v>
      </c>
      <c r="C13" s="79">
        <v>0</v>
      </c>
      <c r="D13" s="79">
        <v>0</v>
      </c>
      <c r="E13" s="79">
        <v>0</v>
      </c>
      <c r="F13" s="88">
        <v>0</v>
      </c>
      <c r="G13" s="88">
        <v>0</v>
      </c>
      <c r="H13" s="88">
        <v>0</v>
      </c>
      <c r="I13" s="89">
        <f t="shared" si="0"/>
        <v>0</v>
      </c>
      <c r="J13" s="80">
        <f t="shared" si="0"/>
        <v>0</v>
      </c>
      <c r="K13" s="90"/>
    </row>
    <row r="14" spans="1:11" ht="15">
      <c r="A14" s="86" t="s">
        <v>10</v>
      </c>
      <c r="B14" s="87" t="s">
        <v>11</v>
      </c>
      <c r="C14" s="79">
        <v>30309</v>
      </c>
      <c r="D14" s="79">
        <v>13065.6</v>
      </c>
      <c r="E14" s="79">
        <f t="shared" si="2"/>
        <v>43.107987726417896</v>
      </c>
      <c r="F14" s="88">
        <v>28.1</v>
      </c>
      <c r="G14" s="88">
        <v>14.1</v>
      </c>
      <c r="H14" s="88">
        <f t="shared" si="3"/>
        <v>50.17793594306049</v>
      </c>
      <c r="I14" s="89">
        <f>C14+F14-28.1</f>
        <v>30309</v>
      </c>
      <c r="J14" s="80">
        <f>D14+G14-14.1</f>
        <v>13065.6</v>
      </c>
      <c r="K14" s="90">
        <f t="shared" si="1"/>
        <v>43.107987726417896</v>
      </c>
    </row>
    <row r="15" spans="1:11" ht="15">
      <c r="A15" s="91" t="s">
        <v>12</v>
      </c>
      <c r="B15" s="87" t="s">
        <v>169</v>
      </c>
      <c r="C15" s="79">
        <v>6000</v>
      </c>
      <c r="D15" s="79">
        <v>0</v>
      </c>
      <c r="E15" s="79">
        <f t="shared" si="2"/>
        <v>0</v>
      </c>
      <c r="F15" s="88">
        <v>0</v>
      </c>
      <c r="G15" s="88">
        <v>0</v>
      </c>
      <c r="H15" s="88">
        <v>0</v>
      </c>
      <c r="I15" s="89">
        <f>C15+F15</f>
        <v>6000</v>
      </c>
      <c r="J15" s="80">
        <f t="shared" si="0"/>
        <v>0</v>
      </c>
      <c r="K15" s="90">
        <f t="shared" si="1"/>
        <v>0</v>
      </c>
    </row>
    <row r="16" spans="1:11" ht="15">
      <c r="A16" s="91" t="s">
        <v>13</v>
      </c>
      <c r="B16" s="87" t="s">
        <v>14</v>
      </c>
      <c r="C16" s="79">
        <v>4036</v>
      </c>
      <c r="D16" s="79">
        <v>0</v>
      </c>
      <c r="E16" s="79">
        <f t="shared" si="2"/>
        <v>0</v>
      </c>
      <c r="F16" s="88">
        <v>915.2</v>
      </c>
      <c r="G16" s="88">
        <v>0</v>
      </c>
      <c r="H16" s="88">
        <f t="shared" si="3"/>
        <v>0</v>
      </c>
      <c r="I16" s="89">
        <f t="shared" si="0"/>
        <v>4951.2</v>
      </c>
      <c r="J16" s="80">
        <f t="shared" si="0"/>
        <v>0</v>
      </c>
      <c r="K16" s="90">
        <f t="shared" si="1"/>
        <v>0</v>
      </c>
    </row>
    <row r="17" spans="1:11" ht="15">
      <c r="A17" s="86" t="s">
        <v>80</v>
      </c>
      <c r="B17" s="87" t="s">
        <v>15</v>
      </c>
      <c r="C17" s="79">
        <v>59680.4</v>
      </c>
      <c r="D17" s="79">
        <v>20103.6</v>
      </c>
      <c r="E17" s="79">
        <f t="shared" si="2"/>
        <v>33.68543106279448</v>
      </c>
      <c r="F17" s="88">
        <v>31132.4</v>
      </c>
      <c r="G17" s="88">
        <v>9314</v>
      </c>
      <c r="H17" s="88">
        <f t="shared" si="3"/>
        <v>29.917385103621946</v>
      </c>
      <c r="I17" s="89">
        <f>C17+F17-70-138.7</f>
        <v>90604.1</v>
      </c>
      <c r="J17" s="80">
        <f>D17+G17-70-27.4</f>
        <v>29320.199999999997</v>
      </c>
      <c r="K17" s="90">
        <f t="shared" si="1"/>
        <v>32.36078720499403</v>
      </c>
    </row>
    <row r="18" spans="1:11" ht="15">
      <c r="A18" s="81" t="s">
        <v>16</v>
      </c>
      <c r="B18" s="82" t="s">
        <v>17</v>
      </c>
      <c r="C18" s="83">
        <f aca="true" t="shared" si="4" ref="C18:J18">C19</f>
        <v>4356</v>
      </c>
      <c r="D18" s="83">
        <f t="shared" si="4"/>
        <v>4356</v>
      </c>
      <c r="E18" s="83">
        <f t="shared" si="4"/>
        <v>100</v>
      </c>
      <c r="F18" s="83">
        <f t="shared" si="4"/>
        <v>4356</v>
      </c>
      <c r="G18" s="83">
        <f t="shared" si="4"/>
        <v>1070.6</v>
      </c>
      <c r="H18" s="92">
        <f t="shared" si="4"/>
        <v>24.577594123048666</v>
      </c>
      <c r="I18" s="83">
        <f t="shared" si="4"/>
        <v>4356</v>
      </c>
      <c r="J18" s="83">
        <f t="shared" si="4"/>
        <v>1070.6000000000004</v>
      </c>
      <c r="K18" s="93">
        <f t="shared" si="1"/>
        <v>24.577594123048677</v>
      </c>
    </row>
    <row r="19" spans="1:11" ht="15">
      <c r="A19" s="86" t="s">
        <v>18</v>
      </c>
      <c r="B19" s="87" t="s">
        <v>19</v>
      </c>
      <c r="C19" s="79">
        <v>4356</v>
      </c>
      <c r="D19" s="79">
        <v>4356</v>
      </c>
      <c r="E19" s="79">
        <f t="shared" si="2"/>
        <v>100</v>
      </c>
      <c r="F19" s="88">
        <v>4356</v>
      </c>
      <c r="G19" s="88">
        <v>1070.6</v>
      </c>
      <c r="H19" s="88">
        <f t="shared" si="3"/>
        <v>24.577594123048666</v>
      </c>
      <c r="I19" s="89">
        <f>C19+F19-4356</f>
        <v>4356</v>
      </c>
      <c r="J19" s="80">
        <f>D19+G19-4356</f>
        <v>1070.6000000000004</v>
      </c>
      <c r="K19" s="90">
        <f t="shared" si="1"/>
        <v>24.577594123048677</v>
      </c>
    </row>
    <row r="20" spans="1:11" ht="12.75" customHeight="1">
      <c r="A20" s="255" t="s">
        <v>20</v>
      </c>
      <c r="B20" s="256" t="s">
        <v>198</v>
      </c>
      <c r="C20" s="231">
        <f>C23+C24+C22</f>
        <v>10905.599999999999</v>
      </c>
      <c r="D20" s="231">
        <f>D23+D24+D22</f>
        <v>2167.2</v>
      </c>
      <c r="E20" s="231">
        <f>D20/C20*100</f>
        <v>19.87235915492958</v>
      </c>
      <c r="F20" s="231">
        <f>F23+F24+F22</f>
        <v>11483.6</v>
      </c>
      <c r="G20" s="231">
        <f>G23+G24+G22</f>
        <v>1942.4</v>
      </c>
      <c r="H20" s="231">
        <f>G20/F20*100</f>
        <v>16.914556410881605</v>
      </c>
      <c r="I20" s="231">
        <f>I23+I24+I22</f>
        <v>20471.1</v>
      </c>
      <c r="J20" s="231">
        <f>SUM(J22:J24)</f>
        <v>3281.1</v>
      </c>
      <c r="K20" s="231">
        <f>J20/I20*100</f>
        <v>16.02796136993127</v>
      </c>
    </row>
    <row r="21" spans="1:11" ht="12.75" customHeight="1">
      <c r="A21" s="255"/>
      <c r="B21" s="256"/>
      <c r="C21" s="231"/>
      <c r="D21" s="231"/>
      <c r="E21" s="231"/>
      <c r="F21" s="231"/>
      <c r="G21" s="231"/>
      <c r="H21" s="231"/>
      <c r="I21" s="231"/>
      <c r="J21" s="231"/>
      <c r="K21" s="231"/>
    </row>
    <row r="22" spans="1:11" ht="15">
      <c r="A22" s="91" t="s">
        <v>116</v>
      </c>
      <c r="B22" s="87" t="s">
        <v>174</v>
      </c>
      <c r="C22" s="79">
        <v>4398.9</v>
      </c>
      <c r="D22" s="79">
        <v>1962</v>
      </c>
      <c r="E22" s="79">
        <f aca="true" t="shared" si="5" ref="E22:E97">D22/C22*100</f>
        <v>44.602059605810545</v>
      </c>
      <c r="F22" s="88">
        <v>759</v>
      </c>
      <c r="G22" s="88">
        <v>156.9</v>
      </c>
      <c r="H22" s="88">
        <f>G22/F22*100</f>
        <v>20.67193675889328</v>
      </c>
      <c r="I22" s="89">
        <f>C22+F22-759</f>
        <v>4398.9</v>
      </c>
      <c r="J22" s="80">
        <f>D22+G22-759</f>
        <v>1359.9</v>
      </c>
      <c r="K22" s="90">
        <f>J22/I22*100</f>
        <v>30.914546818522815</v>
      </c>
    </row>
    <row r="23" spans="1:11" ht="15">
      <c r="A23" s="86" t="s">
        <v>21</v>
      </c>
      <c r="B23" s="87" t="s">
        <v>117</v>
      </c>
      <c r="C23" s="79">
        <v>6163</v>
      </c>
      <c r="D23" s="79">
        <v>192.8</v>
      </c>
      <c r="E23" s="79">
        <f t="shared" si="5"/>
        <v>3.1283465844556226</v>
      </c>
      <c r="F23" s="88">
        <v>10724.6</v>
      </c>
      <c r="G23" s="88">
        <v>1785.5</v>
      </c>
      <c r="H23" s="88">
        <f>G23/F23*100</f>
        <v>16.648639576301214</v>
      </c>
      <c r="I23" s="89">
        <f>C23+F23-500-659.1</f>
        <v>15728.499999999998</v>
      </c>
      <c r="J23" s="80">
        <f>D23+G23-69.5</f>
        <v>1908.8</v>
      </c>
      <c r="K23" s="90">
        <f>J23/I23*100</f>
        <v>12.135931589153447</v>
      </c>
    </row>
    <row r="24" spans="1:11" ht="30">
      <c r="A24" s="91" t="s">
        <v>107</v>
      </c>
      <c r="B24" s="87" t="s">
        <v>108</v>
      </c>
      <c r="C24" s="79">
        <v>343.7</v>
      </c>
      <c r="D24" s="79">
        <v>12.4</v>
      </c>
      <c r="E24" s="79">
        <f t="shared" si="5"/>
        <v>3.607797497817865</v>
      </c>
      <c r="F24" s="88">
        <v>0</v>
      </c>
      <c r="G24" s="88">
        <v>0</v>
      </c>
      <c r="H24" s="88">
        <v>0</v>
      </c>
      <c r="I24" s="89">
        <f>C24+F24</f>
        <v>343.7</v>
      </c>
      <c r="J24" s="80">
        <f>D24+G24</f>
        <v>12.4</v>
      </c>
      <c r="K24" s="90">
        <f>J24/I24*100</f>
        <v>3.607797497817865</v>
      </c>
    </row>
    <row r="25" spans="1:11" ht="15">
      <c r="A25" s="81" t="s">
        <v>22</v>
      </c>
      <c r="B25" s="82" t="s">
        <v>23</v>
      </c>
      <c r="C25" s="83">
        <f>SUM(C26:C45)</f>
        <v>127136.30000000002</v>
      </c>
      <c r="D25" s="83">
        <f>SUM(D26:D45)</f>
        <v>42636.8</v>
      </c>
      <c r="E25" s="83">
        <f>D25/C25*100</f>
        <v>33.536291366037865</v>
      </c>
      <c r="F25" s="83">
        <f>SUM(F26:F45)</f>
        <v>62695.3</v>
      </c>
      <c r="G25" s="83">
        <f>SUM(G26:G45)</f>
        <v>15873.400000000001</v>
      </c>
      <c r="H25" s="84">
        <f>G25/F25*100</f>
        <v>25.31832529711159</v>
      </c>
      <c r="I25" s="83">
        <f>SUM(I26:I45)</f>
        <v>173888.59999999998</v>
      </c>
      <c r="J25" s="83">
        <f>SUM(J26:J45)</f>
        <v>55017.3</v>
      </c>
      <c r="K25" s="85">
        <f t="shared" si="1"/>
        <v>31.639394416885295</v>
      </c>
    </row>
    <row r="26" spans="1:11" ht="45">
      <c r="A26" s="91" t="s">
        <v>24</v>
      </c>
      <c r="B26" s="94" t="s">
        <v>175</v>
      </c>
      <c r="C26" s="79">
        <v>12639.2</v>
      </c>
      <c r="D26" s="79">
        <v>2738.4</v>
      </c>
      <c r="E26" s="79">
        <f t="shared" si="5"/>
        <v>21.665928223305272</v>
      </c>
      <c r="F26" s="79">
        <v>3151</v>
      </c>
      <c r="G26" s="88">
        <v>2631.1</v>
      </c>
      <c r="H26" s="88">
        <f>G26/F26*100</f>
        <v>83.50047603935259</v>
      </c>
      <c r="I26" s="89">
        <f>C26+F26-2461.2</f>
        <v>13329</v>
      </c>
      <c r="J26" s="89">
        <f>D26+G26-2461.2</f>
        <v>2908.3</v>
      </c>
      <c r="K26" s="90">
        <f t="shared" si="1"/>
        <v>21.819341285917925</v>
      </c>
    </row>
    <row r="27" spans="1:11" ht="15">
      <c r="A27" s="86" t="s">
        <v>25</v>
      </c>
      <c r="B27" s="87" t="s">
        <v>26</v>
      </c>
      <c r="C27" s="79">
        <v>25394.4</v>
      </c>
      <c r="D27" s="79">
        <v>17891</v>
      </c>
      <c r="E27" s="79">
        <f t="shared" si="5"/>
        <v>70.45254071763853</v>
      </c>
      <c r="F27" s="88">
        <v>0</v>
      </c>
      <c r="G27" s="88">
        <v>0</v>
      </c>
      <c r="H27" s="88">
        <v>0</v>
      </c>
      <c r="I27" s="89">
        <f t="shared" si="0"/>
        <v>25394.4</v>
      </c>
      <c r="J27" s="80">
        <f t="shared" si="0"/>
        <v>17891</v>
      </c>
      <c r="K27" s="90">
        <f t="shared" si="1"/>
        <v>70.45254071763853</v>
      </c>
    </row>
    <row r="28" spans="1:11" ht="15">
      <c r="A28" s="86" t="s">
        <v>27</v>
      </c>
      <c r="B28" s="87" t="s">
        <v>176</v>
      </c>
      <c r="C28" s="79">
        <v>7650</v>
      </c>
      <c r="D28" s="79">
        <v>4265.4</v>
      </c>
      <c r="E28" s="79">
        <f t="shared" si="5"/>
        <v>55.75686274509803</v>
      </c>
      <c r="F28" s="88">
        <v>0</v>
      </c>
      <c r="G28" s="88">
        <v>0</v>
      </c>
      <c r="H28" s="88">
        <v>0</v>
      </c>
      <c r="I28" s="89">
        <f t="shared" si="0"/>
        <v>7650</v>
      </c>
      <c r="J28" s="80">
        <f t="shared" si="0"/>
        <v>4265.4</v>
      </c>
      <c r="K28" s="90">
        <f t="shared" si="1"/>
        <v>55.75686274509803</v>
      </c>
    </row>
    <row r="29" spans="1:11" ht="15">
      <c r="A29" s="86" t="s">
        <v>27</v>
      </c>
      <c r="B29" s="87" t="s">
        <v>177</v>
      </c>
      <c r="C29" s="79">
        <v>17896</v>
      </c>
      <c r="D29" s="79">
        <v>9070.2</v>
      </c>
      <c r="E29" s="79">
        <f t="shared" si="5"/>
        <v>50.68283415288333</v>
      </c>
      <c r="F29" s="88">
        <v>12871.8</v>
      </c>
      <c r="G29" s="88">
        <v>3176.4</v>
      </c>
      <c r="H29" s="88">
        <f>G29/F29*100</f>
        <v>24.67720132382418</v>
      </c>
      <c r="I29" s="89">
        <f t="shared" si="0"/>
        <v>30767.8</v>
      </c>
      <c r="J29" s="80">
        <f t="shared" si="0"/>
        <v>12246.6</v>
      </c>
      <c r="K29" s="90">
        <f t="shared" si="1"/>
        <v>39.80330085348969</v>
      </c>
    </row>
    <row r="30" spans="1:11" ht="15">
      <c r="A30" s="86" t="s">
        <v>27</v>
      </c>
      <c r="B30" s="87" t="s">
        <v>178</v>
      </c>
      <c r="C30" s="79">
        <v>8931</v>
      </c>
      <c r="D30" s="79">
        <v>1066.7</v>
      </c>
      <c r="E30" s="79">
        <f t="shared" si="5"/>
        <v>11.943791288769456</v>
      </c>
      <c r="F30" s="88">
        <v>0</v>
      </c>
      <c r="G30" s="88">
        <v>0</v>
      </c>
      <c r="H30" s="88">
        <v>0</v>
      </c>
      <c r="I30" s="89">
        <f t="shared" si="0"/>
        <v>8931</v>
      </c>
      <c r="J30" s="80">
        <f t="shared" si="0"/>
        <v>1066.7</v>
      </c>
      <c r="K30" s="90">
        <f t="shared" si="1"/>
        <v>11.943791288769456</v>
      </c>
    </row>
    <row r="31" spans="1:11" ht="45">
      <c r="A31" s="86" t="s">
        <v>74</v>
      </c>
      <c r="B31" s="95" t="s">
        <v>179</v>
      </c>
      <c r="C31" s="79">
        <v>2471.8</v>
      </c>
      <c r="D31" s="79">
        <v>848.8</v>
      </c>
      <c r="E31" s="79">
        <f t="shared" si="5"/>
        <v>34.33934784367667</v>
      </c>
      <c r="F31" s="88">
        <v>0</v>
      </c>
      <c r="G31" s="88">
        <v>0</v>
      </c>
      <c r="H31" s="88">
        <v>0</v>
      </c>
      <c r="I31" s="89">
        <f t="shared" si="0"/>
        <v>2471.8</v>
      </c>
      <c r="J31" s="80">
        <f t="shared" si="0"/>
        <v>848.8</v>
      </c>
      <c r="K31" s="90">
        <f t="shared" si="1"/>
        <v>34.33934784367667</v>
      </c>
    </row>
    <row r="32" spans="1:11" ht="60">
      <c r="A32" s="91" t="s">
        <v>74</v>
      </c>
      <c r="B32" s="95" t="s">
        <v>199</v>
      </c>
      <c r="C32" s="79">
        <v>11660.9</v>
      </c>
      <c r="D32" s="79">
        <v>0</v>
      </c>
      <c r="E32" s="79">
        <f t="shared" si="5"/>
        <v>0</v>
      </c>
      <c r="F32" s="88">
        <v>10981.8</v>
      </c>
      <c r="G32" s="88">
        <v>0</v>
      </c>
      <c r="H32" s="88">
        <f aca="true" t="shared" si="6" ref="H32:H37">G32/F32*100</f>
        <v>0</v>
      </c>
      <c r="I32" s="89">
        <f>C32+F32-10981.8</f>
        <v>11660.899999999998</v>
      </c>
      <c r="J32" s="80">
        <f>D32+G32</f>
        <v>0</v>
      </c>
      <c r="K32" s="90">
        <f>J32/I32*100</f>
        <v>0</v>
      </c>
    </row>
    <row r="33" spans="1:11" ht="60">
      <c r="A33" s="91" t="s">
        <v>74</v>
      </c>
      <c r="B33" s="95" t="s">
        <v>200</v>
      </c>
      <c r="C33" s="79">
        <v>492.1</v>
      </c>
      <c r="D33" s="79">
        <v>0</v>
      </c>
      <c r="E33" s="79">
        <v>0</v>
      </c>
      <c r="F33" s="88">
        <v>3496.2</v>
      </c>
      <c r="G33" s="88">
        <v>0</v>
      </c>
      <c r="H33" s="88">
        <v>0</v>
      </c>
      <c r="I33" s="89">
        <f>C33+F33</f>
        <v>3988.2999999999997</v>
      </c>
      <c r="J33" s="80">
        <f>D33+G33</f>
        <v>0</v>
      </c>
      <c r="K33" s="90">
        <f>J33/I33*100</f>
        <v>0</v>
      </c>
    </row>
    <row r="34" spans="1:11" ht="105">
      <c r="A34" s="91" t="s">
        <v>74</v>
      </c>
      <c r="B34" s="87" t="s">
        <v>201</v>
      </c>
      <c r="C34" s="79">
        <v>2500</v>
      </c>
      <c r="D34" s="79">
        <v>1031.7</v>
      </c>
      <c r="E34" s="79">
        <f t="shared" si="5"/>
        <v>41.268</v>
      </c>
      <c r="F34" s="88">
        <v>2500</v>
      </c>
      <c r="G34" s="88">
        <v>0</v>
      </c>
      <c r="H34" s="88">
        <f t="shared" si="6"/>
        <v>0</v>
      </c>
      <c r="I34" s="89">
        <f>C34+F34-2500</f>
        <v>2500</v>
      </c>
      <c r="J34" s="80">
        <f>D34+G34-1031.7</f>
        <v>0</v>
      </c>
      <c r="K34" s="90">
        <f>J34/I34*100</f>
        <v>0</v>
      </c>
    </row>
    <row r="35" spans="1:11" ht="30">
      <c r="A35" s="91" t="s">
        <v>74</v>
      </c>
      <c r="B35" s="87" t="s">
        <v>180</v>
      </c>
      <c r="C35" s="79"/>
      <c r="D35" s="79"/>
      <c r="E35" s="79"/>
      <c r="F35" s="88">
        <v>25840.4</v>
      </c>
      <c r="G35" s="88">
        <v>8587.7</v>
      </c>
      <c r="H35" s="88">
        <f t="shared" si="6"/>
        <v>33.23361867463352</v>
      </c>
      <c r="I35" s="89">
        <f>C35+F35</f>
        <v>25840.4</v>
      </c>
      <c r="J35" s="80">
        <f>D35+G35</f>
        <v>8587.7</v>
      </c>
      <c r="K35" s="90">
        <f>J35/I35*100</f>
        <v>33.23361867463352</v>
      </c>
    </row>
    <row r="36" spans="1:11" ht="15">
      <c r="A36" s="86" t="s">
        <v>67</v>
      </c>
      <c r="B36" s="87" t="s">
        <v>68</v>
      </c>
      <c r="C36" s="79">
        <v>4533.8</v>
      </c>
      <c r="D36" s="79">
        <v>1402.8</v>
      </c>
      <c r="E36" s="79">
        <f t="shared" si="5"/>
        <v>30.940932551060918</v>
      </c>
      <c r="F36" s="88">
        <v>3338.1</v>
      </c>
      <c r="G36" s="88">
        <v>1432.1</v>
      </c>
      <c r="H36" s="88">
        <f t="shared" si="6"/>
        <v>42.90165063958539</v>
      </c>
      <c r="I36" s="89">
        <f t="shared" si="0"/>
        <v>7871.9</v>
      </c>
      <c r="J36" s="80">
        <f t="shared" si="0"/>
        <v>2834.8999999999996</v>
      </c>
      <c r="K36" s="90">
        <f t="shared" si="1"/>
        <v>36.01290666802169</v>
      </c>
    </row>
    <row r="37" spans="1:11" ht="30">
      <c r="A37" s="86" t="s">
        <v>28</v>
      </c>
      <c r="B37" s="87" t="s">
        <v>202</v>
      </c>
      <c r="C37" s="79">
        <v>0</v>
      </c>
      <c r="D37" s="79">
        <v>0</v>
      </c>
      <c r="E37" s="79">
        <v>0</v>
      </c>
      <c r="F37" s="88">
        <v>516</v>
      </c>
      <c r="G37" s="88">
        <v>46.1</v>
      </c>
      <c r="H37" s="88">
        <f t="shared" si="6"/>
        <v>8.934108527131784</v>
      </c>
      <c r="I37" s="89">
        <f t="shared" si="0"/>
        <v>516</v>
      </c>
      <c r="J37" s="80">
        <f t="shared" si="0"/>
        <v>46.1</v>
      </c>
      <c r="K37" s="90">
        <f t="shared" si="1"/>
        <v>8.934108527131784</v>
      </c>
    </row>
    <row r="38" spans="1:11" ht="60">
      <c r="A38" s="86" t="s">
        <v>28</v>
      </c>
      <c r="B38" s="95" t="s">
        <v>203</v>
      </c>
      <c r="C38" s="79">
        <v>2788.5</v>
      </c>
      <c r="D38" s="79">
        <v>1209.9</v>
      </c>
      <c r="E38" s="79">
        <f t="shared" si="5"/>
        <v>43.388918773534165</v>
      </c>
      <c r="F38" s="88">
        <v>0</v>
      </c>
      <c r="G38" s="88">
        <v>0</v>
      </c>
      <c r="H38" s="88">
        <v>0</v>
      </c>
      <c r="I38" s="89">
        <f t="shared" si="0"/>
        <v>2788.5</v>
      </c>
      <c r="J38" s="80">
        <f t="shared" si="0"/>
        <v>1209.9</v>
      </c>
      <c r="K38" s="90">
        <f t="shared" si="1"/>
        <v>43.388918773534165</v>
      </c>
    </row>
    <row r="39" spans="1:11" ht="120">
      <c r="A39" s="91" t="s">
        <v>28</v>
      </c>
      <c r="B39" s="95" t="s">
        <v>309</v>
      </c>
      <c r="C39" s="79">
        <v>2144.3</v>
      </c>
      <c r="D39" s="79">
        <v>1849.3</v>
      </c>
      <c r="E39" s="79">
        <f t="shared" si="5"/>
        <v>86.24259665158792</v>
      </c>
      <c r="F39" s="88"/>
      <c r="G39" s="88"/>
      <c r="H39" s="88"/>
      <c r="I39" s="89">
        <f t="shared" si="0"/>
        <v>2144.3</v>
      </c>
      <c r="J39" s="80">
        <f t="shared" si="0"/>
        <v>1849.3</v>
      </c>
      <c r="K39" s="90">
        <f t="shared" si="1"/>
        <v>86.24259665158792</v>
      </c>
    </row>
    <row r="40" spans="1:11" ht="75">
      <c r="A40" s="91" t="s">
        <v>28</v>
      </c>
      <c r="B40" s="95" t="s">
        <v>310</v>
      </c>
      <c r="C40" s="79">
        <v>1619.3</v>
      </c>
      <c r="D40" s="79">
        <v>415.3</v>
      </c>
      <c r="E40" s="79">
        <f t="shared" si="5"/>
        <v>25.64688445624653</v>
      </c>
      <c r="F40" s="88"/>
      <c r="G40" s="88"/>
      <c r="H40" s="88"/>
      <c r="I40" s="89">
        <f t="shared" si="0"/>
        <v>1619.3</v>
      </c>
      <c r="J40" s="80">
        <f t="shared" si="0"/>
        <v>415.3</v>
      </c>
      <c r="K40" s="90">
        <f t="shared" si="1"/>
        <v>25.64688445624653</v>
      </c>
    </row>
    <row r="41" spans="1:11" ht="75">
      <c r="A41" s="86" t="s">
        <v>28</v>
      </c>
      <c r="B41" s="95" t="s">
        <v>323</v>
      </c>
      <c r="C41" s="79">
        <v>2987</v>
      </c>
      <c r="D41" s="79">
        <v>611.1</v>
      </c>
      <c r="E41" s="79">
        <f t="shared" si="5"/>
        <v>20.458654168061603</v>
      </c>
      <c r="F41" s="88"/>
      <c r="G41" s="88"/>
      <c r="H41" s="88"/>
      <c r="I41" s="89">
        <f t="shared" si="0"/>
        <v>2987</v>
      </c>
      <c r="J41" s="80">
        <f t="shared" si="0"/>
        <v>611.1</v>
      </c>
      <c r="K41" s="90">
        <f t="shared" si="1"/>
        <v>20.458654168061603</v>
      </c>
    </row>
    <row r="42" spans="1:11" ht="60">
      <c r="A42" s="86" t="s">
        <v>28</v>
      </c>
      <c r="B42" s="95" t="s">
        <v>181</v>
      </c>
      <c r="C42" s="79">
        <v>4500</v>
      </c>
      <c r="D42" s="88">
        <v>20</v>
      </c>
      <c r="E42" s="79">
        <f t="shared" si="5"/>
        <v>0.4444444444444444</v>
      </c>
      <c r="F42" s="88">
        <v>0</v>
      </c>
      <c r="G42" s="88">
        <v>0</v>
      </c>
      <c r="H42" s="88">
        <v>0</v>
      </c>
      <c r="I42" s="89">
        <f t="shared" si="0"/>
        <v>4500</v>
      </c>
      <c r="J42" s="80">
        <f t="shared" si="0"/>
        <v>20</v>
      </c>
      <c r="K42" s="90">
        <f t="shared" si="1"/>
        <v>0.4444444444444444</v>
      </c>
    </row>
    <row r="43" spans="1:11" ht="75">
      <c r="A43" s="91" t="s">
        <v>28</v>
      </c>
      <c r="B43" s="95" t="s">
        <v>210</v>
      </c>
      <c r="C43" s="79">
        <v>16514.6</v>
      </c>
      <c r="D43" s="88">
        <v>0</v>
      </c>
      <c r="E43" s="79">
        <f t="shared" si="5"/>
        <v>0</v>
      </c>
      <c r="F43" s="88"/>
      <c r="G43" s="88"/>
      <c r="H43" s="88"/>
      <c r="I43" s="89">
        <f t="shared" si="0"/>
        <v>16514.6</v>
      </c>
      <c r="J43" s="80">
        <f t="shared" si="0"/>
        <v>0</v>
      </c>
      <c r="K43" s="90">
        <f t="shared" si="1"/>
        <v>0</v>
      </c>
    </row>
    <row r="44" spans="1:11" ht="30">
      <c r="A44" s="91" t="s">
        <v>28</v>
      </c>
      <c r="B44" s="95" t="s">
        <v>182</v>
      </c>
      <c r="C44" s="79">
        <v>1413.4</v>
      </c>
      <c r="D44" s="88">
        <v>216.2</v>
      </c>
      <c r="E44" s="79">
        <f t="shared" si="5"/>
        <v>15.296448280741473</v>
      </c>
      <c r="F44" s="88">
        <v>0</v>
      </c>
      <c r="G44" s="88">
        <v>0</v>
      </c>
      <c r="H44" s="88">
        <v>0</v>
      </c>
      <c r="I44" s="89">
        <f t="shared" si="0"/>
        <v>1413.4</v>
      </c>
      <c r="J44" s="80">
        <f t="shared" si="0"/>
        <v>216.2</v>
      </c>
      <c r="K44" s="90">
        <f t="shared" si="1"/>
        <v>15.296448280741473</v>
      </c>
    </row>
    <row r="45" spans="1:11" ht="90">
      <c r="A45" s="91" t="s">
        <v>28</v>
      </c>
      <c r="B45" s="95" t="s">
        <v>204</v>
      </c>
      <c r="C45" s="79">
        <v>1000</v>
      </c>
      <c r="D45" s="88">
        <v>0</v>
      </c>
      <c r="E45" s="79">
        <f t="shared" si="5"/>
        <v>0</v>
      </c>
      <c r="F45" s="88">
        <v>0</v>
      </c>
      <c r="G45" s="88">
        <v>0</v>
      </c>
      <c r="H45" s="88"/>
      <c r="I45" s="89">
        <f t="shared" si="0"/>
        <v>1000</v>
      </c>
      <c r="J45" s="80">
        <f t="shared" si="0"/>
        <v>0</v>
      </c>
      <c r="K45" s="90">
        <f t="shared" si="1"/>
        <v>0</v>
      </c>
    </row>
    <row r="46" spans="1:11" ht="14.25">
      <c r="A46" s="81" t="s">
        <v>29</v>
      </c>
      <c r="B46" s="82" t="s">
        <v>30</v>
      </c>
      <c r="C46" s="181">
        <f>SUM(C47:C74)</f>
        <v>161741.20000000004</v>
      </c>
      <c r="D46" s="181">
        <f>SUM(D47:D74)</f>
        <v>109857.90000000001</v>
      </c>
      <c r="E46" s="83">
        <f t="shared" si="5"/>
        <v>67.9220260514946</v>
      </c>
      <c r="F46" s="96">
        <f>SUM(F47:F74)</f>
        <v>111470.69999999998</v>
      </c>
      <c r="G46" s="96">
        <f>SUM(G47:G74)</f>
        <v>27372.199999999997</v>
      </c>
      <c r="H46" s="96">
        <f>G46/F46*100</f>
        <v>24.555510999751505</v>
      </c>
      <c r="I46" s="181">
        <f>SUM(I47:I74)</f>
        <v>250913.90000000002</v>
      </c>
      <c r="J46" s="181">
        <f>SUM(J47:J74)</f>
        <v>130309.1</v>
      </c>
      <c r="K46" s="85">
        <f t="shared" si="1"/>
        <v>51.9337908342264</v>
      </c>
    </row>
    <row r="47" spans="1:11" ht="15">
      <c r="A47" s="97" t="s">
        <v>31</v>
      </c>
      <c r="B47" s="98" t="s">
        <v>183</v>
      </c>
      <c r="C47" s="79">
        <v>720.8</v>
      </c>
      <c r="D47" s="79">
        <v>100.5</v>
      </c>
      <c r="E47" s="79">
        <f t="shared" si="5"/>
        <v>13.94284128745838</v>
      </c>
      <c r="F47" s="88">
        <v>27858</v>
      </c>
      <c r="G47" s="88">
        <v>3863.9</v>
      </c>
      <c r="H47" s="88">
        <f>G47/F47*100</f>
        <v>13.86998348768756</v>
      </c>
      <c r="I47" s="89">
        <f t="shared" si="0"/>
        <v>28578.8</v>
      </c>
      <c r="J47" s="80">
        <f t="shared" si="0"/>
        <v>3964.4</v>
      </c>
      <c r="K47" s="90">
        <f t="shared" si="1"/>
        <v>13.871821070163898</v>
      </c>
    </row>
    <row r="48" spans="1:11" ht="90">
      <c r="A48" s="86" t="s">
        <v>31</v>
      </c>
      <c r="B48" s="87" t="s">
        <v>286</v>
      </c>
      <c r="C48" s="79">
        <v>77278.4</v>
      </c>
      <c r="D48" s="79">
        <v>77164.6</v>
      </c>
      <c r="E48" s="79">
        <f t="shared" si="5"/>
        <v>99.85274022236487</v>
      </c>
      <c r="F48" s="88">
        <v>0</v>
      </c>
      <c r="G48" s="88">
        <v>0</v>
      </c>
      <c r="H48" s="88">
        <v>0</v>
      </c>
      <c r="I48" s="89">
        <f t="shared" si="0"/>
        <v>77278.4</v>
      </c>
      <c r="J48" s="80">
        <f t="shared" si="0"/>
        <v>77164.6</v>
      </c>
      <c r="K48" s="90">
        <f t="shared" si="1"/>
        <v>99.85274022236487</v>
      </c>
    </row>
    <row r="49" spans="1:11" ht="120">
      <c r="A49" s="86" t="s">
        <v>31</v>
      </c>
      <c r="B49" s="87" t="s">
        <v>206</v>
      </c>
      <c r="C49" s="79">
        <v>0</v>
      </c>
      <c r="D49" s="79">
        <v>0</v>
      </c>
      <c r="E49" s="79">
        <v>0</v>
      </c>
      <c r="F49" s="88"/>
      <c r="G49" s="88"/>
      <c r="H49" s="88"/>
      <c r="I49" s="89">
        <f t="shared" si="0"/>
        <v>0</v>
      </c>
      <c r="J49" s="80">
        <f t="shared" si="0"/>
        <v>0</v>
      </c>
      <c r="K49" s="90" t="e">
        <f t="shared" si="1"/>
        <v>#DIV/0!</v>
      </c>
    </row>
    <row r="50" spans="1:11" ht="120">
      <c r="A50" s="91" t="s">
        <v>31</v>
      </c>
      <c r="B50" s="87" t="s">
        <v>287</v>
      </c>
      <c r="C50" s="79">
        <v>3542.4</v>
      </c>
      <c r="D50" s="79">
        <v>2115.3</v>
      </c>
      <c r="E50" s="79">
        <f t="shared" si="5"/>
        <v>59.71375338753388</v>
      </c>
      <c r="F50" s="88"/>
      <c r="G50" s="88"/>
      <c r="H50" s="88"/>
      <c r="I50" s="89">
        <f t="shared" si="0"/>
        <v>3542.4</v>
      </c>
      <c r="J50" s="80">
        <f t="shared" si="0"/>
        <v>2115.3</v>
      </c>
      <c r="K50" s="90">
        <f t="shared" si="1"/>
        <v>59.71375338753388</v>
      </c>
    </row>
    <row r="51" spans="1:11" ht="45">
      <c r="A51" s="91" t="s">
        <v>31</v>
      </c>
      <c r="B51" s="87" t="s">
        <v>311</v>
      </c>
      <c r="C51" s="79">
        <v>460</v>
      </c>
      <c r="D51" s="79">
        <v>460</v>
      </c>
      <c r="E51" s="79">
        <f t="shared" si="5"/>
        <v>100</v>
      </c>
      <c r="F51" s="88">
        <v>2463.8</v>
      </c>
      <c r="G51" s="88"/>
      <c r="H51" s="88"/>
      <c r="I51" s="89">
        <f t="shared" si="0"/>
        <v>2923.8</v>
      </c>
      <c r="J51" s="80">
        <f t="shared" si="0"/>
        <v>460</v>
      </c>
      <c r="K51" s="90">
        <f t="shared" si="1"/>
        <v>15.73295027019632</v>
      </c>
    </row>
    <row r="52" spans="1:11" ht="135">
      <c r="A52" s="86" t="s">
        <v>32</v>
      </c>
      <c r="B52" s="87" t="s">
        <v>194</v>
      </c>
      <c r="C52" s="79">
        <v>6590.1</v>
      </c>
      <c r="D52" s="79">
        <v>3550.2</v>
      </c>
      <c r="E52" s="79">
        <f t="shared" si="5"/>
        <v>53.87171666590794</v>
      </c>
      <c r="F52" s="88"/>
      <c r="G52" s="88"/>
      <c r="H52" s="88"/>
      <c r="I52" s="89">
        <f t="shared" si="0"/>
        <v>6590.1</v>
      </c>
      <c r="J52" s="89">
        <f t="shared" si="0"/>
        <v>3550.2</v>
      </c>
      <c r="K52" s="90">
        <f t="shared" si="1"/>
        <v>53.87171666590794</v>
      </c>
    </row>
    <row r="53" spans="1:11" ht="40.5" customHeight="1">
      <c r="A53" s="86" t="s">
        <v>32</v>
      </c>
      <c r="B53" s="87" t="s">
        <v>195</v>
      </c>
      <c r="C53" s="79">
        <v>10419.8</v>
      </c>
      <c r="D53" s="105">
        <v>3300</v>
      </c>
      <c r="E53" s="79">
        <f t="shared" si="5"/>
        <v>31.67047352156472</v>
      </c>
      <c r="F53" s="88"/>
      <c r="G53" s="88"/>
      <c r="H53" s="88"/>
      <c r="I53" s="89">
        <f t="shared" si="0"/>
        <v>10419.8</v>
      </c>
      <c r="J53" s="89">
        <f t="shared" si="0"/>
        <v>3300</v>
      </c>
      <c r="K53" s="90">
        <f t="shared" si="1"/>
        <v>31.67047352156472</v>
      </c>
    </row>
    <row r="54" spans="1:11" ht="191.25">
      <c r="A54" s="86" t="s">
        <v>32</v>
      </c>
      <c r="B54" s="147" t="s">
        <v>288</v>
      </c>
      <c r="C54" s="79">
        <v>2471</v>
      </c>
      <c r="D54" s="105">
        <v>1464.6</v>
      </c>
      <c r="E54" s="79">
        <f>D54/C54*100</f>
        <v>59.27154997976527</v>
      </c>
      <c r="F54" s="88"/>
      <c r="G54" s="88"/>
      <c r="H54" s="88"/>
      <c r="I54" s="89">
        <f t="shared" si="0"/>
        <v>2471</v>
      </c>
      <c r="J54" s="89">
        <f t="shared" si="0"/>
        <v>1464.6</v>
      </c>
      <c r="K54" s="90">
        <f>J54/I54*100</f>
        <v>59.27154997976527</v>
      </c>
    </row>
    <row r="55" spans="1:11" ht="191.25">
      <c r="A55" s="86" t="s">
        <v>32</v>
      </c>
      <c r="B55" s="147" t="s">
        <v>289</v>
      </c>
      <c r="C55" s="79">
        <v>1400</v>
      </c>
      <c r="D55" s="105">
        <v>976.4</v>
      </c>
      <c r="E55" s="79">
        <f>D55/C55*100</f>
        <v>69.74285714285713</v>
      </c>
      <c r="F55" s="88"/>
      <c r="G55" s="88"/>
      <c r="H55" s="88"/>
      <c r="I55" s="89">
        <f t="shared" si="0"/>
        <v>1400</v>
      </c>
      <c r="J55" s="89">
        <f t="shared" si="0"/>
        <v>976.4</v>
      </c>
      <c r="K55" s="90">
        <f>J55/I55*100</f>
        <v>69.74285714285713</v>
      </c>
    </row>
    <row r="56" spans="1:11" ht="165.75">
      <c r="A56" s="86" t="s">
        <v>32</v>
      </c>
      <c r="B56" s="147" t="s">
        <v>290</v>
      </c>
      <c r="C56" s="79">
        <v>37811.6</v>
      </c>
      <c r="D56" s="105">
        <v>9493.1</v>
      </c>
      <c r="E56" s="79">
        <f>D56/C56*100</f>
        <v>25.106316580097115</v>
      </c>
      <c r="F56" s="88"/>
      <c r="G56" s="88"/>
      <c r="H56" s="88"/>
      <c r="I56" s="89">
        <f t="shared" si="0"/>
        <v>37811.6</v>
      </c>
      <c r="J56" s="89">
        <f t="shared" si="0"/>
        <v>9493.1</v>
      </c>
      <c r="K56" s="90">
        <f>J56/I56*100</f>
        <v>25.106316580097115</v>
      </c>
    </row>
    <row r="57" spans="1:11" ht="150">
      <c r="A57" s="91" t="s">
        <v>32</v>
      </c>
      <c r="B57" s="95" t="s">
        <v>291</v>
      </c>
      <c r="C57" s="79">
        <v>1785.5</v>
      </c>
      <c r="D57" s="105">
        <v>261.8</v>
      </c>
      <c r="E57" s="79">
        <f t="shared" si="5"/>
        <v>14.662559507140857</v>
      </c>
      <c r="F57" s="88">
        <v>38.2</v>
      </c>
      <c r="G57" s="88"/>
      <c r="H57" s="88">
        <v>0</v>
      </c>
      <c r="I57" s="89">
        <f>C57+F57-261.8</f>
        <v>1561.9</v>
      </c>
      <c r="J57" s="89">
        <f>D57+G57-261.8</f>
        <v>0</v>
      </c>
      <c r="K57" s="90">
        <f t="shared" si="1"/>
        <v>0</v>
      </c>
    </row>
    <row r="58" spans="1:11" ht="150">
      <c r="A58" s="91" t="s">
        <v>32</v>
      </c>
      <c r="B58" s="95" t="s">
        <v>292</v>
      </c>
      <c r="C58" s="79">
        <v>1556.4</v>
      </c>
      <c r="D58" s="105"/>
      <c r="E58" s="79">
        <f t="shared" si="5"/>
        <v>0</v>
      </c>
      <c r="F58" s="88">
        <v>1638.3</v>
      </c>
      <c r="G58" s="88">
        <v>0</v>
      </c>
      <c r="H58" s="88">
        <f>G58/F58*100</f>
        <v>0</v>
      </c>
      <c r="I58" s="89">
        <f>C58+F58-1556.4</f>
        <v>1638.2999999999997</v>
      </c>
      <c r="J58" s="89">
        <f t="shared" si="0"/>
        <v>0</v>
      </c>
      <c r="K58" s="90">
        <f t="shared" si="1"/>
        <v>0</v>
      </c>
    </row>
    <row r="59" spans="1:11" ht="120">
      <c r="A59" s="91" t="s">
        <v>32</v>
      </c>
      <c r="B59" s="95" t="s">
        <v>314</v>
      </c>
      <c r="C59" s="79">
        <v>185.7</v>
      </c>
      <c r="D59" s="105"/>
      <c r="E59" s="79">
        <f t="shared" si="5"/>
        <v>0</v>
      </c>
      <c r="F59" s="88"/>
      <c r="G59" s="88"/>
      <c r="H59" s="88"/>
      <c r="I59" s="89">
        <f>C59+F59</f>
        <v>185.7</v>
      </c>
      <c r="J59" s="89">
        <f t="shared" si="0"/>
        <v>0</v>
      </c>
      <c r="K59" s="90">
        <f t="shared" si="1"/>
        <v>0</v>
      </c>
    </row>
    <row r="60" spans="1:11" ht="30">
      <c r="A60" s="91" t="s">
        <v>32</v>
      </c>
      <c r="B60" s="87" t="s">
        <v>293</v>
      </c>
      <c r="C60" s="79">
        <v>2652</v>
      </c>
      <c r="D60" s="105">
        <v>2652</v>
      </c>
      <c r="E60" s="79">
        <f t="shared" si="5"/>
        <v>100</v>
      </c>
      <c r="F60" s="88"/>
      <c r="G60" s="88"/>
      <c r="H60" s="88"/>
      <c r="I60" s="89">
        <f>C60+F60</f>
        <v>2652</v>
      </c>
      <c r="J60" s="89">
        <f t="shared" si="0"/>
        <v>2652</v>
      </c>
      <c r="K60" s="90">
        <f t="shared" si="1"/>
        <v>100</v>
      </c>
    </row>
    <row r="61" spans="1:11" ht="30">
      <c r="A61" s="91" t="s">
        <v>32</v>
      </c>
      <c r="B61" s="87" t="s">
        <v>312</v>
      </c>
      <c r="C61" s="79"/>
      <c r="D61" s="105"/>
      <c r="E61" s="79"/>
      <c r="F61" s="88">
        <v>7620.9</v>
      </c>
      <c r="G61" s="88">
        <v>425</v>
      </c>
      <c r="H61" s="88"/>
      <c r="I61" s="89">
        <f>C61+F61</f>
        <v>7620.9</v>
      </c>
      <c r="J61" s="89">
        <f t="shared" si="0"/>
        <v>425</v>
      </c>
      <c r="K61" s="90">
        <f t="shared" si="1"/>
        <v>5.576769148000892</v>
      </c>
    </row>
    <row r="62" spans="1:11" ht="60">
      <c r="A62" s="91" t="s">
        <v>32</v>
      </c>
      <c r="B62" s="95" t="s">
        <v>315</v>
      </c>
      <c r="C62" s="79">
        <v>501</v>
      </c>
      <c r="D62" s="105">
        <v>1</v>
      </c>
      <c r="E62" s="79">
        <f t="shared" si="5"/>
        <v>0.19960079840319359</v>
      </c>
      <c r="F62" s="88"/>
      <c r="G62" s="88"/>
      <c r="H62" s="88"/>
      <c r="I62" s="89">
        <f>C62+F62</f>
        <v>501</v>
      </c>
      <c r="J62" s="89">
        <f t="shared" si="0"/>
        <v>1</v>
      </c>
      <c r="K62" s="90">
        <f t="shared" si="1"/>
        <v>0.19960079840319359</v>
      </c>
    </row>
    <row r="63" spans="1:11" ht="105">
      <c r="A63" s="91" t="s">
        <v>32</v>
      </c>
      <c r="B63" s="95" t="s">
        <v>316</v>
      </c>
      <c r="C63" s="79">
        <v>0.7</v>
      </c>
      <c r="D63" s="105"/>
      <c r="E63" s="79">
        <f t="shared" si="5"/>
        <v>0</v>
      </c>
      <c r="F63" s="88"/>
      <c r="G63" s="88"/>
      <c r="H63" s="88"/>
      <c r="I63" s="89">
        <f>C63+F63</f>
        <v>0.7</v>
      </c>
      <c r="J63" s="89">
        <f t="shared" si="0"/>
        <v>0</v>
      </c>
      <c r="K63" s="90">
        <f t="shared" si="1"/>
        <v>0</v>
      </c>
    </row>
    <row r="64" spans="1:11" ht="60">
      <c r="A64" s="91" t="s">
        <v>32</v>
      </c>
      <c r="B64" s="95" t="s">
        <v>196</v>
      </c>
      <c r="C64" s="79"/>
      <c r="D64" s="105"/>
      <c r="E64" s="79"/>
      <c r="F64" s="88">
        <v>7375</v>
      </c>
      <c r="G64" s="88">
        <v>7375</v>
      </c>
      <c r="H64" s="88">
        <f aca="true" t="shared" si="7" ref="H64:H73">G64/F64*100</f>
        <v>100</v>
      </c>
      <c r="I64" s="89">
        <f t="shared" si="0"/>
        <v>7375</v>
      </c>
      <c r="J64" s="89">
        <f t="shared" si="0"/>
        <v>7375</v>
      </c>
      <c r="K64" s="90">
        <f t="shared" si="1"/>
        <v>100</v>
      </c>
    </row>
    <row r="65" spans="1:11" ht="45">
      <c r="A65" s="91" t="s">
        <v>32</v>
      </c>
      <c r="B65" s="95" t="s">
        <v>207</v>
      </c>
      <c r="C65" s="79"/>
      <c r="D65" s="105"/>
      <c r="E65" s="79"/>
      <c r="F65" s="88">
        <v>0</v>
      </c>
      <c r="G65" s="88">
        <v>0</v>
      </c>
      <c r="H65" s="88">
        <v>0</v>
      </c>
      <c r="I65" s="89">
        <f t="shared" si="0"/>
        <v>0</v>
      </c>
      <c r="J65" s="89">
        <f t="shared" si="0"/>
        <v>0</v>
      </c>
      <c r="K65" s="90">
        <v>0</v>
      </c>
    </row>
    <row r="66" spans="1:11" ht="30">
      <c r="A66" s="91" t="s">
        <v>32</v>
      </c>
      <c r="B66" s="95" t="s">
        <v>197</v>
      </c>
      <c r="C66" s="79"/>
      <c r="D66" s="105"/>
      <c r="E66" s="79"/>
      <c r="F66" s="88">
        <v>4780.4</v>
      </c>
      <c r="G66" s="88">
        <v>225.3</v>
      </c>
      <c r="H66" s="88">
        <f t="shared" si="7"/>
        <v>4.712994728474605</v>
      </c>
      <c r="I66" s="89">
        <f t="shared" si="0"/>
        <v>4780.4</v>
      </c>
      <c r="J66" s="89">
        <f t="shared" si="0"/>
        <v>225.3</v>
      </c>
      <c r="K66" s="90">
        <f t="shared" si="1"/>
        <v>4.712994728474605</v>
      </c>
    </row>
    <row r="67" spans="1:11" ht="75">
      <c r="A67" s="91" t="s">
        <v>32</v>
      </c>
      <c r="B67" s="95" t="s">
        <v>294</v>
      </c>
      <c r="C67" s="79"/>
      <c r="D67" s="105"/>
      <c r="E67" s="79"/>
      <c r="F67" s="88">
        <v>15478.6</v>
      </c>
      <c r="G67" s="88">
        <v>3158</v>
      </c>
      <c r="H67" s="88"/>
      <c r="I67" s="89">
        <f>C67+F67-15478.6</f>
        <v>0</v>
      </c>
      <c r="J67" s="89">
        <f>D67+G67-3158</f>
        <v>0</v>
      </c>
      <c r="K67" s="90" t="e">
        <f t="shared" si="1"/>
        <v>#DIV/0!</v>
      </c>
    </row>
    <row r="68" spans="1:11" ht="60">
      <c r="A68" s="91" t="s">
        <v>33</v>
      </c>
      <c r="B68" s="95" t="s">
        <v>184</v>
      </c>
      <c r="C68" s="79">
        <v>8833</v>
      </c>
      <c r="D68" s="105">
        <v>4817.2</v>
      </c>
      <c r="E68" s="79">
        <f>D68/C68*100</f>
        <v>54.53639759990943</v>
      </c>
      <c r="F68" s="88">
        <v>0</v>
      </c>
      <c r="G68" s="88">
        <v>0</v>
      </c>
      <c r="H68" s="88">
        <v>0</v>
      </c>
      <c r="I68" s="89">
        <f>C68+F68</f>
        <v>8833</v>
      </c>
      <c r="J68" s="89">
        <f t="shared" si="0"/>
        <v>4817.2</v>
      </c>
      <c r="K68" s="90">
        <f t="shared" si="1"/>
        <v>54.53639759990943</v>
      </c>
    </row>
    <row r="69" spans="1:11" ht="45">
      <c r="A69" s="91" t="s">
        <v>33</v>
      </c>
      <c r="B69" s="95" t="s">
        <v>185</v>
      </c>
      <c r="C69" s="79">
        <v>3501.2</v>
      </c>
      <c r="D69" s="105">
        <v>3501.2</v>
      </c>
      <c r="E69" s="79">
        <f>D69/C69*100</f>
        <v>100</v>
      </c>
      <c r="F69" s="88">
        <v>3901.2</v>
      </c>
      <c r="G69" s="88">
        <v>1505.1</v>
      </c>
      <c r="H69" s="88">
        <f t="shared" si="7"/>
        <v>38.58043678868041</v>
      </c>
      <c r="I69" s="89">
        <f>C69+F69-3501.2</f>
        <v>3901.2</v>
      </c>
      <c r="J69" s="89">
        <f>D69+G69-3501.2</f>
        <v>1505.0999999999995</v>
      </c>
      <c r="K69" s="90">
        <f t="shared" si="1"/>
        <v>38.580436788680394</v>
      </c>
    </row>
    <row r="70" spans="1:11" ht="60">
      <c r="A70" s="91" t="s">
        <v>33</v>
      </c>
      <c r="B70" s="95" t="s">
        <v>211</v>
      </c>
      <c r="C70" s="79">
        <v>476</v>
      </c>
      <c r="D70" s="105"/>
      <c r="E70" s="79"/>
      <c r="F70" s="88"/>
      <c r="G70" s="88"/>
      <c r="H70" s="88"/>
      <c r="I70" s="89">
        <f t="shared" si="0"/>
        <v>476</v>
      </c>
      <c r="J70" s="80">
        <f t="shared" si="0"/>
        <v>0</v>
      </c>
      <c r="K70" s="90">
        <f t="shared" si="1"/>
        <v>0</v>
      </c>
    </row>
    <row r="71" spans="1:11" ht="75">
      <c r="A71" s="91" t="s">
        <v>33</v>
      </c>
      <c r="B71" s="87" t="s">
        <v>186</v>
      </c>
      <c r="C71" s="79">
        <v>1500</v>
      </c>
      <c r="D71" s="79">
        <v>0</v>
      </c>
      <c r="E71" s="79">
        <f t="shared" si="5"/>
        <v>0</v>
      </c>
      <c r="F71" s="79">
        <v>1500</v>
      </c>
      <c r="G71" s="88">
        <v>0</v>
      </c>
      <c r="H71" s="88">
        <f t="shared" si="7"/>
        <v>0</v>
      </c>
      <c r="I71" s="89">
        <f>C71+F71-1500</f>
        <v>1500</v>
      </c>
      <c r="J71" s="89">
        <f>D71+G71</f>
        <v>0</v>
      </c>
      <c r="K71" s="90">
        <f t="shared" si="1"/>
        <v>0</v>
      </c>
    </row>
    <row r="72" spans="1:11" ht="60">
      <c r="A72" s="91" t="s">
        <v>33</v>
      </c>
      <c r="B72" s="87" t="s">
        <v>295</v>
      </c>
      <c r="C72" s="79"/>
      <c r="D72" s="79"/>
      <c r="E72" s="79"/>
      <c r="F72" s="79">
        <v>3036.2</v>
      </c>
      <c r="G72" s="88"/>
      <c r="H72" s="88"/>
      <c r="I72" s="89">
        <f aca="true" t="shared" si="8" ref="I72:J74">C72+F72</f>
        <v>3036.2</v>
      </c>
      <c r="J72" s="80">
        <f t="shared" si="8"/>
        <v>0</v>
      </c>
      <c r="K72" s="90">
        <f t="shared" si="1"/>
        <v>0</v>
      </c>
    </row>
    <row r="73" spans="1:11" ht="15">
      <c r="A73" s="86" t="s">
        <v>33</v>
      </c>
      <c r="B73" s="87" t="s">
        <v>187</v>
      </c>
      <c r="C73" s="79">
        <v>0</v>
      </c>
      <c r="D73" s="79">
        <v>0</v>
      </c>
      <c r="E73" s="79">
        <v>0</v>
      </c>
      <c r="F73" s="79">
        <v>35780.1</v>
      </c>
      <c r="G73" s="88">
        <v>10819.9</v>
      </c>
      <c r="H73" s="88">
        <f t="shared" si="7"/>
        <v>30.23999373953678</v>
      </c>
      <c r="I73" s="89">
        <f t="shared" si="8"/>
        <v>35780.1</v>
      </c>
      <c r="J73" s="80">
        <f t="shared" si="8"/>
        <v>10819.9</v>
      </c>
      <c r="K73" s="90">
        <f t="shared" si="1"/>
        <v>30.23999373953678</v>
      </c>
    </row>
    <row r="74" spans="1:11" ht="30">
      <c r="A74" s="91" t="s">
        <v>138</v>
      </c>
      <c r="B74" s="87" t="s">
        <v>317</v>
      </c>
      <c r="C74" s="79">
        <v>55.6</v>
      </c>
      <c r="D74" s="79">
        <v>0</v>
      </c>
      <c r="E74" s="79">
        <f>D74/C74*100</f>
        <v>0</v>
      </c>
      <c r="F74" s="79">
        <v>0</v>
      </c>
      <c r="G74" s="88">
        <v>0</v>
      </c>
      <c r="H74" s="88">
        <v>0</v>
      </c>
      <c r="I74" s="89">
        <f t="shared" si="8"/>
        <v>55.6</v>
      </c>
      <c r="J74" s="80">
        <f t="shared" si="8"/>
        <v>0</v>
      </c>
      <c r="K74" s="90">
        <f t="shared" si="1"/>
        <v>0</v>
      </c>
    </row>
    <row r="75" spans="1:11" ht="15">
      <c r="A75" s="81" t="s">
        <v>38</v>
      </c>
      <c r="B75" s="82" t="s">
        <v>39</v>
      </c>
      <c r="C75" s="83">
        <f>SUM(C76:C82)</f>
        <v>2058657.9000000001</v>
      </c>
      <c r="D75" s="83">
        <f>SUM(D76:D82)</f>
        <v>576054</v>
      </c>
      <c r="E75" s="83">
        <f>D75/C75*100</f>
        <v>27.982016827565182</v>
      </c>
      <c r="F75" s="96">
        <f>F76+F78+F79+F81+F82</f>
        <v>0</v>
      </c>
      <c r="G75" s="96">
        <f>SUM(G76:G82)</f>
        <v>0</v>
      </c>
      <c r="H75" s="84">
        <v>0</v>
      </c>
      <c r="I75" s="83">
        <f>SUM(I76:I82)</f>
        <v>2058657.9000000001</v>
      </c>
      <c r="J75" s="83">
        <f>SUM(J76:J82)</f>
        <v>576054</v>
      </c>
      <c r="K75" s="85">
        <f t="shared" si="1"/>
        <v>27.982016827565182</v>
      </c>
    </row>
    <row r="76" spans="1:11" ht="15">
      <c r="A76" s="86" t="s">
        <v>40</v>
      </c>
      <c r="B76" s="87" t="s">
        <v>41</v>
      </c>
      <c r="C76" s="79">
        <f>669120.8-C77</f>
        <v>357515.30000000005</v>
      </c>
      <c r="D76" s="79">
        <f>170696.5-D77</f>
        <v>151905.5</v>
      </c>
      <c r="E76" s="79">
        <f t="shared" si="5"/>
        <v>42.489230530833225</v>
      </c>
      <c r="F76" s="88">
        <v>0</v>
      </c>
      <c r="G76" s="88">
        <v>0</v>
      </c>
      <c r="H76" s="88">
        <v>0</v>
      </c>
      <c r="I76" s="89">
        <f t="shared" si="0"/>
        <v>357515.30000000005</v>
      </c>
      <c r="J76" s="80">
        <f t="shared" si="0"/>
        <v>151905.5</v>
      </c>
      <c r="K76" s="90">
        <f t="shared" si="1"/>
        <v>42.489230530833225</v>
      </c>
    </row>
    <row r="77" spans="1:11" ht="120">
      <c r="A77" s="86" t="s">
        <v>40</v>
      </c>
      <c r="B77" s="87" t="s">
        <v>189</v>
      </c>
      <c r="C77" s="79">
        <v>311605.5</v>
      </c>
      <c r="D77" s="79">
        <v>18791</v>
      </c>
      <c r="E77" s="79">
        <f t="shared" si="5"/>
        <v>6.030381363615212</v>
      </c>
      <c r="F77" s="88"/>
      <c r="G77" s="88"/>
      <c r="H77" s="88"/>
      <c r="I77" s="89">
        <f t="shared" si="0"/>
        <v>311605.5</v>
      </c>
      <c r="J77" s="80">
        <f t="shared" si="0"/>
        <v>18791</v>
      </c>
      <c r="K77" s="90">
        <f t="shared" si="1"/>
        <v>6.030381363615212</v>
      </c>
    </row>
    <row r="78" spans="1:11" ht="15">
      <c r="A78" s="86" t="s">
        <v>42</v>
      </c>
      <c r="B78" s="87" t="s">
        <v>43</v>
      </c>
      <c r="C78" s="79">
        <f>1326467.6-C79-C80</f>
        <v>1144694.1</v>
      </c>
      <c r="D78" s="79">
        <f>387735-D79-D80</f>
        <v>345434.4</v>
      </c>
      <c r="E78" s="79">
        <f t="shared" si="5"/>
        <v>30.1770053676349</v>
      </c>
      <c r="F78" s="88">
        <v>0</v>
      </c>
      <c r="G78" s="88">
        <v>0</v>
      </c>
      <c r="H78" s="88">
        <v>0</v>
      </c>
      <c r="I78" s="89">
        <f t="shared" si="0"/>
        <v>1144694.1</v>
      </c>
      <c r="J78" s="80">
        <f t="shared" si="0"/>
        <v>345434.4</v>
      </c>
      <c r="K78" s="90">
        <f t="shared" si="1"/>
        <v>30.1770053676349</v>
      </c>
    </row>
    <row r="79" spans="1:11" ht="15">
      <c r="A79" s="86" t="s">
        <v>42</v>
      </c>
      <c r="B79" s="87" t="s">
        <v>188</v>
      </c>
      <c r="C79" s="79">
        <v>45706</v>
      </c>
      <c r="D79" s="79">
        <v>13406.6</v>
      </c>
      <c r="E79" s="79">
        <f t="shared" si="5"/>
        <v>29.33225397103225</v>
      </c>
      <c r="F79" s="88">
        <v>0</v>
      </c>
      <c r="G79" s="88">
        <v>0</v>
      </c>
      <c r="H79" s="88">
        <v>0</v>
      </c>
      <c r="I79" s="89">
        <f t="shared" si="0"/>
        <v>45706</v>
      </c>
      <c r="J79" s="80">
        <f t="shared" si="0"/>
        <v>13406.6</v>
      </c>
      <c r="K79" s="90">
        <f t="shared" si="1"/>
        <v>29.33225397103225</v>
      </c>
    </row>
    <row r="80" spans="1:11" ht="120">
      <c r="A80" s="86" t="s">
        <v>42</v>
      </c>
      <c r="B80" s="87" t="s">
        <v>189</v>
      </c>
      <c r="C80" s="79">
        <v>136067.5</v>
      </c>
      <c r="D80" s="79">
        <v>28894</v>
      </c>
      <c r="E80" s="79">
        <f t="shared" si="5"/>
        <v>21.235048780935934</v>
      </c>
      <c r="F80" s="88">
        <v>0</v>
      </c>
      <c r="G80" s="88">
        <v>0</v>
      </c>
      <c r="H80" s="88">
        <v>0</v>
      </c>
      <c r="I80" s="89">
        <f t="shared" si="0"/>
        <v>136067.5</v>
      </c>
      <c r="J80" s="80">
        <f t="shared" si="0"/>
        <v>28894</v>
      </c>
      <c r="K80" s="90">
        <f t="shared" si="1"/>
        <v>21.235048780935934</v>
      </c>
    </row>
    <row r="81" spans="1:11" ht="15">
      <c r="A81" s="86" t="s">
        <v>44</v>
      </c>
      <c r="B81" s="87" t="s">
        <v>45</v>
      </c>
      <c r="C81" s="79">
        <v>20307.8</v>
      </c>
      <c r="D81" s="79">
        <v>2210.7</v>
      </c>
      <c r="E81" s="79">
        <f t="shared" si="5"/>
        <v>10.885964998670461</v>
      </c>
      <c r="F81" s="88">
        <v>0</v>
      </c>
      <c r="G81" s="88">
        <v>0</v>
      </c>
      <c r="H81" s="88">
        <v>0</v>
      </c>
      <c r="I81" s="89">
        <f t="shared" si="0"/>
        <v>20307.8</v>
      </c>
      <c r="J81" s="80">
        <f t="shared" si="0"/>
        <v>2210.7</v>
      </c>
      <c r="K81" s="90">
        <f t="shared" si="1"/>
        <v>10.885964998670461</v>
      </c>
    </row>
    <row r="82" spans="1:11" ht="15">
      <c r="A82" s="86" t="s">
        <v>46</v>
      </c>
      <c r="B82" s="87" t="s">
        <v>47</v>
      </c>
      <c r="C82" s="79">
        <v>42761.7</v>
      </c>
      <c r="D82" s="79">
        <v>15411.8</v>
      </c>
      <c r="E82" s="79">
        <f t="shared" si="5"/>
        <v>36.04113026376407</v>
      </c>
      <c r="F82" s="88">
        <v>0</v>
      </c>
      <c r="G82" s="88">
        <v>0</v>
      </c>
      <c r="H82" s="88">
        <v>0</v>
      </c>
      <c r="I82" s="89">
        <f t="shared" si="0"/>
        <v>42761.7</v>
      </c>
      <c r="J82" s="80">
        <f t="shared" si="0"/>
        <v>15411.8</v>
      </c>
      <c r="K82" s="90">
        <f t="shared" si="1"/>
        <v>36.04113026376407</v>
      </c>
    </row>
    <row r="83" spans="1:11" ht="15">
      <c r="A83" s="81" t="s">
        <v>48</v>
      </c>
      <c r="B83" s="82" t="s">
        <v>49</v>
      </c>
      <c r="C83" s="83">
        <f>SUM(C84:C88)</f>
        <v>158739.40000000002</v>
      </c>
      <c r="D83" s="83">
        <f>SUM(D84:D88)</f>
        <v>25312.9</v>
      </c>
      <c r="E83" s="83">
        <f>D83/C83*100</f>
        <v>15.94619861231679</v>
      </c>
      <c r="F83" s="96">
        <f>SUM(F84:F88)</f>
        <v>112364.9</v>
      </c>
      <c r="G83" s="96">
        <f>SUM(G84:G88)</f>
        <v>28524.1</v>
      </c>
      <c r="H83" s="84">
        <f>G83/F83*100</f>
        <v>25.385240408704142</v>
      </c>
      <c r="I83" s="96">
        <f>SUM(I84:I88)</f>
        <v>269829.8</v>
      </c>
      <c r="J83" s="96">
        <f>SUM(J84:J88)</f>
        <v>53237</v>
      </c>
      <c r="K83" s="85">
        <f t="shared" si="1"/>
        <v>19.729844516802817</v>
      </c>
    </row>
    <row r="84" spans="1:11" ht="15">
      <c r="A84" s="86" t="s">
        <v>50</v>
      </c>
      <c r="B84" s="87" t="s">
        <v>90</v>
      </c>
      <c r="C84" s="79">
        <f>150089.9-C85-C86</f>
        <v>92536</v>
      </c>
      <c r="D84" s="79">
        <f>22249-D85-D86</f>
        <v>18443.5</v>
      </c>
      <c r="E84" s="79">
        <f t="shared" si="5"/>
        <v>19.931161926169274</v>
      </c>
      <c r="F84" s="88">
        <f>111492.4-F86</f>
        <v>111064.4</v>
      </c>
      <c r="G84" s="88">
        <f>28418.6-G86</f>
        <v>28418.6</v>
      </c>
      <c r="H84" s="88">
        <f>G84/F84*100</f>
        <v>25.58749698373196</v>
      </c>
      <c r="I84" s="89">
        <f>C84+F84-600</f>
        <v>203000.4</v>
      </c>
      <c r="J84" s="80">
        <f>D84+G84-600</f>
        <v>46262.1</v>
      </c>
      <c r="K84" s="90">
        <f t="shared" si="1"/>
        <v>22.7891669178977</v>
      </c>
    </row>
    <row r="85" spans="1:11" ht="75">
      <c r="A85" s="100" t="s">
        <v>50</v>
      </c>
      <c r="B85" s="101" t="s">
        <v>296</v>
      </c>
      <c r="C85" s="79">
        <v>55915.7</v>
      </c>
      <c r="D85" s="79">
        <v>3805.5</v>
      </c>
      <c r="E85" s="79">
        <f t="shared" si="5"/>
        <v>6.805780845093596</v>
      </c>
      <c r="F85" s="88">
        <v>0</v>
      </c>
      <c r="G85" s="88">
        <v>0</v>
      </c>
      <c r="H85" s="88">
        <v>0</v>
      </c>
      <c r="I85" s="89">
        <f aca="true" t="shared" si="9" ref="I85:J99">C85+F85</f>
        <v>55915.7</v>
      </c>
      <c r="J85" s="80">
        <f t="shared" si="9"/>
        <v>3805.5</v>
      </c>
      <c r="K85" s="90">
        <f>J85/I85*100</f>
        <v>6.805780845093596</v>
      </c>
    </row>
    <row r="86" spans="1:11" ht="15">
      <c r="A86" s="100" t="s">
        <v>50</v>
      </c>
      <c r="B86" s="101" t="s">
        <v>297</v>
      </c>
      <c r="C86" s="79">
        <v>1638.2</v>
      </c>
      <c r="D86" s="79">
        <v>0</v>
      </c>
      <c r="E86" s="79">
        <f t="shared" si="5"/>
        <v>0</v>
      </c>
      <c r="F86" s="88">
        <v>428</v>
      </c>
      <c r="G86" s="88">
        <v>0</v>
      </c>
      <c r="H86" s="88">
        <f>G86/F86*100</f>
        <v>0</v>
      </c>
      <c r="I86" s="89">
        <f>C86+F86-424.5</f>
        <v>1641.6999999999998</v>
      </c>
      <c r="J86" s="80">
        <f>D86+G86</f>
        <v>0</v>
      </c>
      <c r="K86" s="90">
        <f>J86/I86*100</f>
        <v>0</v>
      </c>
    </row>
    <row r="87" spans="1:11" ht="15">
      <c r="A87" s="86" t="s">
        <v>51</v>
      </c>
      <c r="B87" s="87" t="s">
        <v>52</v>
      </c>
      <c r="C87" s="79">
        <v>267</v>
      </c>
      <c r="D87" s="79">
        <v>88</v>
      </c>
      <c r="E87" s="79">
        <f t="shared" si="5"/>
        <v>32.958801498127336</v>
      </c>
      <c r="F87" s="88">
        <v>622.5</v>
      </c>
      <c r="G87" s="88">
        <v>105.5</v>
      </c>
      <c r="H87" s="88">
        <f>G87/F87*100</f>
        <v>16.947791164658636</v>
      </c>
      <c r="I87" s="89">
        <f t="shared" si="9"/>
        <v>889.5</v>
      </c>
      <c r="J87" s="80">
        <f t="shared" si="9"/>
        <v>193.5</v>
      </c>
      <c r="K87" s="90">
        <f aca="true" t="shared" si="10" ref="K87:K114">J87/I87*100</f>
        <v>21.75379426644182</v>
      </c>
    </row>
    <row r="88" spans="1:11" ht="30">
      <c r="A88" s="86" t="s">
        <v>53</v>
      </c>
      <c r="B88" s="87" t="s">
        <v>91</v>
      </c>
      <c r="C88" s="79">
        <v>8382.5</v>
      </c>
      <c r="D88" s="79">
        <v>2975.9</v>
      </c>
      <c r="E88" s="79">
        <f t="shared" si="5"/>
        <v>35.501342081717866</v>
      </c>
      <c r="F88" s="88">
        <v>250</v>
      </c>
      <c r="G88" s="88">
        <v>0</v>
      </c>
      <c r="H88" s="88">
        <f>G88/F88*100</f>
        <v>0</v>
      </c>
      <c r="I88" s="89">
        <f>C88+F88-250</f>
        <v>8382.5</v>
      </c>
      <c r="J88" s="80">
        <f>D88+G88</f>
        <v>2975.9</v>
      </c>
      <c r="K88" s="90">
        <f t="shared" si="10"/>
        <v>35.501342081717866</v>
      </c>
    </row>
    <row r="89" spans="1:11" ht="15">
      <c r="A89" s="81" t="s">
        <v>54</v>
      </c>
      <c r="B89" s="82" t="s">
        <v>92</v>
      </c>
      <c r="C89" s="83">
        <f>C90</f>
        <v>115760</v>
      </c>
      <c r="D89" s="83">
        <f>D90</f>
        <v>23881</v>
      </c>
      <c r="E89" s="83">
        <f>D89/C89*100</f>
        <v>20.629751209398755</v>
      </c>
      <c r="F89" s="96">
        <v>0</v>
      </c>
      <c r="G89" s="96">
        <v>0</v>
      </c>
      <c r="H89" s="84"/>
      <c r="I89" s="96">
        <f>C89+F89</f>
        <v>115760</v>
      </c>
      <c r="J89" s="96">
        <f t="shared" si="9"/>
        <v>23881</v>
      </c>
      <c r="K89" s="85">
        <f t="shared" si="10"/>
        <v>20.629751209398755</v>
      </c>
    </row>
    <row r="90" spans="1:11" ht="45">
      <c r="A90" s="91" t="s">
        <v>104</v>
      </c>
      <c r="B90" s="101" t="s">
        <v>298</v>
      </c>
      <c r="C90" s="79">
        <v>115760</v>
      </c>
      <c r="D90" s="88">
        <v>23881</v>
      </c>
      <c r="E90" s="79">
        <f t="shared" si="5"/>
        <v>20.629751209398755</v>
      </c>
      <c r="F90" s="88">
        <v>0</v>
      </c>
      <c r="G90" s="88">
        <v>0</v>
      </c>
      <c r="H90" s="88">
        <v>0</v>
      </c>
      <c r="I90" s="89">
        <f t="shared" si="9"/>
        <v>115760</v>
      </c>
      <c r="J90" s="80">
        <f t="shared" si="9"/>
        <v>23881</v>
      </c>
      <c r="K90" s="90">
        <f t="shared" si="10"/>
        <v>20.629751209398755</v>
      </c>
    </row>
    <row r="91" spans="1:11" ht="15">
      <c r="A91" s="81">
        <v>10</v>
      </c>
      <c r="B91" s="82" t="s">
        <v>60</v>
      </c>
      <c r="C91" s="83">
        <f>SUM(C92:C101)</f>
        <v>185488.4</v>
      </c>
      <c r="D91" s="83">
        <f>SUM(D92:D101)</f>
        <v>41843.3</v>
      </c>
      <c r="E91" s="83">
        <f>D91/C91*100</f>
        <v>22.558445703343178</v>
      </c>
      <c r="F91" s="83">
        <f>SUM(F92:F99)</f>
        <v>453.2</v>
      </c>
      <c r="G91" s="83">
        <f>SUM(G92:G99)</f>
        <v>134.3</v>
      </c>
      <c r="H91" s="84">
        <f>G91/F91*100</f>
        <v>29.63371579876435</v>
      </c>
      <c r="I91" s="83">
        <f>SUM(I92:I101)</f>
        <v>185941.6</v>
      </c>
      <c r="J91" s="83">
        <f>SUM(J92:J101)</f>
        <v>41977.600000000006</v>
      </c>
      <c r="K91" s="85">
        <f t="shared" si="10"/>
        <v>22.575690431834513</v>
      </c>
    </row>
    <row r="92" spans="1:11" ht="15">
      <c r="A92" s="91">
        <v>1001</v>
      </c>
      <c r="B92" s="87" t="s">
        <v>61</v>
      </c>
      <c r="C92" s="79">
        <v>3446</v>
      </c>
      <c r="D92" s="79">
        <v>1092</v>
      </c>
      <c r="E92" s="79">
        <f t="shared" si="5"/>
        <v>31.688914683691237</v>
      </c>
      <c r="F92" s="88">
        <v>453.2</v>
      </c>
      <c r="G92" s="88">
        <v>134.3</v>
      </c>
      <c r="H92" s="88">
        <f>G92/F92*100</f>
        <v>29.63371579876435</v>
      </c>
      <c r="I92" s="89">
        <f t="shared" si="9"/>
        <v>3899.2</v>
      </c>
      <c r="J92" s="80">
        <f t="shared" si="9"/>
        <v>1226.3</v>
      </c>
      <c r="K92" s="90">
        <f t="shared" si="10"/>
        <v>31.45004103405827</v>
      </c>
    </row>
    <row r="93" spans="1:11" ht="60">
      <c r="A93" s="91">
        <v>1003</v>
      </c>
      <c r="B93" s="87" t="s">
        <v>190</v>
      </c>
      <c r="C93" s="79">
        <v>1148</v>
      </c>
      <c r="D93" s="79">
        <v>0</v>
      </c>
      <c r="E93" s="79">
        <f t="shared" si="5"/>
        <v>0</v>
      </c>
      <c r="F93" s="88">
        <v>0</v>
      </c>
      <c r="G93" s="88">
        <v>0</v>
      </c>
      <c r="H93" s="88">
        <v>0</v>
      </c>
      <c r="I93" s="89">
        <f t="shared" si="9"/>
        <v>1148</v>
      </c>
      <c r="J93" s="80">
        <f t="shared" si="9"/>
        <v>0</v>
      </c>
      <c r="K93" s="90">
        <v>0</v>
      </c>
    </row>
    <row r="94" spans="1:11" ht="60">
      <c r="A94" s="91">
        <v>1003</v>
      </c>
      <c r="B94" s="87" t="s">
        <v>209</v>
      </c>
      <c r="C94" s="79">
        <v>2216.5</v>
      </c>
      <c r="D94" s="79">
        <v>0</v>
      </c>
      <c r="E94" s="79">
        <f t="shared" si="5"/>
        <v>0</v>
      </c>
      <c r="F94" s="88">
        <v>0</v>
      </c>
      <c r="G94" s="88">
        <v>0</v>
      </c>
      <c r="H94" s="88">
        <v>0</v>
      </c>
      <c r="I94" s="89">
        <f t="shared" si="9"/>
        <v>2216.5</v>
      </c>
      <c r="J94" s="80">
        <f t="shared" si="9"/>
        <v>0</v>
      </c>
      <c r="K94" s="90">
        <f t="shared" si="10"/>
        <v>0</v>
      </c>
    </row>
    <row r="95" spans="1:11" ht="120">
      <c r="A95" s="91" t="s">
        <v>168</v>
      </c>
      <c r="B95" s="87" t="s">
        <v>313</v>
      </c>
      <c r="C95" s="79">
        <v>90.5</v>
      </c>
      <c r="D95" s="79">
        <v>90.5</v>
      </c>
      <c r="E95" s="79">
        <f t="shared" si="5"/>
        <v>100</v>
      </c>
      <c r="F95" s="88"/>
      <c r="G95" s="88"/>
      <c r="H95" s="88"/>
      <c r="I95" s="89">
        <f t="shared" si="9"/>
        <v>90.5</v>
      </c>
      <c r="J95" s="80">
        <f t="shared" si="9"/>
        <v>90.5</v>
      </c>
      <c r="K95" s="90">
        <f t="shared" si="10"/>
        <v>100</v>
      </c>
    </row>
    <row r="96" spans="1:11" ht="165">
      <c r="A96" s="91" t="s">
        <v>168</v>
      </c>
      <c r="B96" s="87" t="s">
        <v>208</v>
      </c>
      <c r="C96" s="79">
        <v>790</v>
      </c>
      <c r="D96" s="79">
        <v>0</v>
      </c>
      <c r="E96" s="79">
        <f t="shared" si="5"/>
        <v>0</v>
      </c>
      <c r="F96" s="88"/>
      <c r="G96" s="88"/>
      <c r="H96" s="88"/>
      <c r="I96" s="89">
        <f t="shared" si="9"/>
        <v>790</v>
      </c>
      <c r="J96" s="80">
        <f t="shared" si="9"/>
        <v>0</v>
      </c>
      <c r="K96" s="90">
        <f t="shared" si="10"/>
        <v>0</v>
      </c>
    </row>
    <row r="97" spans="1:11" ht="75">
      <c r="A97" s="91">
        <v>1004</v>
      </c>
      <c r="B97" s="87" t="s">
        <v>191</v>
      </c>
      <c r="C97" s="79">
        <v>20062</v>
      </c>
      <c r="D97" s="79">
        <v>3826.4</v>
      </c>
      <c r="E97" s="79">
        <f t="shared" si="5"/>
        <v>19.072874090320006</v>
      </c>
      <c r="F97" s="88">
        <v>0</v>
      </c>
      <c r="G97" s="88">
        <v>0</v>
      </c>
      <c r="H97" s="88">
        <v>0</v>
      </c>
      <c r="I97" s="89">
        <f t="shared" si="9"/>
        <v>20062</v>
      </c>
      <c r="J97" s="80">
        <f t="shared" si="9"/>
        <v>3826.4</v>
      </c>
      <c r="K97" s="90">
        <f t="shared" si="10"/>
        <v>19.072874090320006</v>
      </c>
    </row>
    <row r="98" spans="1:11" ht="45">
      <c r="A98" s="91">
        <v>1004</v>
      </c>
      <c r="B98" s="87" t="s">
        <v>192</v>
      </c>
      <c r="C98" s="79">
        <v>1826.3</v>
      </c>
      <c r="D98" s="79">
        <v>1463.1</v>
      </c>
      <c r="E98" s="79">
        <f aca="true" t="shared" si="11" ref="E98:E113">D98/C98*100</f>
        <v>80.1127963642337</v>
      </c>
      <c r="F98" s="88">
        <v>0</v>
      </c>
      <c r="G98" s="88">
        <v>0</v>
      </c>
      <c r="H98" s="88">
        <v>0</v>
      </c>
      <c r="I98" s="89">
        <f t="shared" si="9"/>
        <v>1826.3</v>
      </c>
      <c r="J98" s="89">
        <f t="shared" si="9"/>
        <v>1463.1</v>
      </c>
      <c r="K98" s="90">
        <f t="shared" si="10"/>
        <v>80.1127963642337</v>
      </c>
    </row>
    <row r="99" spans="1:11" ht="165">
      <c r="A99" s="91">
        <v>1004</v>
      </c>
      <c r="B99" s="87" t="s">
        <v>193</v>
      </c>
      <c r="C99" s="79">
        <v>101600.5</v>
      </c>
      <c r="D99" s="79">
        <v>32439</v>
      </c>
      <c r="E99" s="79">
        <f t="shared" si="11"/>
        <v>31.927992480351968</v>
      </c>
      <c r="F99" s="88">
        <v>0</v>
      </c>
      <c r="G99" s="88">
        <v>0</v>
      </c>
      <c r="H99" s="88">
        <v>0</v>
      </c>
      <c r="I99" s="89">
        <f t="shared" si="9"/>
        <v>101600.5</v>
      </c>
      <c r="J99" s="80">
        <f t="shared" si="9"/>
        <v>32439</v>
      </c>
      <c r="K99" s="90">
        <f t="shared" si="10"/>
        <v>31.927992480351968</v>
      </c>
    </row>
    <row r="100" spans="1:11" ht="150">
      <c r="A100" s="91" t="s">
        <v>110</v>
      </c>
      <c r="B100" s="87" t="s">
        <v>299</v>
      </c>
      <c r="C100" s="79">
        <f>39066+558.7</f>
        <v>39624.7</v>
      </c>
      <c r="D100" s="79">
        <v>0</v>
      </c>
      <c r="E100" s="79">
        <f>D100/C100*100</f>
        <v>0</v>
      </c>
      <c r="F100" s="88">
        <v>0</v>
      </c>
      <c r="G100" s="88">
        <v>0</v>
      </c>
      <c r="H100" s="88">
        <v>0</v>
      </c>
      <c r="I100" s="89">
        <f>C100+F100</f>
        <v>39624.7</v>
      </c>
      <c r="J100" s="80">
        <f>D100+G100</f>
        <v>0</v>
      </c>
      <c r="K100" s="90">
        <f>J100/I100*100</f>
        <v>0</v>
      </c>
    </row>
    <row r="101" spans="1:11" ht="30">
      <c r="A101" s="91">
        <v>1006</v>
      </c>
      <c r="B101" s="87" t="s">
        <v>63</v>
      </c>
      <c r="C101" s="79">
        <v>14683.9</v>
      </c>
      <c r="D101" s="79">
        <v>2932.3</v>
      </c>
      <c r="E101" s="79">
        <f t="shared" si="11"/>
        <v>19.969490394241312</v>
      </c>
      <c r="F101" s="88">
        <v>0</v>
      </c>
      <c r="G101" s="88">
        <v>0</v>
      </c>
      <c r="H101" s="88">
        <v>0</v>
      </c>
      <c r="I101" s="89">
        <f>C101+F101</f>
        <v>14683.9</v>
      </c>
      <c r="J101" s="80">
        <f>D101+G101</f>
        <v>2932.3</v>
      </c>
      <c r="K101" s="90">
        <f t="shared" si="10"/>
        <v>19.969490394241312</v>
      </c>
    </row>
    <row r="102" spans="1:11" ht="15">
      <c r="A102" s="99">
        <v>1100</v>
      </c>
      <c r="B102" s="82" t="s">
        <v>59</v>
      </c>
      <c r="C102" s="83">
        <f>SUM(C103:C105)</f>
        <v>123239.2</v>
      </c>
      <c r="D102" s="83">
        <f>SUM(D103:D105)</f>
        <v>22943.1</v>
      </c>
      <c r="E102" s="83">
        <f>D102/C102*100</f>
        <v>18.616722601250252</v>
      </c>
      <c r="F102" s="96">
        <f>F103+F104</f>
        <v>29250.1</v>
      </c>
      <c r="G102" s="96">
        <f>G103+G104</f>
        <v>7590.8</v>
      </c>
      <c r="H102" s="84">
        <f>G102/F102*100</f>
        <v>25.95136426884011</v>
      </c>
      <c r="I102" s="96">
        <f>SUM(I103:I105)</f>
        <v>152264.30000000002</v>
      </c>
      <c r="J102" s="96">
        <f>SUM(J103:J105)</f>
        <v>30308.9</v>
      </c>
      <c r="K102" s="85">
        <f t="shared" si="10"/>
        <v>19.905453871984434</v>
      </c>
    </row>
    <row r="103" spans="1:11" ht="15">
      <c r="A103" s="91">
        <v>1101</v>
      </c>
      <c r="B103" s="87" t="s">
        <v>83</v>
      </c>
      <c r="C103" s="79">
        <v>14569</v>
      </c>
      <c r="D103" s="79">
        <v>4419.4</v>
      </c>
      <c r="E103" s="79">
        <f t="shared" si="11"/>
        <v>30.334271398174202</v>
      </c>
      <c r="F103" s="88">
        <v>29250.1</v>
      </c>
      <c r="G103" s="88">
        <v>7590.8</v>
      </c>
      <c r="H103" s="88">
        <f>G103/F103*100</f>
        <v>25.95136426884011</v>
      </c>
      <c r="I103" s="89">
        <f>C103+F103-225</f>
        <v>43594.1</v>
      </c>
      <c r="J103" s="89">
        <f>D103+G103-225</f>
        <v>11785.2</v>
      </c>
      <c r="K103" s="90">
        <f t="shared" si="10"/>
        <v>27.033933490999935</v>
      </c>
    </row>
    <row r="104" spans="1:11" ht="15">
      <c r="A104" s="91">
        <v>1102</v>
      </c>
      <c r="B104" s="87" t="s">
        <v>84</v>
      </c>
      <c r="C104" s="79">
        <v>108650</v>
      </c>
      <c r="D104" s="79">
        <v>18523.7</v>
      </c>
      <c r="E104" s="79">
        <f t="shared" si="11"/>
        <v>17.04896456511735</v>
      </c>
      <c r="F104" s="88">
        <v>0</v>
      </c>
      <c r="G104" s="88">
        <v>0</v>
      </c>
      <c r="H104" s="88">
        <v>0</v>
      </c>
      <c r="I104" s="89">
        <f>C104+F104</f>
        <v>108650</v>
      </c>
      <c r="J104" s="89">
        <f>D104+G104</f>
        <v>18523.7</v>
      </c>
      <c r="K104" s="90">
        <f t="shared" si="10"/>
        <v>17.04896456511735</v>
      </c>
    </row>
    <row r="105" spans="1:11" ht="30">
      <c r="A105" s="91" t="s">
        <v>300</v>
      </c>
      <c r="B105" s="87" t="s">
        <v>301</v>
      </c>
      <c r="C105" s="79">
        <v>20.2</v>
      </c>
      <c r="D105" s="79"/>
      <c r="E105" s="79">
        <f t="shared" si="11"/>
        <v>0</v>
      </c>
      <c r="F105" s="88"/>
      <c r="G105" s="88"/>
      <c r="H105" s="88"/>
      <c r="I105" s="89">
        <f>C105+F105</f>
        <v>20.2</v>
      </c>
      <c r="J105" s="89">
        <f>D105+G105</f>
        <v>0</v>
      </c>
      <c r="K105" s="90">
        <f t="shared" si="10"/>
        <v>0</v>
      </c>
    </row>
    <row r="106" spans="1:11" ht="39" customHeight="1">
      <c r="A106" s="99">
        <v>1200</v>
      </c>
      <c r="B106" s="82" t="s">
        <v>85</v>
      </c>
      <c r="C106" s="83">
        <f>C107</f>
        <v>3737.3</v>
      </c>
      <c r="D106" s="83">
        <f>D107</f>
        <v>3737.3</v>
      </c>
      <c r="E106" s="106">
        <f>D106/C106*100</f>
        <v>100</v>
      </c>
      <c r="F106" s="83">
        <f>F107</f>
        <v>0</v>
      </c>
      <c r="G106" s="83">
        <f>G107</f>
        <v>0</v>
      </c>
      <c r="H106" s="148"/>
      <c r="I106" s="83">
        <f aca="true" t="shared" si="12" ref="I106:J109">C106+F106</f>
        <v>3737.3</v>
      </c>
      <c r="J106" s="83">
        <f t="shared" si="12"/>
        <v>3737.3</v>
      </c>
      <c r="K106" s="93">
        <f t="shared" si="10"/>
        <v>100</v>
      </c>
    </row>
    <row r="107" spans="1:11" ht="15">
      <c r="A107" s="91" t="s">
        <v>114</v>
      </c>
      <c r="B107" s="87" t="s">
        <v>115</v>
      </c>
      <c r="C107" s="79">
        <v>3737.3</v>
      </c>
      <c r="D107" s="79">
        <v>3737.3</v>
      </c>
      <c r="E107" s="79">
        <f>D107/C107*100</f>
        <v>100</v>
      </c>
      <c r="F107" s="88">
        <v>0</v>
      </c>
      <c r="G107" s="88">
        <v>0</v>
      </c>
      <c r="H107" s="88">
        <v>0</v>
      </c>
      <c r="I107" s="89">
        <f t="shared" si="12"/>
        <v>3737.3</v>
      </c>
      <c r="J107" s="89">
        <f t="shared" si="12"/>
        <v>3737.3</v>
      </c>
      <c r="K107" s="90">
        <f>J107/I107*100</f>
        <v>100</v>
      </c>
    </row>
    <row r="108" spans="1:11" ht="13.5" customHeight="1">
      <c r="A108" s="99">
        <v>1300</v>
      </c>
      <c r="B108" s="82" t="s">
        <v>86</v>
      </c>
      <c r="C108" s="83">
        <f aca="true" t="shared" si="13" ref="C108:H108">C109</f>
        <v>370</v>
      </c>
      <c r="D108" s="83">
        <f t="shared" si="13"/>
        <v>96</v>
      </c>
      <c r="E108" s="83">
        <f t="shared" si="13"/>
        <v>25.945945945945947</v>
      </c>
      <c r="F108" s="83">
        <f t="shared" si="13"/>
        <v>0</v>
      </c>
      <c r="G108" s="83">
        <f t="shared" si="13"/>
        <v>0</v>
      </c>
      <c r="H108" s="92">
        <f t="shared" si="13"/>
        <v>0</v>
      </c>
      <c r="I108" s="83">
        <f t="shared" si="12"/>
        <v>370</v>
      </c>
      <c r="J108" s="83">
        <f t="shared" si="12"/>
        <v>96</v>
      </c>
      <c r="K108" s="93">
        <f t="shared" si="10"/>
        <v>25.945945945945947</v>
      </c>
    </row>
    <row r="109" spans="1:11" ht="30">
      <c r="A109" s="91">
        <v>1301</v>
      </c>
      <c r="B109" s="87" t="s">
        <v>87</v>
      </c>
      <c r="C109" s="79">
        <v>370</v>
      </c>
      <c r="D109" s="79">
        <v>96</v>
      </c>
      <c r="E109" s="79">
        <f t="shared" si="11"/>
        <v>25.945945945945947</v>
      </c>
      <c r="F109" s="88"/>
      <c r="G109" s="88">
        <v>0</v>
      </c>
      <c r="H109" s="88">
        <v>0</v>
      </c>
      <c r="I109" s="89">
        <f t="shared" si="12"/>
        <v>370</v>
      </c>
      <c r="J109" s="89">
        <f t="shared" si="12"/>
        <v>96</v>
      </c>
      <c r="K109" s="90">
        <f t="shared" si="10"/>
        <v>25.945945945945947</v>
      </c>
    </row>
    <row r="110" spans="1:11" ht="15" customHeight="1">
      <c r="A110" s="99">
        <v>1400</v>
      </c>
      <c r="B110" s="82" t="s">
        <v>64</v>
      </c>
      <c r="C110" s="83">
        <f>SUM(C111:C113)</f>
        <v>326906.9</v>
      </c>
      <c r="D110" s="83">
        <f>SUM(D111:D113)</f>
        <v>99573.2</v>
      </c>
      <c r="E110" s="83">
        <f>D110/C110*100</f>
        <v>30.459191898366168</v>
      </c>
      <c r="F110" s="96">
        <f>F111+F112+F113</f>
        <v>21.9</v>
      </c>
      <c r="G110" s="96">
        <f>SUM(G111:G113)</f>
        <v>10.9</v>
      </c>
      <c r="H110" s="96"/>
      <c r="I110" s="96">
        <v>0</v>
      </c>
      <c r="J110" s="96">
        <v>0</v>
      </c>
      <c r="K110" s="85">
        <v>0</v>
      </c>
    </row>
    <row r="111" spans="1:11" ht="45">
      <c r="A111" s="91">
        <v>1401</v>
      </c>
      <c r="B111" s="87" t="s">
        <v>81</v>
      </c>
      <c r="C111" s="79">
        <v>125336.3</v>
      </c>
      <c r="D111" s="79">
        <v>37600.8</v>
      </c>
      <c r="E111" s="79">
        <f t="shared" si="11"/>
        <v>29.999928193189046</v>
      </c>
      <c r="F111" s="88">
        <v>0</v>
      </c>
      <c r="G111" s="88">
        <v>0</v>
      </c>
      <c r="H111" s="88">
        <v>0</v>
      </c>
      <c r="I111" s="89">
        <v>0</v>
      </c>
      <c r="J111" s="80">
        <v>0</v>
      </c>
      <c r="K111" s="90">
        <v>0</v>
      </c>
    </row>
    <row r="112" spans="1:11" ht="12.75" customHeight="1">
      <c r="A112" s="91">
        <v>1402</v>
      </c>
      <c r="B112" s="87" t="s">
        <v>82</v>
      </c>
      <c r="C112" s="79">
        <v>173606.1</v>
      </c>
      <c r="D112" s="79">
        <v>58193.2</v>
      </c>
      <c r="E112" s="79">
        <f t="shared" si="11"/>
        <v>33.52025072851703</v>
      </c>
      <c r="F112" s="88">
        <v>0</v>
      </c>
      <c r="G112" s="88">
        <v>0</v>
      </c>
      <c r="H112" s="88">
        <v>0</v>
      </c>
      <c r="I112" s="89">
        <v>0</v>
      </c>
      <c r="J112" s="80">
        <v>0</v>
      </c>
      <c r="K112" s="90">
        <v>0</v>
      </c>
    </row>
    <row r="113" spans="1:11" ht="12.75" customHeight="1">
      <c r="A113" s="91">
        <v>1403</v>
      </c>
      <c r="B113" s="87" t="s">
        <v>95</v>
      </c>
      <c r="C113" s="79">
        <v>27964.5</v>
      </c>
      <c r="D113" s="79">
        <v>3779.2</v>
      </c>
      <c r="E113" s="79">
        <f t="shared" si="11"/>
        <v>13.514277029805646</v>
      </c>
      <c r="F113" s="88">
        <v>21.9</v>
      </c>
      <c r="G113" s="88">
        <v>10.9</v>
      </c>
      <c r="H113" s="88">
        <v>0</v>
      </c>
      <c r="I113" s="89">
        <v>0</v>
      </c>
      <c r="J113" s="80">
        <v>0</v>
      </c>
      <c r="K113" s="90">
        <v>0</v>
      </c>
    </row>
    <row r="114" spans="1:11" ht="15" customHeight="1" thickBot="1">
      <c r="A114" s="236" t="s">
        <v>65</v>
      </c>
      <c r="B114" s="237"/>
      <c r="C114" s="102">
        <f>C9+C18+C20+C25+C46+C75+C83+C89+C91+C102+C106+C108+C110</f>
        <v>3537832.1</v>
      </c>
      <c r="D114" s="102">
        <f>D9+D18+D20+D25+D46+D75+D83+D89+D91+D102+D106+D108+D110</f>
        <v>1048561.9000000001</v>
      </c>
      <c r="E114" s="102">
        <f>D114/C114*100</f>
        <v>29.638543332794114</v>
      </c>
      <c r="F114" s="102">
        <f>F9+F18+F20+F25+F46+F75+F83+F89+F91+F102+F106+F108+F110</f>
        <v>519945.9000000001</v>
      </c>
      <c r="G114" s="102">
        <f>G110+G108+G106+G91+G89+G83+G75+G46+G25+G21+G18+G9+G20+G102</f>
        <v>148241.3</v>
      </c>
      <c r="H114" s="103">
        <f>G114/F114*100</f>
        <v>28.51090853875374</v>
      </c>
      <c r="I114" s="102">
        <f>I110+I108+I106+I102+I91+I89+I83+I75+I46+I25+I20+I18+I9</f>
        <v>3684597.8000000007</v>
      </c>
      <c r="J114" s="102">
        <f>J110+J108+J106+J102+J91+J89+J83+J75+J46+J25+J20+J18+J9</f>
        <v>1080684.2</v>
      </c>
      <c r="K114" s="104">
        <f t="shared" si="10"/>
        <v>29.32977379512086</v>
      </c>
    </row>
    <row r="115" spans="1:11" ht="12.75" customHeight="1">
      <c r="A115" s="9"/>
      <c r="B115" s="5"/>
      <c r="C115" s="53"/>
      <c r="D115" s="31"/>
      <c r="E115" s="41"/>
      <c r="F115" s="21"/>
      <c r="G115" s="33"/>
      <c r="H115" s="33"/>
      <c r="I115" s="45"/>
      <c r="J115" s="45"/>
      <c r="K115" s="45"/>
    </row>
    <row r="116" spans="1:11" ht="15" customHeight="1">
      <c r="A116" s="10"/>
      <c r="B116" s="6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10"/>
      <c r="B117" s="6"/>
      <c r="C117" s="54"/>
      <c r="D117" s="32"/>
      <c r="E117" s="41"/>
      <c r="F117" s="21"/>
      <c r="G117" s="33"/>
      <c r="H117" s="33"/>
      <c r="I117" s="44"/>
      <c r="J117" s="44"/>
      <c r="K117" s="45"/>
    </row>
    <row r="118" spans="1:11" ht="12.75" customHeight="1">
      <c r="A118" s="232" t="s">
        <v>124</v>
      </c>
      <c r="B118" s="232"/>
      <c r="C118" s="232"/>
      <c r="D118" s="60"/>
      <c r="E118" s="61"/>
      <c r="F118" s="61"/>
      <c r="G118" s="33"/>
      <c r="H118" s="33"/>
      <c r="I118" s="45"/>
      <c r="J118" s="45"/>
      <c r="K118" s="45"/>
    </row>
    <row r="119" spans="1:11" ht="12.75" customHeight="1">
      <c r="A119" s="232" t="s">
        <v>125</v>
      </c>
      <c r="B119" s="232"/>
      <c r="C119" s="232"/>
      <c r="D119" s="62"/>
      <c r="E119" s="233" t="s">
        <v>66</v>
      </c>
      <c r="F119" s="233"/>
      <c r="G119" s="33"/>
      <c r="H119" s="33"/>
      <c r="I119" s="44"/>
      <c r="J119" s="45"/>
      <c r="K119" s="45"/>
    </row>
    <row r="120" spans="1:11" ht="12.75" customHeight="1">
      <c r="A120" s="63"/>
      <c r="B120" s="64"/>
      <c r="C120" s="65"/>
      <c r="D120" s="66"/>
      <c r="E120" s="67"/>
      <c r="F120" s="68"/>
      <c r="G120" s="33"/>
      <c r="H120" s="33"/>
      <c r="I120" s="44"/>
      <c r="J120" s="45"/>
      <c r="K120" s="45"/>
    </row>
    <row r="121" spans="1:11" ht="12.75" customHeight="1">
      <c r="A121" s="232" t="s">
        <v>324</v>
      </c>
      <c r="B121" s="232"/>
      <c r="C121" s="232"/>
      <c r="D121" s="69"/>
      <c r="E121" s="233" t="s">
        <v>325</v>
      </c>
      <c r="F121" s="233"/>
      <c r="G121" s="33"/>
      <c r="H121" s="33"/>
      <c r="I121" s="44"/>
      <c r="J121" s="45"/>
      <c r="K121" s="45"/>
    </row>
    <row r="122" spans="1:11" ht="12.75" customHeight="1">
      <c r="A122" s="63"/>
      <c r="B122" s="70"/>
      <c r="C122" s="71"/>
      <c r="D122" s="72"/>
      <c r="E122" s="67"/>
      <c r="F122" s="68"/>
      <c r="G122" s="33"/>
      <c r="H122" s="33"/>
      <c r="I122" s="44"/>
      <c r="J122" s="45"/>
      <c r="K122" s="45"/>
    </row>
    <row r="123" spans="1:11" ht="12.75" customHeight="1">
      <c r="A123" s="232" t="s">
        <v>154</v>
      </c>
      <c r="B123" s="232"/>
      <c r="C123" s="232"/>
      <c r="D123" s="69"/>
      <c r="E123" s="238" t="s">
        <v>205</v>
      </c>
      <c r="F123" s="238"/>
      <c r="G123" s="33"/>
      <c r="H123" s="33"/>
      <c r="I123" s="44"/>
      <c r="J123" s="45"/>
      <c r="K123" s="45"/>
    </row>
    <row r="124" spans="1:11" ht="12.75" customHeight="1">
      <c r="A124" s="73"/>
      <c r="B124" s="74"/>
      <c r="C124" s="75"/>
      <c r="D124" s="60"/>
      <c r="E124" s="60"/>
      <c r="F124" s="61"/>
      <c r="G124" s="33"/>
      <c r="H124" s="33"/>
      <c r="I124" s="45"/>
      <c r="J124" s="45"/>
      <c r="K124" s="45"/>
    </row>
    <row r="125" spans="1:6" ht="12.75" customHeight="1">
      <c r="A125" s="76"/>
      <c r="B125" s="76"/>
      <c r="C125" s="77" t="s">
        <v>156</v>
      </c>
      <c r="D125" s="76" t="s">
        <v>157</v>
      </c>
      <c r="E125" s="78" t="s">
        <v>158</v>
      </c>
      <c r="F125" s="76"/>
    </row>
    <row r="126" spans="1:11" ht="12.75">
      <c r="A126" s="73"/>
      <c r="B126" s="74"/>
      <c r="C126" s="75"/>
      <c r="D126" s="60"/>
      <c r="E126" s="60"/>
      <c r="F126" s="61"/>
      <c r="G126" s="33"/>
      <c r="H126" s="33"/>
      <c r="I126" s="45"/>
      <c r="J126" s="45"/>
      <c r="K126" s="45"/>
    </row>
    <row r="127" spans="1:6" ht="12.75">
      <c r="A127" s="76"/>
      <c r="B127" s="76"/>
      <c r="C127" s="77" t="s">
        <v>156</v>
      </c>
      <c r="D127" s="76" t="s">
        <v>157</v>
      </c>
      <c r="E127" s="78" t="s">
        <v>158</v>
      </c>
      <c r="F127" s="76"/>
    </row>
  </sheetData>
  <sheetProtection/>
  <mergeCells count="35">
    <mergeCell ref="G4:G5"/>
    <mergeCell ref="E4:E5"/>
    <mergeCell ref="J4:J5"/>
    <mergeCell ref="A20:A21"/>
    <mergeCell ref="B20:B21"/>
    <mergeCell ref="C20:C21"/>
    <mergeCell ref="D20:D21"/>
    <mergeCell ref="I4:I5"/>
    <mergeCell ref="H4:H5"/>
    <mergeCell ref="J20:J21"/>
    <mergeCell ref="A1:K1"/>
    <mergeCell ref="A3:A8"/>
    <mergeCell ref="B3:B5"/>
    <mergeCell ref="C3:E3"/>
    <mergeCell ref="F3:H3"/>
    <mergeCell ref="K4:K5"/>
    <mergeCell ref="B6:K8"/>
    <mergeCell ref="I3:K3"/>
    <mergeCell ref="G20:G21"/>
    <mergeCell ref="H20:H21"/>
    <mergeCell ref="F20:F21"/>
    <mergeCell ref="K20:K21"/>
    <mergeCell ref="A123:C123"/>
    <mergeCell ref="E123:F123"/>
    <mergeCell ref="I20:I21"/>
    <mergeCell ref="E20:E21"/>
    <mergeCell ref="A121:C121"/>
    <mergeCell ref="E121:F121"/>
    <mergeCell ref="C4:C5"/>
    <mergeCell ref="D4:D5"/>
    <mergeCell ref="A114:B114"/>
    <mergeCell ref="A118:C118"/>
    <mergeCell ref="A119:C119"/>
    <mergeCell ref="E119:F119"/>
    <mergeCell ref="F4:F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2015-07-20T09:17:07Z</dcterms:modified>
  <cp:category/>
  <cp:version/>
  <cp:contentType/>
  <cp:contentStatus/>
</cp:coreProperties>
</file>