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<sst xmlns="http://schemas.openxmlformats.org/spreadsheetml/2006/main" count="632" uniqueCount="244">
  <si>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</si>
  <si>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</si>
  <si>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</si>
  <si>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</si>
  <si>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</si>
  <si>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</si>
  <si>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</si>
  <si>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</si>
  <si>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</si>
  <si>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</si>
  <si>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</si>
  <si>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</si>
  <si>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</si>
  <si>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</si>
  <si>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</si>
  <si>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</si>
  <si>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</si>
  <si>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</si>
  <si>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</si>
  <si>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</si>
  <si>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</si>
  <si>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</si>
  <si>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</si>
  <si>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</si>
  <si>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</si>
  <si>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</si>
  <si>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</si>
  <si>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</si>
  <si>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</si>
  <si>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</si>
  <si>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</si>
  <si>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</si>
  <si>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</si>
  <si>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</si>
  <si>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</si>
  <si>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</si>
  <si>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</si>
  <si>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</si>
  <si>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</si>
  <si>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</si>
  <si>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</si>
  <si>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</si>
  <si>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</si>
  <si>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</si>
  <si>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</si>
  <si>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</si>
  <si>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</si>
  <si>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</si>
  <si>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</si>
  <si>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</si>
  <si>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</si>
  <si>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</si>
  <si>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</si>
  <si>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</si>
  <si>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</si>
  <si>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</si>
  <si>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</si>
  <si>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</si>
  <si>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</si>
  <si>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</si>
  <si>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</si>
  <si>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</si>
  <si>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</si>
  <si>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</si>
  <si>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</si>
  <si>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</si>
  <si>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</si>
  <si>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</si>
  <si>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</si>
  <si>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</si>
  <si>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</si>
  <si>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</si>
  <si>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</si>
  <si>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</si>
  <si>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</si>
  <si>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</si>
  <si>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</si>
  <si>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</si>
  <si>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</si>
  <si>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</si>
  <si>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</si>
  <si>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квартал 2019 года</t>
  </si>
  <si>
    <t>Отчет об исполнении консолидированного бюджета Октябрьского района по состоянию на 01.02.2019</t>
  </si>
  <si>
    <t>Первонач. план на 2019 год</t>
  </si>
  <si>
    <t>Уточн. план на 2019 год</t>
  </si>
  <si>
    <t xml:space="preserve">% исп-ия к плану за 1 квартал 2019 года </t>
  </si>
  <si>
    <t xml:space="preserve">% исп-ия к уточн. плану на 2019 год </t>
  </si>
  <si>
    <t xml:space="preserve">% исп-ия к первонач. плану на 2019 год </t>
  </si>
  <si>
    <t>Отчет  об  исполнении  консолидированного  бюджета  района  по  расходам на 1 февраля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</si>
  <si>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</si>
  <si>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</si>
  <si>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</si>
  <si>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</si>
  <si>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</si>
  <si>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</si>
  <si>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01.02.2019</t>
  </si>
  <si>
    <t>% исполнения</t>
  </si>
  <si>
    <t>исполнения на 01.02.2019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</si>
  <si>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</si>
  <si>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</si>
  <si>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</si>
  <si>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</si>
  <si>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</si>
  <si>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</si>
  <si>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</si>
  <si>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</si>
  <si>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</si>
  <si>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</si>
  <si>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</si>
  <si>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</si>
  <si>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</si>
  <si>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</si>
  <si>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</si>
  <si>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</si>
  <si>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</si>
  <si>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</si>
  <si>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</si>
  <si>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</si>
  <si>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</si>
  <si>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</si>
  <si>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</si>
  <si>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</si>
  <si>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</si>
  <si>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</si>
  <si>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</si>
  <si>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</si>
  <si>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</si>
  <si>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</si>
  <si>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</si>
  <si>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</si>
  <si>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</si>
  <si>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</si>
  <si>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</si>
  <si>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</si>
  <si>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</si>
  <si>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</si>
  <si>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</si>
  <si>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</si>
  <si>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</si>
  <si>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</si>
  <si>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</si>
  <si>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</si>
  <si>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</si>
  <si>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</si>
  <si>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</si>
  <si>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</si>
  <si>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</si>
  <si>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</si>
  <si>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</si>
  <si>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</si>
  <si>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08001S2380, 08002S2380)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</si>
  <si>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</si>
  <si>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</si>
  <si>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</si>
  <si>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</si>
  <si>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</si>
  <si>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</si>
  <si>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</si>
  <si>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"Развитие жилищной сферы в муниципальном образовании Октябрьский район" (0910182661, 09101S2661, 0910199990)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</si>
  <si>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</si>
  <si>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1040442120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</si>
  <si>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</si>
  <si>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</si>
  <si>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</si>
  <si>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</si>
  <si>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</si>
  <si>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</si>
  <si>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</si>
  <si>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</si>
  <si>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</si>
  <si>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</si>
  <si>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</si>
  <si>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</si>
  <si>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</si>
  <si>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Субсидии на формирование современной городской среды (105F255550)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</si>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</sst>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0" borderId="13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3" xfId="0" applyNumberFormat="1" applyFont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2" fillId="33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2" fillId="33" borderId="26" xfId="53" applyNumberFormat="1" applyFont="1" applyFill="1" applyBorder="1" applyAlignment="1">
      <alignment horizontal="center" vertical="center" wrapText="1"/>
      <protection/>
    </xf>
    <xf numFmtId="179" fontId="31" fillId="34" borderId="13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0" fontId="30" fillId="36" borderId="13" xfId="53" applyNumberFormat="1" applyFont="1" applyFill="1" applyBorder="1" applyAlignment="1">
      <alignment horizontal="left" vertical="center" wrapText="1"/>
      <protection/>
    </xf>
    <xf numFmtId="179" fontId="32" fillId="34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1" fillId="34" borderId="13" xfId="0" applyNumberFormat="1" applyFont="1" applyFill="1" applyBorder="1" applyAlignment="1">
      <alignment horizontal="center" vertical="center" wrapText="1"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3" borderId="13" xfId="0" applyNumberFormat="1" applyFont="1" applyFill="1" applyBorder="1" applyAlignment="1">
      <alignment horizontal="center" vertical="center" wrapText="1"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3" borderId="25" xfId="53" applyNumberFormat="1" applyFont="1" applyFill="1" applyBorder="1" applyAlignment="1">
      <alignment horizontal="center" vertical="center" wrapText="1"/>
      <protection/>
    </xf>
    <xf numFmtId="0" fontId="34" fillId="33" borderId="13" xfId="0" applyNumberFormat="1" applyFont="1" applyFill="1" applyBorder="1" applyAlignment="1">
      <alignment horizontal="left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177" fontId="32" fillId="35" borderId="26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6" borderId="28" xfId="53" applyNumberFormat="1" applyFont="1" applyFill="1" applyBorder="1" applyAlignment="1">
      <alignment horizontal="center" vertical="center" wrapText="1"/>
      <protection/>
    </xf>
    <xf numFmtId="179" fontId="32" fillId="6" borderId="28" xfId="0" applyNumberFormat="1" applyFont="1" applyFill="1" applyBorder="1" applyAlignment="1">
      <alignment horizontal="center" vertical="center" wrapText="1"/>
    </xf>
    <xf numFmtId="179" fontId="32" fillId="6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179" fontId="29" fillId="34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2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7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D245" sqref="D245:K249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9.00390625" style="1" customWidth="1"/>
    <col min="4" max="4" width="10.50390625" style="1" customWidth="1"/>
    <col min="5" max="5" width="13.50390625" style="1" customWidth="1"/>
    <col min="6" max="6" width="10.125" style="1" customWidth="1"/>
    <col min="7" max="7" width="15.50390625" style="1" hidden="1" customWidth="1"/>
    <col min="8" max="8" width="14.875" style="1" hidden="1" customWidth="1"/>
    <col min="9" max="9" width="12.625" style="1" hidden="1" customWidth="1"/>
    <col min="10" max="10" width="19.00390625" style="1" hidden="1" customWidth="1" outlineLevel="1"/>
    <col min="11" max="11" width="12.00390625" style="1" customWidth="1" collapsed="1"/>
    <col min="12" max="12" width="10.375" style="1" hidden="1" customWidth="1"/>
    <col min="13" max="13" width="7.00390625" style="1" hidden="1" customWidth="1"/>
    <col min="14" max="14" width="9.125" style="1" hidden="1" customWidth="1"/>
    <col min="15" max="15" width="14.375" style="1" hidden="1" customWidth="1"/>
    <col min="16" max="16" width="7.375" style="1" hidden="1" customWidth="1"/>
    <col min="17" max="17" width="8.375" style="1" customWidth="1"/>
    <col min="18" max="18" width="8.00390625" style="1" customWidth="1"/>
    <col min="19" max="16384" width="9.125" style="1" customWidth="1"/>
  </cols>
  <sheetData>
    <row r="1" spans="1:19" ht="12.75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3" ht="9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4.25" customHeight="1">
      <c r="A3" s="55"/>
      <c r="B3" s="55"/>
      <c r="C3" s="56"/>
      <c r="D3" s="56"/>
      <c r="E3" s="56"/>
      <c r="F3" s="56"/>
      <c r="G3" s="56"/>
      <c r="H3" s="56"/>
      <c r="I3" s="57"/>
      <c r="J3" s="57"/>
      <c r="K3" s="58" t="s">
        <v>69</v>
      </c>
      <c r="L3" s="57"/>
      <c r="M3" s="57"/>
    </row>
    <row r="4" spans="1:19" ht="12.75" customHeight="1">
      <c r="A4" s="59" t="s">
        <v>41</v>
      </c>
      <c r="B4" s="59"/>
      <c r="C4" s="60"/>
      <c r="D4" s="97" t="s">
        <v>83</v>
      </c>
      <c r="E4" s="97" t="s">
        <v>84</v>
      </c>
      <c r="F4" s="97" t="s">
        <v>81</v>
      </c>
      <c r="G4" s="100" t="s">
        <v>72</v>
      </c>
      <c r="H4" s="100" t="s">
        <v>73</v>
      </c>
      <c r="I4" s="100" t="s">
        <v>74</v>
      </c>
      <c r="J4" s="100" t="s">
        <v>75</v>
      </c>
      <c r="K4" s="97" t="s">
        <v>80</v>
      </c>
      <c r="L4" s="97" t="s">
        <v>76</v>
      </c>
      <c r="M4" s="97" t="s">
        <v>77</v>
      </c>
      <c r="N4" s="97" t="s">
        <v>78</v>
      </c>
      <c r="O4" s="97" t="s">
        <v>79</v>
      </c>
      <c r="P4" s="97" t="s">
        <v>80</v>
      </c>
      <c r="Q4" s="97" t="s">
        <v>85</v>
      </c>
      <c r="R4" s="97" t="s">
        <v>86</v>
      </c>
      <c r="S4" s="97" t="s">
        <v>87</v>
      </c>
    </row>
    <row r="5" spans="1:19" ht="27.75" customHeight="1">
      <c r="A5" s="61" t="s">
        <v>46</v>
      </c>
      <c r="B5" s="61"/>
      <c r="C5" s="62" t="s">
        <v>16</v>
      </c>
      <c r="D5" s="98"/>
      <c r="E5" s="98"/>
      <c r="F5" s="98"/>
      <c r="G5" s="101"/>
      <c r="H5" s="101"/>
      <c r="I5" s="101"/>
      <c r="J5" s="101"/>
      <c r="K5" s="98"/>
      <c r="L5" s="98"/>
      <c r="M5" s="98"/>
      <c r="N5" s="98"/>
      <c r="O5" s="98"/>
      <c r="P5" s="98"/>
      <c r="Q5" s="98"/>
      <c r="R5" s="98"/>
      <c r="S5" s="98"/>
    </row>
    <row r="6" spans="1:19" ht="39.75" customHeight="1">
      <c r="A6" s="61"/>
      <c r="B6" s="61"/>
      <c r="C6" s="62"/>
      <c r="D6" s="99"/>
      <c r="E6" s="99"/>
      <c r="F6" s="99"/>
      <c r="G6" s="102"/>
      <c r="H6" s="102"/>
      <c r="I6" s="102"/>
      <c r="J6" s="102"/>
      <c r="K6" s="99"/>
      <c r="L6" s="99"/>
      <c r="M6" s="99"/>
      <c r="N6" s="99"/>
      <c r="O6" s="99"/>
      <c r="P6" s="99"/>
      <c r="Q6" s="99"/>
      <c r="R6" s="99"/>
      <c r="S6" s="99"/>
    </row>
    <row r="7" spans="1:19" ht="12.75">
      <c r="A7" s="93" t="s">
        <v>24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>
      <c r="A8" s="63" t="s">
        <v>3</v>
      </c>
      <c r="B8" s="63"/>
      <c r="C8" s="64" t="s">
        <v>68</v>
      </c>
      <c r="D8" s="36">
        <f aca="true" t="shared" si="0" ref="D8:J8">D9+D11+D12+D13+D15+D16+D18+D20+D14+D21+D17+D19+D10</f>
        <v>790943.5000000001</v>
      </c>
      <c r="E8" s="36">
        <f t="shared" si="0"/>
        <v>790943.5000000001</v>
      </c>
      <c r="F8" s="36">
        <f t="shared" si="0"/>
        <v>184631.59999999998</v>
      </c>
      <c r="G8" s="36">
        <f t="shared" si="0"/>
        <v>184631.59999999998</v>
      </c>
      <c r="H8" s="36">
        <f t="shared" si="0"/>
        <v>208714.49999999997</v>
      </c>
      <c r="I8" s="36">
        <f t="shared" si="0"/>
        <v>184556.39999999997</v>
      </c>
      <c r="J8" s="36">
        <f t="shared" si="0"/>
        <v>213041</v>
      </c>
      <c r="K8" s="36">
        <f>K9+K11+K12+K13+K15+K16+K18+K20+K14+K21+K17+K19+K10</f>
        <v>67078.50000000001</v>
      </c>
      <c r="L8" s="36" t="e">
        <f>L9+L11+L12+L13+L15+L16+L18+L20+L14+L21+L17+L19</f>
        <v>#REF!</v>
      </c>
      <c r="M8" s="36">
        <f aca="true" t="shared" si="1" ref="M8:M20">K8/I8*100</f>
        <v>36.345799983094615</v>
      </c>
      <c r="N8" s="65"/>
      <c r="O8" s="65"/>
      <c r="P8" s="36">
        <f>K8*100/J8</f>
        <v>31.4861927985693</v>
      </c>
      <c r="Q8" s="36">
        <f>K8*100/F8</f>
        <v>36.330996427480464</v>
      </c>
      <c r="R8" s="24">
        <f>K8*100/E8</f>
        <v>8.480820690732019</v>
      </c>
      <c r="S8" s="24">
        <f>K8*100/D8</f>
        <v>8.480820690732019</v>
      </c>
    </row>
    <row r="9" spans="1:19" ht="12.75">
      <c r="A9" s="12" t="s">
        <v>23</v>
      </c>
      <c r="B9" s="12"/>
      <c r="C9" s="66" t="s">
        <v>22</v>
      </c>
      <c r="D9" s="51">
        <v>599585.5</v>
      </c>
      <c r="E9" s="51">
        <f>G9+H9+I9+J9</f>
        <v>599585.5</v>
      </c>
      <c r="F9" s="51">
        <f>G9</f>
        <v>139537.9</v>
      </c>
      <c r="G9" s="51">
        <v>139537.9</v>
      </c>
      <c r="H9" s="51">
        <v>157657</v>
      </c>
      <c r="I9" s="20">
        <v>138077.6</v>
      </c>
      <c r="J9" s="67">
        <v>164313</v>
      </c>
      <c r="K9" s="67">
        <v>56616.8</v>
      </c>
      <c r="L9" s="20" t="e">
        <f>K9/#REF!*100</f>
        <v>#REF!</v>
      </c>
      <c r="M9" s="20">
        <f t="shared" si="1"/>
        <v>41.00360956447679</v>
      </c>
      <c r="N9" s="48"/>
      <c r="O9" s="48"/>
      <c r="P9" s="20">
        <f aca="true" t="shared" si="2" ref="P9:P81">K9*100/J9</f>
        <v>34.456677195352775</v>
      </c>
      <c r="Q9" s="20">
        <f aca="true" t="shared" si="3" ref="Q9:Q78">K9*100/F9</f>
        <v>40.574496247972775</v>
      </c>
      <c r="R9" s="67">
        <f aca="true" t="shared" si="4" ref="R9:R78">K9*100/E9</f>
        <v>9.442656635292215</v>
      </c>
      <c r="S9" s="18">
        <f aca="true" t="shared" si="5" ref="S9:S72">K9*100/D9</f>
        <v>9.442656635292215</v>
      </c>
    </row>
    <row r="10" spans="1:19" ht="12.75">
      <c r="A10" s="12" t="s">
        <v>70</v>
      </c>
      <c r="B10" s="12"/>
      <c r="C10" s="28" t="s">
        <v>71</v>
      </c>
      <c r="D10" s="68">
        <v>5380.3</v>
      </c>
      <c r="E10" s="68">
        <f aca="true" t="shared" si="6" ref="E10:E26">G10+H10+I10+J10</f>
        <v>5380.3</v>
      </c>
      <c r="F10" s="51">
        <f aca="true" t="shared" si="7" ref="F10:F24">G10</f>
        <v>1344.9</v>
      </c>
      <c r="G10" s="68">
        <v>1344.9</v>
      </c>
      <c r="H10" s="68">
        <v>1344.9</v>
      </c>
      <c r="I10" s="17">
        <v>1344.9</v>
      </c>
      <c r="J10" s="18">
        <v>1345.6</v>
      </c>
      <c r="K10" s="18">
        <v>556.3</v>
      </c>
      <c r="L10" s="20"/>
      <c r="M10" s="20"/>
      <c r="N10" s="48"/>
      <c r="O10" s="48"/>
      <c r="P10" s="17"/>
      <c r="Q10" s="20">
        <f t="shared" si="3"/>
        <v>41.36367016135028</v>
      </c>
      <c r="R10" s="18">
        <f t="shared" si="4"/>
        <v>10.339572142817314</v>
      </c>
      <c r="S10" s="18">
        <f t="shared" si="5"/>
        <v>10.339572142817314</v>
      </c>
    </row>
    <row r="11" spans="1:19" ht="12.75">
      <c r="A11" s="12" t="s">
        <v>8</v>
      </c>
      <c r="B11" s="12"/>
      <c r="C11" s="28" t="s">
        <v>5</v>
      </c>
      <c r="D11" s="68">
        <v>45380</v>
      </c>
      <c r="E11" s="68">
        <f t="shared" si="6"/>
        <v>45380</v>
      </c>
      <c r="F11" s="51">
        <f t="shared" si="7"/>
        <v>11155</v>
      </c>
      <c r="G11" s="68">
        <v>11155</v>
      </c>
      <c r="H11" s="68">
        <v>13505</v>
      </c>
      <c r="I11" s="17">
        <v>10605</v>
      </c>
      <c r="J11" s="18">
        <v>10115</v>
      </c>
      <c r="K11" s="18">
        <v>3819.8</v>
      </c>
      <c r="L11" s="20" t="e">
        <f>K11/#REF!*100</f>
        <v>#REF!</v>
      </c>
      <c r="M11" s="20">
        <f t="shared" si="1"/>
        <v>36.01885902876002</v>
      </c>
      <c r="N11" s="48"/>
      <c r="O11" s="48"/>
      <c r="P11" s="17">
        <f t="shared" si="2"/>
        <v>37.76371725160652</v>
      </c>
      <c r="Q11" s="20">
        <f t="shared" si="3"/>
        <v>34.24294038547736</v>
      </c>
      <c r="R11" s="18">
        <f t="shared" si="4"/>
        <v>8.417364477743499</v>
      </c>
      <c r="S11" s="18">
        <f t="shared" si="5"/>
        <v>8.417364477743499</v>
      </c>
    </row>
    <row r="12" spans="1:19" ht="12.75">
      <c r="A12" s="12" t="s">
        <v>9</v>
      </c>
      <c r="B12" s="12"/>
      <c r="C12" s="28" t="s">
        <v>6</v>
      </c>
      <c r="D12" s="68">
        <v>2500</v>
      </c>
      <c r="E12" s="68">
        <f t="shared" si="6"/>
        <v>2500</v>
      </c>
      <c r="F12" s="51">
        <f t="shared" si="7"/>
        <v>600</v>
      </c>
      <c r="G12" s="68">
        <v>600</v>
      </c>
      <c r="H12" s="68">
        <v>600</v>
      </c>
      <c r="I12" s="17">
        <v>620</v>
      </c>
      <c r="J12" s="18">
        <v>680</v>
      </c>
      <c r="K12" s="18">
        <v>821.1</v>
      </c>
      <c r="L12" s="20" t="e">
        <f>K12/#REF!*100</f>
        <v>#REF!</v>
      </c>
      <c r="M12" s="20">
        <f t="shared" si="1"/>
        <v>132.43548387096774</v>
      </c>
      <c r="N12" s="48"/>
      <c r="O12" s="48"/>
      <c r="P12" s="17">
        <f t="shared" si="2"/>
        <v>120.75</v>
      </c>
      <c r="Q12" s="20">
        <f t="shared" si="3"/>
        <v>136.85</v>
      </c>
      <c r="R12" s="18">
        <f t="shared" si="4"/>
        <v>32.844</v>
      </c>
      <c r="S12" s="18">
        <f t="shared" si="5"/>
        <v>32.844</v>
      </c>
    </row>
    <row r="13" spans="1:19" ht="12.75">
      <c r="A13" s="12" t="s">
        <v>10</v>
      </c>
      <c r="B13" s="12"/>
      <c r="C13" s="28" t="s">
        <v>21</v>
      </c>
      <c r="D13" s="68">
        <v>3105</v>
      </c>
      <c r="E13" s="68">
        <f t="shared" si="6"/>
        <v>3105</v>
      </c>
      <c r="F13" s="51">
        <f t="shared" si="7"/>
        <v>750</v>
      </c>
      <c r="G13" s="68">
        <v>750</v>
      </c>
      <c r="H13" s="68">
        <v>750</v>
      </c>
      <c r="I13" s="17">
        <v>752</v>
      </c>
      <c r="J13" s="18">
        <v>853</v>
      </c>
      <c r="K13" s="18">
        <v>233.5</v>
      </c>
      <c r="L13" s="20" t="e">
        <f>K13/#REF!*100</f>
        <v>#REF!</v>
      </c>
      <c r="M13" s="20">
        <f t="shared" si="1"/>
        <v>31.050531914893615</v>
      </c>
      <c r="N13" s="48"/>
      <c r="O13" s="48"/>
      <c r="P13" s="17">
        <f t="shared" si="2"/>
        <v>27.373974208675264</v>
      </c>
      <c r="Q13" s="20">
        <f t="shared" si="3"/>
        <v>31.133333333333333</v>
      </c>
      <c r="R13" s="18">
        <f t="shared" si="4"/>
        <v>7.52012882447665</v>
      </c>
      <c r="S13" s="18">
        <f t="shared" si="5"/>
        <v>7.52012882447665</v>
      </c>
    </row>
    <row r="14" spans="1:19" ht="21.75" customHeight="1" hidden="1">
      <c r="A14" s="12" t="s">
        <v>37</v>
      </c>
      <c r="B14" s="12"/>
      <c r="C14" s="28" t="s">
        <v>38</v>
      </c>
      <c r="D14" s="68"/>
      <c r="E14" s="68">
        <f t="shared" si="6"/>
        <v>0</v>
      </c>
      <c r="F14" s="51">
        <f t="shared" si="7"/>
        <v>0</v>
      </c>
      <c r="G14" s="68"/>
      <c r="H14" s="68"/>
      <c r="I14" s="17"/>
      <c r="J14" s="18"/>
      <c r="K14" s="18"/>
      <c r="L14" s="20" t="e">
        <f>K14/#REF!*100</f>
        <v>#REF!</v>
      </c>
      <c r="M14" s="20"/>
      <c r="N14" s="48"/>
      <c r="O14" s="48"/>
      <c r="P14" s="17" t="e">
        <f t="shared" si="2"/>
        <v>#DIV/0!</v>
      </c>
      <c r="Q14" s="20"/>
      <c r="R14" s="18"/>
      <c r="S14" s="18" t="e">
        <f t="shared" si="5"/>
        <v>#DIV/0!</v>
      </c>
    </row>
    <row r="15" spans="1:19" ht="22.5">
      <c r="A15" s="13" t="s">
        <v>11</v>
      </c>
      <c r="B15" s="13"/>
      <c r="C15" s="28" t="s">
        <v>17</v>
      </c>
      <c r="D15" s="68">
        <v>99505.9</v>
      </c>
      <c r="E15" s="68">
        <f t="shared" si="6"/>
        <v>99505.90000000001</v>
      </c>
      <c r="F15" s="51">
        <f t="shared" si="7"/>
        <v>23081.6</v>
      </c>
      <c r="G15" s="68">
        <v>23081.6</v>
      </c>
      <c r="H15" s="68">
        <v>24677.7</v>
      </c>
      <c r="I15" s="17">
        <v>24977.8</v>
      </c>
      <c r="J15" s="18">
        <v>26768.8</v>
      </c>
      <c r="K15" s="18">
        <v>953.8</v>
      </c>
      <c r="L15" s="20" t="e">
        <f>K15/#REF!*100</f>
        <v>#REF!</v>
      </c>
      <c r="M15" s="20">
        <f t="shared" si="1"/>
        <v>3.8185909087269496</v>
      </c>
      <c r="N15" s="48"/>
      <c r="O15" s="48"/>
      <c r="P15" s="17">
        <f t="shared" si="2"/>
        <v>3.563103314306207</v>
      </c>
      <c r="Q15" s="20">
        <f t="shared" si="3"/>
        <v>4.13229585470678</v>
      </c>
      <c r="R15" s="18">
        <f t="shared" si="4"/>
        <v>0.9585361270035243</v>
      </c>
      <c r="S15" s="18">
        <f t="shared" si="5"/>
        <v>0.9585361270035244</v>
      </c>
    </row>
    <row r="16" spans="1:19" ht="12.75">
      <c r="A16" s="29" t="s">
        <v>14</v>
      </c>
      <c r="B16" s="29"/>
      <c r="C16" s="28" t="s">
        <v>13</v>
      </c>
      <c r="D16" s="68">
        <v>4251.8</v>
      </c>
      <c r="E16" s="68">
        <f t="shared" si="6"/>
        <v>4251.8</v>
      </c>
      <c r="F16" s="51">
        <f t="shared" si="7"/>
        <v>1063</v>
      </c>
      <c r="G16" s="68">
        <v>1063</v>
      </c>
      <c r="H16" s="68">
        <v>1062.9</v>
      </c>
      <c r="I16" s="17">
        <v>1063</v>
      </c>
      <c r="J16" s="18">
        <v>1062.9</v>
      </c>
      <c r="K16" s="18">
        <v>-102</v>
      </c>
      <c r="L16" s="20" t="e">
        <f>K16/#REF!*100</f>
        <v>#REF!</v>
      </c>
      <c r="M16" s="20">
        <f t="shared" si="1"/>
        <v>-9.595484477892755</v>
      </c>
      <c r="N16" s="48"/>
      <c r="O16" s="48"/>
      <c r="P16" s="17">
        <f t="shared" si="2"/>
        <v>-9.5963872424499</v>
      </c>
      <c r="Q16" s="20">
        <f t="shared" si="3"/>
        <v>-9.595484477892755</v>
      </c>
      <c r="R16" s="18">
        <f t="shared" si="4"/>
        <v>-2.3989839597347005</v>
      </c>
      <c r="S16" s="18">
        <f t="shared" si="5"/>
        <v>-2.3989839597347005</v>
      </c>
    </row>
    <row r="17" spans="1:19" ht="22.5">
      <c r="A17" s="30" t="s">
        <v>42</v>
      </c>
      <c r="B17" s="30"/>
      <c r="C17" s="28" t="s">
        <v>43</v>
      </c>
      <c r="D17" s="68">
        <v>14097.8</v>
      </c>
      <c r="E17" s="68">
        <f t="shared" si="6"/>
        <v>14097.8</v>
      </c>
      <c r="F17" s="51">
        <f t="shared" si="7"/>
        <v>3516</v>
      </c>
      <c r="G17" s="68">
        <v>3516</v>
      </c>
      <c r="H17" s="68">
        <v>3532.9</v>
      </c>
      <c r="I17" s="17">
        <v>3532.9</v>
      </c>
      <c r="J17" s="18">
        <v>3516</v>
      </c>
      <c r="K17" s="18">
        <v>686.5</v>
      </c>
      <c r="L17" s="20" t="e">
        <f>K17/#REF!*100</f>
        <v>#REF!</v>
      </c>
      <c r="M17" s="20">
        <f t="shared" si="1"/>
        <v>19.43162840725749</v>
      </c>
      <c r="N17" s="48"/>
      <c r="O17" s="48"/>
      <c r="P17" s="17">
        <f t="shared" si="2"/>
        <v>19.525028441410694</v>
      </c>
      <c r="Q17" s="20">
        <f t="shared" si="3"/>
        <v>19.525028441410694</v>
      </c>
      <c r="R17" s="18">
        <f t="shared" si="4"/>
        <v>4.869554114826427</v>
      </c>
      <c r="S17" s="18">
        <f t="shared" si="5"/>
        <v>4.869554114826427</v>
      </c>
    </row>
    <row r="18" spans="1:19" ht="22.5">
      <c r="A18" s="30" t="s">
        <v>18</v>
      </c>
      <c r="B18" s="30"/>
      <c r="C18" s="28" t="s">
        <v>15</v>
      </c>
      <c r="D18" s="68">
        <v>16903.5</v>
      </c>
      <c r="E18" s="68">
        <f t="shared" si="6"/>
        <v>16903.5</v>
      </c>
      <c r="F18" s="51">
        <f t="shared" si="7"/>
        <v>3525.3</v>
      </c>
      <c r="G18" s="68">
        <v>3525.3</v>
      </c>
      <c r="H18" s="68">
        <v>5525.3</v>
      </c>
      <c r="I18" s="17">
        <v>3525.3</v>
      </c>
      <c r="J18" s="18">
        <v>4327.6</v>
      </c>
      <c r="K18" s="18">
        <v>1155.8</v>
      </c>
      <c r="L18" s="20" t="e">
        <f>K18/#REF!*100</f>
        <v>#REF!</v>
      </c>
      <c r="M18" s="20">
        <f t="shared" si="1"/>
        <v>32.78586219612515</v>
      </c>
      <c r="N18" s="48"/>
      <c r="O18" s="48"/>
      <c r="P18" s="17">
        <f t="shared" si="2"/>
        <v>26.707643959700526</v>
      </c>
      <c r="Q18" s="20">
        <f t="shared" si="3"/>
        <v>32.78586219612515</v>
      </c>
      <c r="R18" s="18">
        <f t="shared" si="4"/>
        <v>6.837637175732836</v>
      </c>
      <c r="S18" s="18">
        <f t="shared" si="5"/>
        <v>6.837637175732836</v>
      </c>
    </row>
    <row r="19" spans="1:19" ht="12.75">
      <c r="A19" s="30" t="s">
        <v>60</v>
      </c>
      <c r="B19" s="30"/>
      <c r="C19" s="28" t="s">
        <v>61</v>
      </c>
      <c r="D19" s="68">
        <v>6</v>
      </c>
      <c r="E19" s="68">
        <f t="shared" si="6"/>
        <v>6</v>
      </c>
      <c r="F19" s="51">
        <f t="shared" si="7"/>
        <v>1</v>
      </c>
      <c r="G19" s="68">
        <v>1</v>
      </c>
      <c r="H19" s="68">
        <v>2</v>
      </c>
      <c r="I19" s="17">
        <v>1</v>
      </c>
      <c r="J19" s="18">
        <v>2</v>
      </c>
      <c r="K19" s="18">
        <v>0</v>
      </c>
      <c r="L19" s="20" t="e">
        <f>K19/#REF!*100</f>
        <v>#REF!</v>
      </c>
      <c r="M19" s="20">
        <f t="shared" si="1"/>
        <v>0</v>
      </c>
      <c r="N19" s="48"/>
      <c r="O19" s="48"/>
      <c r="P19" s="17">
        <f t="shared" si="2"/>
        <v>0</v>
      </c>
      <c r="Q19" s="20">
        <f t="shared" si="3"/>
        <v>0</v>
      </c>
      <c r="R19" s="18">
        <f t="shared" si="4"/>
        <v>0</v>
      </c>
      <c r="S19" s="18">
        <f t="shared" si="5"/>
        <v>0</v>
      </c>
    </row>
    <row r="20" spans="1:19" ht="12.75">
      <c r="A20" s="21" t="s">
        <v>12</v>
      </c>
      <c r="B20" s="21"/>
      <c r="C20" s="28" t="s">
        <v>7</v>
      </c>
      <c r="D20" s="68">
        <v>227.7</v>
      </c>
      <c r="E20" s="68">
        <f t="shared" si="6"/>
        <v>227.7</v>
      </c>
      <c r="F20" s="51">
        <f t="shared" si="7"/>
        <v>56.9</v>
      </c>
      <c r="G20" s="68">
        <v>56.9</v>
      </c>
      <c r="H20" s="68">
        <v>56.8</v>
      </c>
      <c r="I20" s="17">
        <v>56.9</v>
      </c>
      <c r="J20" s="18">
        <v>57.1</v>
      </c>
      <c r="K20" s="18">
        <v>1460.7</v>
      </c>
      <c r="L20" s="20" t="e">
        <f>K20/#REF!*100</f>
        <v>#REF!</v>
      </c>
      <c r="M20" s="20">
        <f t="shared" si="1"/>
        <v>2567.13532513181</v>
      </c>
      <c r="N20" s="48"/>
      <c r="O20" s="48"/>
      <c r="P20" s="17">
        <f t="shared" si="2"/>
        <v>2558.1436077057792</v>
      </c>
      <c r="Q20" s="20">
        <f t="shared" si="3"/>
        <v>2567.13532513181</v>
      </c>
      <c r="R20" s="18">
        <f t="shared" si="4"/>
        <v>641.501976284585</v>
      </c>
      <c r="S20" s="18">
        <f t="shared" si="5"/>
        <v>641.501976284585</v>
      </c>
    </row>
    <row r="21" spans="1:19" ht="12.75">
      <c r="A21" s="31" t="s">
        <v>39</v>
      </c>
      <c r="B21" s="52"/>
      <c r="C21" s="16" t="s">
        <v>40</v>
      </c>
      <c r="D21" s="68">
        <v>0</v>
      </c>
      <c r="E21" s="68">
        <f t="shared" si="6"/>
        <v>0</v>
      </c>
      <c r="F21" s="51">
        <f t="shared" si="7"/>
        <v>0</v>
      </c>
      <c r="G21" s="68"/>
      <c r="H21" s="68"/>
      <c r="I21" s="17"/>
      <c r="J21" s="18"/>
      <c r="K21" s="18">
        <v>876.2</v>
      </c>
      <c r="L21" s="20"/>
      <c r="M21" s="20"/>
      <c r="N21" s="48"/>
      <c r="O21" s="48"/>
      <c r="P21" s="17"/>
      <c r="Q21" s="20"/>
      <c r="R21" s="18"/>
      <c r="S21" s="18"/>
    </row>
    <row r="22" spans="1:19" ht="12.75">
      <c r="A22" s="25" t="s">
        <v>1</v>
      </c>
      <c r="B22" s="25"/>
      <c r="C22" s="32" t="s">
        <v>0</v>
      </c>
      <c r="D22" s="33">
        <f aca="true" t="shared" si="8" ref="D22:J22">D23+D24+D26+D25</f>
        <v>2692801.9</v>
      </c>
      <c r="E22" s="33">
        <f>E23+E24+E26+E25</f>
        <v>2698158.5</v>
      </c>
      <c r="F22" s="33">
        <f t="shared" si="8"/>
        <v>655948.5</v>
      </c>
      <c r="G22" s="33">
        <f t="shared" si="8"/>
        <v>655948.5</v>
      </c>
      <c r="H22" s="33">
        <f t="shared" si="8"/>
        <v>675183.2</v>
      </c>
      <c r="I22" s="33">
        <f t="shared" si="8"/>
        <v>672479.9</v>
      </c>
      <c r="J22" s="33">
        <f t="shared" si="8"/>
        <v>694546.9</v>
      </c>
      <c r="K22" s="33">
        <f>K23+K24+K26+K25</f>
        <v>166675</v>
      </c>
      <c r="L22" s="27" t="e">
        <f>K22/#REF!*100</f>
        <v>#REF!</v>
      </c>
      <c r="M22" s="27">
        <f aca="true" t="shared" si="9" ref="M22:M27">K22/I22*100</f>
        <v>24.78512740678197</v>
      </c>
      <c r="N22" s="48"/>
      <c r="O22" s="48"/>
      <c r="P22" s="36">
        <f t="shared" si="2"/>
        <v>23.997659481310766</v>
      </c>
      <c r="Q22" s="27">
        <f t="shared" si="3"/>
        <v>25.409769212064667</v>
      </c>
      <c r="R22" s="24">
        <f t="shared" si="4"/>
        <v>6.177361337371396</v>
      </c>
      <c r="S22" s="24">
        <f t="shared" si="5"/>
        <v>6.189649524534278</v>
      </c>
    </row>
    <row r="23" spans="1:19" ht="22.5">
      <c r="A23" s="14" t="s">
        <v>67</v>
      </c>
      <c r="B23" s="12"/>
      <c r="C23" s="34" t="s">
        <v>20</v>
      </c>
      <c r="D23" s="37">
        <v>2692801.9</v>
      </c>
      <c r="E23" s="68">
        <f t="shared" si="6"/>
        <v>2698158.5</v>
      </c>
      <c r="F23" s="51">
        <f t="shared" si="7"/>
        <v>655948.5</v>
      </c>
      <c r="G23" s="68">
        <f>654305.8+1642.7</f>
        <v>655948.5</v>
      </c>
      <c r="H23" s="68">
        <v>675183.2</v>
      </c>
      <c r="I23" s="18">
        <v>672479.9</v>
      </c>
      <c r="J23" s="18">
        <v>694546.9</v>
      </c>
      <c r="K23" s="18">
        <v>172602.6</v>
      </c>
      <c r="L23" s="20" t="e">
        <f>K23/#REF!*100</f>
        <v>#REF!</v>
      </c>
      <c r="M23" s="20">
        <f t="shared" si="9"/>
        <v>25.66658126138789</v>
      </c>
      <c r="N23" s="48"/>
      <c r="O23" s="48"/>
      <c r="P23" s="17">
        <f t="shared" si="2"/>
        <v>24.85110796693499</v>
      </c>
      <c r="Q23" s="20">
        <f t="shared" si="3"/>
        <v>26.31343771652805</v>
      </c>
      <c r="R23" s="18">
        <f t="shared" si="4"/>
        <v>6.39705191522292</v>
      </c>
      <c r="S23" s="18">
        <f t="shared" si="5"/>
        <v>6.409777117284417</v>
      </c>
    </row>
    <row r="24" spans="1:19" ht="13.5" customHeight="1">
      <c r="A24" s="14" t="s">
        <v>2</v>
      </c>
      <c r="B24" s="14"/>
      <c r="C24" s="35" t="s">
        <v>19</v>
      </c>
      <c r="D24" s="69">
        <v>0</v>
      </c>
      <c r="E24" s="68">
        <f t="shared" si="6"/>
        <v>0</v>
      </c>
      <c r="F24" s="51">
        <f t="shared" si="7"/>
        <v>0</v>
      </c>
      <c r="G24" s="69"/>
      <c r="H24" s="69"/>
      <c r="I24" s="18"/>
      <c r="J24" s="18"/>
      <c r="K24" s="18">
        <v>100</v>
      </c>
      <c r="L24" s="20" t="e">
        <f>K24/#REF!*100</f>
        <v>#REF!</v>
      </c>
      <c r="M24" s="20" t="e">
        <f t="shared" si="9"/>
        <v>#DIV/0!</v>
      </c>
      <c r="N24" s="48"/>
      <c r="O24" s="48"/>
      <c r="P24" s="17" t="e">
        <f t="shared" si="2"/>
        <v>#DIV/0!</v>
      </c>
      <c r="Q24" s="20"/>
      <c r="R24" s="18"/>
      <c r="S24" s="18"/>
    </row>
    <row r="25" spans="1:19" ht="40.5" customHeight="1" hidden="1">
      <c r="A25" s="14" t="s">
        <v>65</v>
      </c>
      <c r="B25" s="15" t="s">
        <v>64</v>
      </c>
      <c r="C25" s="16" t="s">
        <v>64</v>
      </c>
      <c r="D25" s="68">
        <v>0</v>
      </c>
      <c r="E25" s="68">
        <f t="shared" si="6"/>
        <v>0</v>
      </c>
      <c r="F25" s="51"/>
      <c r="G25" s="68"/>
      <c r="H25" s="68"/>
      <c r="I25" s="18"/>
      <c r="J25" s="18"/>
      <c r="K25" s="18"/>
      <c r="L25" s="20" t="e">
        <f>K25/#REF!*100</f>
        <v>#REF!</v>
      </c>
      <c r="M25" s="20"/>
      <c r="N25" s="48"/>
      <c r="O25" s="48"/>
      <c r="P25" s="17" t="e">
        <f t="shared" si="2"/>
        <v>#DIV/0!</v>
      </c>
      <c r="Q25" s="20" t="e">
        <f>K25*100/F25</f>
        <v>#DIV/0!</v>
      </c>
      <c r="R25" s="18" t="e">
        <f>K25*100/E25</f>
        <v>#DIV/0!</v>
      </c>
      <c r="S25" s="18"/>
    </row>
    <row r="26" spans="1:19" ht="39" customHeight="1">
      <c r="A26" s="14" t="s">
        <v>66</v>
      </c>
      <c r="B26" s="70"/>
      <c r="C26" s="19" t="s">
        <v>63</v>
      </c>
      <c r="D26" s="71">
        <v>0</v>
      </c>
      <c r="E26" s="68">
        <f t="shared" si="6"/>
        <v>0</v>
      </c>
      <c r="F26" s="51"/>
      <c r="G26" s="71"/>
      <c r="H26" s="71"/>
      <c r="I26" s="18"/>
      <c r="J26" s="18"/>
      <c r="K26" s="18">
        <v>-6027.6</v>
      </c>
      <c r="L26" s="20" t="e">
        <f>K26/#REF!*100</f>
        <v>#REF!</v>
      </c>
      <c r="M26" s="20"/>
      <c r="N26" s="48"/>
      <c r="O26" s="48"/>
      <c r="P26" s="17" t="e">
        <f t="shared" si="2"/>
        <v>#DIV/0!</v>
      </c>
      <c r="Q26" s="20"/>
      <c r="R26" s="18"/>
      <c r="S26" s="18"/>
    </row>
    <row r="27" spans="1:19" ht="12.75">
      <c r="A27" s="21"/>
      <c r="B27" s="22"/>
      <c r="C27" s="23" t="s">
        <v>4</v>
      </c>
      <c r="D27" s="24">
        <f aca="true" t="shared" si="10" ref="D27:K27">D22+D8</f>
        <v>3483745.4</v>
      </c>
      <c r="E27" s="24">
        <f t="shared" si="10"/>
        <v>3489102</v>
      </c>
      <c r="F27" s="24">
        <f t="shared" si="10"/>
        <v>840580.1</v>
      </c>
      <c r="G27" s="24">
        <f t="shared" si="10"/>
        <v>840580.1</v>
      </c>
      <c r="H27" s="24">
        <f t="shared" si="10"/>
        <v>883897.7</v>
      </c>
      <c r="I27" s="24">
        <f t="shared" si="10"/>
        <v>857036.3</v>
      </c>
      <c r="J27" s="24">
        <f t="shared" si="10"/>
        <v>907587.9</v>
      </c>
      <c r="K27" s="24">
        <f t="shared" si="10"/>
        <v>233753.5</v>
      </c>
      <c r="L27" s="27" t="e">
        <f>K27/#REF!*100</f>
        <v>#REF!</v>
      </c>
      <c r="M27" s="27">
        <f t="shared" si="9"/>
        <v>27.274632358045974</v>
      </c>
      <c r="N27" s="48"/>
      <c r="O27" s="49" t="e">
        <f>J27+#REF!+#REF!</f>
        <v>#REF!</v>
      </c>
      <c r="P27" s="36">
        <f t="shared" si="2"/>
        <v>25.755466770766777</v>
      </c>
      <c r="Q27" s="27">
        <f t="shared" si="3"/>
        <v>27.808593137049044</v>
      </c>
      <c r="R27" s="24">
        <f t="shared" si="4"/>
        <v>6.699531856620987</v>
      </c>
      <c r="S27" s="24">
        <f t="shared" si="5"/>
        <v>6.709833043482455</v>
      </c>
    </row>
    <row r="28" spans="1:19" ht="12.7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48"/>
      <c r="O28" s="48"/>
      <c r="P28" s="47"/>
      <c r="Q28" s="27"/>
      <c r="R28" s="24"/>
      <c r="S28" s="18"/>
    </row>
    <row r="29" spans="1:19" ht="12.75">
      <c r="A29" s="93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6"/>
    </row>
    <row r="30" spans="1:19" ht="12.75">
      <c r="A30" s="25" t="s">
        <v>3</v>
      </c>
      <c r="B30" s="25"/>
      <c r="C30" s="26" t="s">
        <v>68</v>
      </c>
      <c r="D30" s="27">
        <f aca="true" t="shared" si="11" ref="D30:J30">D31+D33+D35+D37+D34+D36+D39+D32</f>
        <v>18979.500000000004</v>
      </c>
      <c r="E30" s="27">
        <f t="shared" si="11"/>
        <v>18979.500000000004</v>
      </c>
      <c r="F30" s="27">
        <f t="shared" si="11"/>
        <v>4744.8</v>
      </c>
      <c r="G30" s="27">
        <f t="shared" si="11"/>
        <v>4744.8</v>
      </c>
      <c r="H30" s="27">
        <f t="shared" si="11"/>
        <v>4744.900000000001</v>
      </c>
      <c r="I30" s="27">
        <f t="shared" si="11"/>
        <v>4744.900000000001</v>
      </c>
      <c r="J30" s="27">
        <f t="shared" si="11"/>
        <v>4744.900000000001</v>
      </c>
      <c r="K30" s="27">
        <f>K31+K33+K35+K37+K34+K36+K39+K32+K38</f>
        <v>1438.5</v>
      </c>
      <c r="L30" s="27" t="e">
        <f>K30/#REF!*100</f>
        <v>#REF!</v>
      </c>
      <c r="M30" s="27">
        <f aca="true" t="shared" si="12" ref="M30:M37">K30/I30*100</f>
        <v>30.316761154081224</v>
      </c>
      <c r="N30" s="48"/>
      <c r="O30" s="48"/>
      <c r="P30" s="27">
        <f t="shared" si="2"/>
        <v>30.31676115408122</v>
      </c>
      <c r="Q30" s="27">
        <f t="shared" si="3"/>
        <v>30.31740010116338</v>
      </c>
      <c r="R30" s="24">
        <f t="shared" si="4"/>
        <v>7.579230222081718</v>
      </c>
      <c r="S30" s="24">
        <f t="shared" si="5"/>
        <v>7.579230222081718</v>
      </c>
    </row>
    <row r="31" spans="1:19" ht="12.75">
      <c r="A31" s="12" t="s">
        <v>23</v>
      </c>
      <c r="B31" s="12"/>
      <c r="C31" s="66" t="s">
        <v>22</v>
      </c>
      <c r="D31" s="51">
        <v>13550</v>
      </c>
      <c r="E31" s="68">
        <f aca="true" t="shared" si="13" ref="E31:E37">G31+H31+I31+J31</f>
        <v>13550</v>
      </c>
      <c r="F31" s="51">
        <f aca="true" t="shared" si="14" ref="F31:F42">G31</f>
        <v>3387.5</v>
      </c>
      <c r="G31" s="51">
        <v>3387.5</v>
      </c>
      <c r="H31" s="51">
        <v>3387.5</v>
      </c>
      <c r="I31" s="17">
        <v>3387.5</v>
      </c>
      <c r="J31" s="18">
        <v>3387.5</v>
      </c>
      <c r="K31" s="67">
        <v>1064.6</v>
      </c>
      <c r="L31" s="20" t="e">
        <f>K31/#REF!*100</f>
        <v>#REF!</v>
      </c>
      <c r="M31" s="20">
        <f t="shared" si="12"/>
        <v>31.427306273062726</v>
      </c>
      <c r="N31" s="48"/>
      <c r="O31" s="48"/>
      <c r="P31" s="17">
        <f t="shared" si="2"/>
        <v>31.427306273062726</v>
      </c>
      <c r="Q31" s="20">
        <f>K31*100/F31</f>
        <v>31.427306273062726</v>
      </c>
      <c r="R31" s="18">
        <f t="shared" si="4"/>
        <v>7.8568265682656815</v>
      </c>
      <c r="S31" s="18">
        <f t="shared" si="5"/>
        <v>7.8568265682656815</v>
      </c>
    </row>
    <row r="32" spans="1:19" ht="12.75">
      <c r="A32" s="12" t="s">
        <v>70</v>
      </c>
      <c r="B32" s="12"/>
      <c r="C32" s="28" t="s">
        <v>71</v>
      </c>
      <c r="D32" s="68">
        <v>1549.2</v>
      </c>
      <c r="E32" s="68">
        <f t="shared" si="13"/>
        <v>1549.2</v>
      </c>
      <c r="F32" s="51">
        <f t="shared" si="14"/>
        <v>387.3</v>
      </c>
      <c r="G32" s="51">
        <v>387.3</v>
      </c>
      <c r="H32" s="51">
        <v>387.3</v>
      </c>
      <c r="I32" s="17">
        <v>387.3</v>
      </c>
      <c r="J32" s="18">
        <v>387.3</v>
      </c>
      <c r="K32" s="67">
        <v>160.2</v>
      </c>
      <c r="L32" s="20"/>
      <c r="M32" s="20"/>
      <c r="N32" s="48"/>
      <c r="O32" s="48"/>
      <c r="P32" s="17"/>
      <c r="Q32" s="20">
        <f>K32*100/F32</f>
        <v>41.36328427575522</v>
      </c>
      <c r="R32" s="18">
        <f>K32*100/E32</f>
        <v>10.340821068938805</v>
      </c>
      <c r="S32" s="18">
        <f t="shared" si="5"/>
        <v>10.340821068938805</v>
      </c>
    </row>
    <row r="33" spans="1:19" ht="12.75">
      <c r="A33" s="12" t="s">
        <v>9</v>
      </c>
      <c r="B33" s="12"/>
      <c r="C33" s="28" t="s">
        <v>6</v>
      </c>
      <c r="D33" s="68">
        <v>900</v>
      </c>
      <c r="E33" s="68">
        <f t="shared" si="13"/>
        <v>900</v>
      </c>
      <c r="F33" s="51">
        <f t="shared" si="14"/>
        <v>225</v>
      </c>
      <c r="G33" s="68">
        <v>225</v>
      </c>
      <c r="H33" s="68">
        <v>225</v>
      </c>
      <c r="I33" s="17">
        <v>225</v>
      </c>
      <c r="J33" s="18">
        <v>225</v>
      </c>
      <c r="K33" s="18">
        <v>77.4</v>
      </c>
      <c r="L33" s="20" t="e">
        <f>K33/#REF!*100</f>
        <v>#REF!</v>
      </c>
      <c r="M33" s="20">
        <f t="shared" si="12"/>
        <v>34.400000000000006</v>
      </c>
      <c r="N33" s="48"/>
      <c r="O33" s="48"/>
      <c r="P33" s="17">
        <f t="shared" si="2"/>
        <v>34.400000000000006</v>
      </c>
      <c r="Q33" s="20">
        <f t="shared" si="3"/>
        <v>34.400000000000006</v>
      </c>
      <c r="R33" s="18">
        <f t="shared" si="4"/>
        <v>8.600000000000001</v>
      </c>
      <c r="S33" s="18">
        <f t="shared" si="5"/>
        <v>8.600000000000001</v>
      </c>
    </row>
    <row r="34" spans="1:19" ht="12.75">
      <c r="A34" s="12" t="s">
        <v>10</v>
      </c>
      <c r="B34" s="12"/>
      <c r="C34" s="28" t="s">
        <v>21</v>
      </c>
      <c r="D34" s="68">
        <v>24.7</v>
      </c>
      <c r="E34" s="68">
        <f t="shared" si="13"/>
        <v>24.700000000000003</v>
      </c>
      <c r="F34" s="51">
        <f t="shared" si="14"/>
        <v>6.2</v>
      </c>
      <c r="G34" s="68">
        <v>6.2</v>
      </c>
      <c r="H34" s="68">
        <v>6.2</v>
      </c>
      <c r="I34" s="17">
        <v>6.2</v>
      </c>
      <c r="J34" s="18">
        <v>6.1</v>
      </c>
      <c r="K34" s="18">
        <v>3</v>
      </c>
      <c r="L34" s="20" t="e">
        <f>K34/#REF!*100</f>
        <v>#REF!</v>
      </c>
      <c r="M34" s="20">
        <f t="shared" si="12"/>
        <v>48.387096774193544</v>
      </c>
      <c r="N34" s="48"/>
      <c r="O34" s="48"/>
      <c r="P34" s="17">
        <f t="shared" si="2"/>
        <v>49.18032786885246</v>
      </c>
      <c r="Q34" s="20">
        <f t="shared" si="3"/>
        <v>48.387096774193544</v>
      </c>
      <c r="R34" s="18">
        <f t="shared" si="4"/>
        <v>12.14574898785425</v>
      </c>
      <c r="S34" s="18">
        <f t="shared" si="5"/>
        <v>12.145748987854251</v>
      </c>
    </row>
    <row r="35" spans="1:19" ht="22.5">
      <c r="A35" s="13" t="s">
        <v>11</v>
      </c>
      <c r="B35" s="13"/>
      <c r="C35" s="28" t="s">
        <v>17</v>
      </c>
      <c r="D35" s="68">
        <v>2015.2</v>
      </c>
      <c r="E35" s="68">
        <f t="shared" si="13"/>
        <v>2015.2</v>
      </c>
      <c r="F35" s="51">
        <f t="shared" si="14"/>
        <v>503.8</v>
      </c>
      <c r="G35" s="68">
        <v>503.8</v>
      </c>
      <c r="H35" s="68">
        <v>503.8</v>
      </c>
      <c r="I35" s="17">
        <v>503.8</v>
      </c>
      <c r="J35" s="18">
        <v>503.8</v>
      </c>
      <c r="K35" s="18">
        <v>22.3</v>
      </c>
      <c r="L35" s="20" t="e">
        <f>K35/#REF!*100</f>
        <v>#REF!</v>
      </c>
      <c r="M35" s="20">
        <f t="shared" si="12"/>
        <v>4.426359666534339</v>
      </c>
      <c r="N35" s="48"/>
      <c r="O35" s="48"/>
      <c r="P35" s="17">
        <f t="shared" si="2"/>
        <v>4.4263596665343385</v>
      </c>
      <c r="Q35" s="20">
        <f t="shared" si="3"/>
        <v>4.4263596665343385</v>
      </c>
      <c r="R35" s="18">
        <f t="shared" si="4"/>
        <v>1.1065899166335846</v>
      </c>
      <c r="S35" s="18">
        <f t="shared" si="5"/>
        <v>1.1065899166335846</v>
      </c>
    </row>
    <row r="36" spans="1:19" ht="15" customHeight="1">
      <c r="A36" s="30" t="s">
        <v>42</v>
      </c>
      <c r="B36" s="30"/>
      <c r="C36" s="28" t="s">
        <v>43</v>
      </c>
      <c r="D36" s="68">
        <v>755.9</v>
      </c>
      <c r="E36" s="68">
        <f t="shared" si="13"/>
        <v>755.9</v>
      </c>
      <c r="F36" s="51">
        <f t="shared" si="14"/>
        <v>188.9</v>
      </c>
      <c r="G36" s="68">
        <v>188.9</v>
      </c>
      <c r="H36" s="68">
        <v>189</v>
      </c>
      <c r="I36" s="17">
        <v>189</v>
      </c>
      <c r="J36" s="18">
        <v>189</v>
      </c>
      <c r="K36" s="18">
        <v>111</v>
      </c>
      <c r="L36" s="20"/>
      <c r="M36" s="20">
        <f t="shared" si="12"/>
        <v>58.730158730158735</v>
      </c>
      <c r="N36" s="48"/>
      <c r="O36" s="48"/>
      <c r="P36" s="17">
        <f t="shared" si="2"/>
        <v>58.73015873015873</v>
      </c>
      <c r="Q36" s="20">
        <f t="shared" si="3"/>
        <v>58.76124933827422</v>
      </c>
      <c r="R36" s="18">
        <f t="shared" si="4"/>
        <v>14.684482074348459</v>
      </c>
      <c r="S36" s="18">
        <f t="shared" si="5"/>
        <v>14.684482074348459</v>
      </c>
    </row>
    <row r="37" spans="1:19" ht="14.25" customHeight="1">
      <c r="A37" s="29" t="s">
        <v>18</v>
      </c>
      <c r="B37" s="29"/>
      <c r="C37" s="28" t="s">
        <v>15</v>
      </c>
      <c r="D37" s="68">
        <v>184.5</v>
      </c>
      <c r="E37" s="68">
        <f t="shared" si="13"/>
        <v>184.5</v>
      </c>
      <c r="F37" s="51">
        <f t="shared" si="14"/>
        <v>46.1</v>
      </c>
      <c r="G37" s="68">
        <v>46.1</v>
      </c>
      <c r="H37" s="68">
        <v>46.1</v>
      </c>
      <c r="I37" s="17">
        <v>46.1</v>
      </c>
      <c r="J37" s="18">
        <v>46.2</v>
      </c>
      <c r="K37" s="18"/>
      <c r="L37" s="20" t="e">
        <f>K37/#REF!*100</f>
        <v>#REF!</v>
      </c>
      <c r="M37" s="20">
        <f t="shared" si="12"/>
        <v>0</v>
      </c>
      <c r="N37" s="48"/>
      <c r="O37" s="48"/>
      <c r="P37" s="17">
        <f t="shared" si="2"/>
        <v>0</v>
      </c>
      <c r="Q37" s="20">
        <f t="shared" si="3"/>
        <v>0</v>
      </c>
      <c r="R37" s="18">
        <f t="shared" si="4"/>
        <v>0</v>
      </c>
      <c r="S37" s="18">
        <f t="shared" si="5"/>
        <v>0</v>
      </c>
    </row>
    <row r="38" spans="1:19" ht="14.25" customHeight="1">
      <c r="A38" s="21" t="s">
        <v>12</v>
      </c>
      <c r="B38" s="54"/>
      <c r="C38" s="28" t="s">
        <v>7</v>
      </c>
      <c r="D38" s="72"/>
      <c r="E38" s="68"/>
      <c r="F38" s="51">
        <f t="shared" si="14"/>
        <v>0</v>
      </c>
      <c r="G38" s="68"/>
      <c r="H38" s="68"/>
      <c r="I38" s="17"/>
      <c r="J38" s="18"/>
      <c r="K38" s="18"/>
      <c r="L38" s="20"/>
      <c r="M38" s="20"/>
      <c r="N38" s="48"/>
      <c r="O38" s="48"/>
      <c r="P38" s="17"/>
      <c r="Q38" s="20"/>
      <c r="R38" s="18"/>
      <c r="S38" s="18"/>
    </row>
    <row r="39" spans="1:19" ht="15.75" customHeight="1">
      <c r="A39" s="31" t="s">
        <v>39</v>
      </c>
      <c r="B39" s="52"/>
      <c r="C39" s="16" t="s">
        <v>40</v>
      </c>
      <c r="D39" s="72"/>
      <c r="E39" s="28"/>
      <c r="F39" s="51">
        <f t="shared" si="14"/>
        <v>0</v>
      </c>
      <c r="G39" s="68"/>
      <c r="H39" s="68"/>
      <c r="I39" s="17"/>
      <c r="J39" s="18"/>
      <c r="K39" s="18"/>
      <c r="L39" s="20"/>
      <c r="M39" s="20"/>
      <c r="N39" s="48"/>
      <c r="O39" s="48"/>
      <c r="P39" s="17" t="e">
        <f t="shared" si="2"/>
        <v>#DIV/0!</v>
      </c>
      <c r="Q39" s="27"/>
      <c r="R39" s="24"/>
      <c r="S39" s="18"/>
    </row>
    <row r="40" spans="1:19" ht="12.75">
      <c r="A40" s="25" t="s">
        <v>1</v>
      </c>
      <c r="B40" s="25"/>
      <c r="C40" s="32" t="s">
        <v>0</v>
      </c>
      <c r="D40" s="33">
        <f>D41+D42</f>
        <v>11863.2</v>
      </c>
      <c r="E40" s="33">
        <f>E41+E42</f>
        <v>11863.2</v>
      </c>
      <c r="F40" s="33">
        <f aca="true" t="shared" si="15" ref="F40:K40">F41+F42</f>
        <v>2965.8</v>
      </c>
      <c r="G40" s="33">
        <f t="shared" si="15"/>
        <v>2965.8</v>
      </c>
      <c r="H40" s="33">
        <f t="shared" si="15"/>
        <v>2965.8</v>
      </c>
      <c r="I40" s="33">
        <f t="shared" si="15"/>
        <v>2965.8</v>
      </c>
      <c r="J40" s="33">
        <f t="shared" si="15"/>
        <v>2965.8</v>
      </c>
      <c r="K40" s="33">
        <f t="shared" si="15"/>
        <v>177.7</v>
      </c>
      <c r="L40" s="33" t="e">
        <f>L41</f>
        <v>#REF!</v>
      </c>
      <c r="M40" s="27">
        <f>K40/I40*100</f>
        <v>5.991638006608672</v>
      </c>
      <c r="N40" s="48"/>
      <c r="O40" s="48"/>
      <c r="P40" s="36">
        <f t="shared" si="2"/>
        <v>5.991638006608672</v>
      </c>
      <c r="Q40" s="27">
        <f t="shared" si="3"/>
        <v>5.991638006608672</v>
      </c>
      <c r="R40" s="24">
        <f t="shared" si="4"/>
        <v>1.497909501652168</v>
      </c>
      <c r="S40" s="24">
        <f t="shared" si="5"/>
        <v>1.497909501652168</v>
      </c>
    </row>
    <row r="41" spans="1:19" ht="22.5">
      <c r="A41" s="14" t="s">
        <v>67</v>
      </c>
      <c r="B41" s="12"/>
      <c r="C41" s="34" t="s">
        <v>20</v>
      </c>
      <c r="D41" s="37">
        <v>11863.2</v>
      </c>
      <c r="E41" s="68">
        <f>G41+H41+I41+J41</f>
        <v>11863.2</v>
      </c>
      <c r="F41" s="51">
        <f t="shared" si="14"/>
        <v>2965.8</v>
      </c>
      <c r="G41" s="37">
        <v>2965.8</v>
      </c>
      <c r="H41" s="37">
        <v>2965.8</v>
      </c>
      <c r="I41" s="17">
        <v>2965.8</v>
      </c>
      <c r="J41" s="37">
        <v>2965.8</v>
      </c>
      <c r="K41" s="18">
        <v>177.7</v>
      </c>
      <c r="L41" s="20" t="e">
        <f>K41/#REF!*100</f>
        <v>#REF!</v>
      </c>
      <c r="M41" s="20">
        <f>K41/I41*100</f>
        <v>5.991638006608672</v>
      </c>
      <c r="N41" s="48"/>
      <c r="O41" s="48"/>
      <c r="P41" s="17">
        <f t="shared" si="2"/>
        <v>5.991638006608672</v>
      </c>
      <c r="Q41" s="20">
        <f t="shared" si="3"/>
        <v>5.991638006608672</v>
      </c>
      <c r="R41" s="18">
        <f t="shared" si="4"/>
        <v>1.497909501652168</v>
      </c>
      <c r="S41" s="18">
        <f t="shared" si="5"/>
        <v>1.497909501652168</v>
      </c>
    </row>
    <row r="42" spans="1:19" ht="40.5" customHeight="1" hidden="1">
      <c r="A42" s="14" t="s">
        <v>66</v>
      </c>
      <c r="B42" s="70"/>
      <c r="C42" s="19" t="s">
        <v>63</v>
      </c>
      <c r="D42" s="71">
        <v>0</v>
      </c>
      <c r="E42" s="68">
        <f>G42+H42+I42+J42</f>
        <v>0</v>
      </c>
      <c r="F42" s="51">
        <f t="shared" si="14"/>
        <v>0</v>
      </c>
      <c r="G42" s="37"/>
      <c r="H42" s="37"/>
      <c r="I42" s="17"/>
      <c r="J42" s="37"/>
      <c r="K42" s="18"/>
      <c r="L42" s="20"/>
      <c r="M42" s="20"/>
      <c r="N42" s="48"/>
      <c r="O42" s="48"/>
      <c r="P42" s="17"/>
      <c r="Q42" s="20" t="e">
        <f t="shared" si="3"/>
        <v>#DIV/0!</v>
      </c>
      <c r="R42" s="18" t="e">
        <f t="shared" si="4"/>
        <v>#DIV/0!</v>
      </c>
      <c r="S42" s="18"/>
    </row>
    <row r="43" spans="1:19" ht="12.75">
      <c r="A43" s="21"/>
      <c r="B43" s="22"/>
      <c r="C43" s="23" t="s">
        <v>4</v>
      </c>
      <c r="D43" s="24">
        <f aca="true" t="shared" si="16" ref="D43:J43">D40+D30</f>
        <v>30842.700000000004</v>
      </c>
      <c r="E43" s="24">
        <f t="shared" si="16"/>
        <v>30842.700000000004</v>
      </c>
      <c r="F43" s="24">
        <f t="shared" si="16"/>
        <v>7710.6</v>
      </c>
      <c r="G43" s="24">
        <f t="shared" si="16"/>
        <v>7710.6</v>
      </c>
      <c r="H43" s="24">
        <f t="shared" si="16"/>
        <v>7710.700000000001</v>
      </c>
      <c r="I43" s="24">
        <f t="shared" si="16"/>
        <v>7710.700000000001</v>
      </c>
      <c r="J43" s="24">
        <f t="shared" si="16"/>
        <v>7710.700000000001</v>
      </c>
      <c r="K43" s="24">
        <f>K40+K30</f>
        <v>1616.2</v>
      </c>
      <c r="L43" s="27" t="e">
        <f>K43/#REF!*100</f>
        <v>#REF!</v>
      </c>
      <c r="M43" s="27">
        <f>K43/I43*100</f>
        <v>20.960483483989776</v>
      </c>
      <c r="N43" s="48"/>
      <c r="O43" s="49" t="e">
        <f>J43+#REF!+#REF!</f>
        <v>#REF!</v>
      </c>
      <c r="P43" s="36">
        <f t="shared" si="2"/>
        <v>20.96048348398978</v>
      </c>
      <c r="Q43" s="27">
        <f t="shared" si="3"/>
        <v>20.96075532383991</v>
      </c>
      <c r="R43" s="24">
        <f t="shared" si="4"/>
        <v>5.24013786082282</v>
      </c>
      <c r="S43" s="24">
        <f t="shared" si="5"/>
        <v>5.24013786082282</v>
      </c>
    </row>
    <row r="44" spans="1:19" ht="12.75">
      <c r="A44" s="73"/>
      <c r="B44" s="74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48"/>
      <c r="O44" s="48"/>
      <c r="P44" s="47"/>
      <c r="Q44" s="27"/>
      <c r="R44" s="24"/>
      <c r="S44" s="18"/>
    </row>
    <row r="45" spans="1:19" ht="12.75">
      <c r="A45" s="93" t="s">
        <v>26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6"/>
    </row>
    <row r="46" spans="1:19" ht="12.75">
      <c r="A46" s="25" t="s">
        <v>3</v>
      </c>
      <c r="B46" s="25"/>
      <c r="C46" s="26" t="s">
        <v>68</v>
      </c>
      <c r="D46" s="27">
        <f>D47+D50+D52+D54+D55+D56+D51+D49+D48+D53</f>
        <v>19673.7</v>
      </c>
      <c r="E46" s="27">
        <f>E47+E50+E52+E54+E55+E56+E51+E49+E48+E53</f>
        <v>19673.7</v>
      </c>
      <c r="F46" s="27">
        <f aca="true" t="shared" si="17" ref="F46:K46">F47+F50+F52+F54+F55+F56+F51+F49+F48+F53</f>
        <v>4372.2</v>
      </c>
      <c r="G46" s="27">
        <f t="shared" si="17"/>
        <v>4372.2</v>
      </c>
      <c r="H46" s="27">
        <f t="shared" si="17"/>
        <v>4562.1</v>
      </c>
      <c r="I46" s="27">
        <f t="shared" si="17"/>
        <v>4519.2</v>
      </c>
      <c r="J46" s="27">
        <f t="shared" si="17"/>
        <v>6220.2</v>
      </c>
      <c r="K46" s="27">
        <f t="shared" si="17"/>
        <v>2125.9</v>
      </c>
      <c r="L46" s="27" t="e">
        <f>K46/#REF!*100</f>
        <v>#REF!</v>
      </c>
      <c r="M46" s="27">
        <f>K46/I46*100</f>
        <v>47.04151177199505</v>
      </c>
      <c r="N46" s="48"/>
      <c r="O46" s="48"/>
      <c r="P46" s="27">
        <f t="shared" si="2"/>
        <v>34.1773576412334</v>
      </c>
      <c r="Q46" s="27">
        <f t="shared" si="3"/>
        <v>48.62311879602946</v>
      </c>
      <c r="R46" s="24">
        <f t="shared" si="4"/>
        <v>10.805796571056792</v>
      </c>
      <c r="S46" s="24">
        <f t="shared" si="5"/>
        <v>10.805796571056792</v>
      </c>
    </row>
    <row r="47" spans="1:19" ht="12.75">
      <c r="A47" s="21" t="s">
        <v>23</v>
      </c>
      <c r="B47" s="12"/>
      <c r="C47" s="66" t="s">
        <v>22</v>
      </c>
      <c r="D47" s="51">
        <v>12400</v>
      </c>
      <c r="E47" s="68">
        <f aca="true" t="shared" si="18" ref="E47:E60">G47+H47+I47+J47</f>
        <v>12400</v>
      </c>
      <c r="F47" s="51">
        <f aca="true" t="shared" si="19" ref="F47:F58">G47</f>
        <v>2818.5</v>
      </c>
      <c r="G47" s="68">
        <v>2818.5</v>
      </c>
      <c r="H47" s="68">
        <v>3024.8</v>
      </c>
      <c r="I47" s="17">
        <v>3024.7</v>
      </c>
      <c r="J47" s="18">
        <v>3532</v>
      </c>
      <c r="K47" s="67">
        <v>936.5</v>
      </c>
      <c r="L47" s="20" t="e">
        <f>K47/#REF!*100</f>
        <v>#REF!</v>
      </c>
      <c r="M47" s="20">
        <f>K47/I47*100</f>
        <v>30.961748272555955</v>
      </c>
      <c r="N47" s="48"/>
      <c r="O47" s="48"/>
      <c r="P47" s="17">
        <f t="shared" si="2"/>
        <v>26.514722536806342</v>
      </c>
      <c r="Q47" s="20">
        <f t="shared" si="3"/>
        <v>33.2268937378038</v>
      </c>
      <c r="R47" s="18">
        <f t="shared" si="4"/>
        <v>7.55241935483871</v>
      </c>
      <c r="S47" s="18">
        <f t="shared" si="5"/>
        <v>7.55241935483871</v>
      </c>
    </row>
    <row r="48" spans="1:19" ht="12.75">
      <c r="A48" s="12" t="s">
        <v>70</v>
      </c>
      <c r="B48" s="12"/>
      <c r="C48" s="28" t="s">
        <v>71</v>
      </c>
      <c r="D48" s="68">
        <v>3758.4</v>
      </c>
      <c r="E48" s="68">
        <f t="shared" si="18"/>
        <v>3758.4</v>
      </c>
      <c r="F48" s="51">
        <f t="shared" si="19"/>
        <v>939.1</v>
      </c>
      <c r="G48" s="68">
        <v>939.1</v>
      </c>
      <c r="H48" s="68">
        <v>939.7</v>
      </c>
      <c r="I48" s="17">
        <v>939.7</v>
      </c>
      <c r="J48" s="18">
        <v>939.9</v>
      </c>
      <c r="K48" s="67">
        <v>388.6</v>
      </c>
      <c r="L48" s="20"/>
      <c r="M48" s="20"/>
      <c r="N48" s="48"/>
      <c r="O48" s="48"/>
      <c r="P48" s="17"/>
      <c r="Q48" s="20">
        <f>K48*100/F48</f>
        <v>41.3800447236716</v>
      </c>
      <c r="R48" s="18">
        <f>K48*100/E48</f>
        <v>10.339506172839506</v>
      </c>
      <c r="S48" s="18">
        <f t="shared" si="5"/>
        <v>10.339506172839506</v>
      </c>
    </row>
    <row r="49" spans="1:19" ht="12.75">
      <c r="A49" s="12" t="s">
        <v>8</v>
      </c>
      <c r="B49" s="12"/>
      <c r="C49" s="28" t="s">
        <v>5</v>
      </c>
      <c r="D49" s="68">
        <v>11</v>
      </c>
      <c r="E49" s="68">
        <f t="shared" si="18"/>
        <v>11</v>
      </c>
      <c r="F49" s="51">
        <f t="shared" si="19"/>
        <v>11</v>
      </c>
      <c r="G49" s="68">
        <v>11</v>
      </c>
      <c r="H49" s="68"/>
      <c r="I49" s="17"/>
      <c r="J49" s="18"/>
      <c r="K49" s="67"/>
      <c r="L49" s="20" t="e">
        <f>K49/#REF!*100</f>
        <v>#REF!</v>
      </c>
      <c r="M49" s="20" t="e">
        <f>K49/I49*100</f>
        <v>#DIV/0!</v>
      </c>
      <c r="N49" s="48"/>
      <c r="O49" s="48"/>
      <c r="P49" s="17" t="e">
        <f t="shared" si="2"/>
        <v>#DIV/0!</v>
      </c>
      <c r="Q49" s="20">
        <f t="shared" si="3"/>
        <v>0</v>
      </c>
      <c r="R49" s="18">
        <f t="shared" si="4"/>
        <v>0</v>
      </c>
      <c r="S49" s="18">
        <f t="shared" si="5"/>
        <v>0</v>
      </c>
    </row>
    <row r="50" spans="1:19" ht="14.25" customHeight="1">
      <c r="A50" s="12" t="s">
        <v>9</v>
      </c>
      <c r="B50" s="12"/>
      <c r="C50" s="28" t="s">
        <v>6</v>
      </c>
      <c r="D50" s="68">
        <v>2372.7</v>
      </c>
      <c r="E50" s="68">
        <f t="shared" si="18"/>
        <v>2372.7</v>
      </c>
      <c r="F50" s="51">
        <f t="shared" si="19"/>
        <v>376</v>
      </c>
      <c r="G50" s="68">
        <v>376</v>
      </c>
      <c r="H50" s="68">
        <v>297.7</v>
      </c>
      <c r="I50" s="17">
        <v>255</v>
      </c>
      <c r="J50" s="18">
        <v>1444</v>
      </c>
      <c r="K50" s="18">
        <v>676.5</v>
      </c>
      <c r="L50" s="20" t="e">
        <f>K50/#REF!*100</f>
        <v>#REF!</v>
      </c>
      <c r="M50" s="20">
        <f>K50/I50*100</f>
        <v>265.29411764705884</v>
      </c>
      <c r="N50" s="48"/>
      <c r="O50" s="48"/>
      <c r="P50" s="17">
        <f t="shared" si="2"/>
        <v>46.84903047091413</v>
      </c>
      <c r="Q50" s="20">
        <f t="shared" si="3"/>
        <v>179.92021276595744</v>
      </c>
      <c r="R50" s="18">
        <f t="shared" si="4"/>
        <v>28.511821974965233</v>
      </c>
      <c r="S50" s="18">
        <f t="shared" si="5"/>
        <v>28.511821974965233</v>
      </c>
    </row>
    <row r="51" spans="1:19" ht="18" customHeight="1" hidden="1">
      <c r="A51" s="12" t="s">
        <v>10</v>
      </c>
      <c r="B51" s="12"/>
      <c r="C51" s="28" t="s">
        <v>21</v>
      </c>
      <c r="D51" s="68"/>
      <c r="E51" s="68">
        <f t="shared" si="18"/>
        <v>0</v>
      </c>
      <c r="F51" s="51">
        <f t="shared" si="19"/>
        <v>0</v>
      </c>
      <c r="G51" s="68"/>
      <c r="H51" s="68"/>
      <c r="I51" s="17"/>
      <c r="J51" s="18"/>
      <c r="K51" s="18"/>
      <c r="L51" s="20"/>
      <c r="M51" s="20"/>
      <c r="N51" s="48"/>
      <c r="O51" s="48"/>
      <c r="P51" s="17" t="e">
        <f t="shared" si="2"/>
        <v>#DIV/0!</v>
      </c>
      <c r="Q51" s="20" t="e">
        <f t="shared" si="3"/>
        <v>#DIV/0!</v>
      </c>
      <c r="R51" s="18" t="e">
        <f t="shared" si="4"/>
        <v>#DIV/0!</v>
      </c>
      <c r="S51" s="18" t="e">
        <f t="shared" si="5"/>
        <v>#DIV/0!</v>
      </c>
    </row>
    <row r="52" spans="1:19" ht="22.5">
      <c r="A52" s="13" t="s">
        <v>11</v>
      </c>
      <c r="B52" s="13"/>
      <c r="C52" s="28" t="s">
        <v>17</v>
      </c>
      <c r="D52" s="68">
        <v>979</v>
      </c>
      <c r="E52" s="68">
        <f t="shared" si="18"/>
        <v>979</v>
      </c>
      <c r="F52" s="51">
        <f t="shared" si="19"/>
        <v>212.6</v>
      </c>
      <c r="G52" s="68">
        <v>212.6</v>
      </c>
      <c r="H52" s="68">
        <v>254.9</v>
      </c>
      <c r="I52" s="17">
        <v>254.8</v>
      </c>
      <c r="J52" s="18">
        <v>256.7</v>
      </c>
      <c r="K52" s="18">
        <v>32.4</v>
      </c>
      <c r="L52" s="20" t="e">
        <f>K52/#REF!*100</f>
        <v>#REF!</v>
      </c>
      <c r="M52" s="20">
        <f>K52/I52*100</f>
        <v>12.71585557299843</v>
      </c>
      <c r="N52" s="48"/>
      <c r="O52" s="48"/>
      <c r="P52" s="17">
        <f t="shared" si="2"/>
        <v>12.621737436696533</v>
      </c>
      <c r="Q52" s="20">
        <f t="shared" si="3"/>
        <v>15.239887111947318</v>
      </c>
      <c r="R52" s="18">
        <f t="shared" si="4"/>
        <v>3.3094994892747702</v>
      </c>
      <c r="S52" s="18">
        <f t="shared" si="5"/>
        <v>3.3094994892747702</v>
      </c>
    </row>
    <row r="53" spans="1:19" ht="22.5" hidden="1">
      <c r="A53" s="30" t="s">
        <v>42</v>
      </c>
      <c r="B53" s="30"/>
      <c r="C53" s="28" t="s">
        <v>43</v>
      </c>
      <c r="D53" s="68"/>
      <c r="E53" s="68"/>
      <c r="F53" s="51">
        <f t="shared" si="19"/>
        <v>0</v>
      </c>
      <c r="G53" s="68"/>
      <c r="H53" s="68"/>
      <c r="I53" s="17"/>
      <c r="J53" s="18"/>
      <c r="K53" s="18"/>
      <c r="L53" s="20"/>
      <c r="M53" s="20"/>
      <c r="N53" s="48"/>
      <c r="O53" s="48"/>
      <c r="P53" s="17"/>
      <c r="Q53" s="20"/>
      <c r="R53" s="18"/>
      <c r="S53" s="18"/>
    </row>
    <row r="54" spans="1:19" ht="22.5">
      <c r="A54" s="30" t="s">
        <v>18</v>
      </c>
      <c r="B54" s="30"/>
      <c r="C54" s="28" t="s">
        <v>15</v>
      </c>
      <c r="D54" s="68">
        <v>150</v>
      </c>
      <c r="E54" s="68">
        <f t="shared" si="18"/>
        <v>150</v>
      </c>
      <c r="F54" s="51">
        <f t="shared" si="19"/>
        <v>15</v>
      </c>
      <c r="G54" s="68">
        <v>15</v>
      </c>
      <c r="H54" s="68">
        <v>45</v>
      </c>
      <c r="I54" s="17">
        <v>45</v>
      </c>
      <c r="J54" s="18">
        <v>45</v>
      </c>
      <c r="K54" s="18"/>
      <c r="L54" s="20" t="e">
        <f>K54/#REF!*100</f>
        <v>#REF!</v>
      </c>
      <c r="M54" s="20">
        <f>K54/I54*100</f>
        <v>0</v>
      </c>
      <c r="N54" s="48"/>
      <c r="O54" s="48"/>
      <c r="P54" s="17">
        <f t="shared" si="2"/>
        <v>0</v>
      </c>
      <c r="Q54" s="20">
        <f t="shared" si="3"/>
        <v>0</v>
      </c>
      <c r="R54" s="18">
        <f t="shared" si="4"/>
        <v>0</v>
      </c>
      <c r="S54" s="18">
        <f t="shared" si="5"/>
        <v>0</v>
      </c>
    </row>
    <row r="55" spans="1:19" ht="16.5" customHeight="1">
      <c r="A55" s="21" t="s">
        <v>12</v>
      </c>
      <c r="B55" s="21"/>
      <c r="C55" s="28" t="s">
        <v>7</v>
      </c>
      <c r="D55" s="68">
        <v>2.6</v>
      </c>
      <c r="E55" s="68">
        <f t="shared" si="18"/>
        <v>2.6</v>
      </c>
      <c r="F55" s="51">
        <f t="shared" si="19"/>
        <v>0</v>
      </c>
      <c r="G55" s="68"/>
      <c r="H55" s="68"/>
      <c r="I55" s="17"/>
      <c r="J55" s="18">
        <v>2.6</v>
      </c>
      <c r="K55" s="18"/>
      <c r="L55" s="20" t="e">
        <f>K55/#REF!*100</f>
        <v>#REF!</v>
      </c>
      <c r="M55" s="20"/>
      <c r="N55" s="48"/>
      <c r="O55" s="48"/>
      <c r="P55" s="17">
        <f t="shared" si="2"/>
        <v>0</v>
      </c>
      <c r="Q55" s="20"/>
      <c r="R55" s="18">
        <f t="shared" si="4"/>
        <v>0</v>
      </c>
      <c r="S55" s="18">
        <f t="shared" si="5"/>
        <v>0</v>
      </c>
    </row>
    <row r="56" spans="1:19" ht="14.25" customHeight="1">
      <c r="A56" s="53" t="s">
        <v>39</v>
      </c>
      <c r="B56" s="52"/>
      <c r="C56" s="16" t="s">
        <v>40</v>
      </c>
      <c r="D56" s="68"/>
      <c r="E56" s="68">
        <f t="shared" si="18"/>
        <v>0</v>
      </c>
      <c r="F56" s="51">
        <f t="shared" si="19"/>
        <v>0</v>
      </c>
      <c r="G56" s="68"/>
      <c r="H56" s="68"/>
      <c r="I56" s="17"/>
      <c r="J56" s="18"/>
      <c r="K56" s="18">
        <v>91.9</v>
      </c>
      <c r="L56" s="20"/>
      <c r="M56" s="20"/>
      <c r="N56" s="48"/>
      <c r="O56" s="48"/>
      <c r="P56" s="17" t="e">
        <f t="shared" si="2"/>
        <v>#DIV/0!</v>
      </c>
      <c r="Q56" s="20"/>
      <c r="R56" s="18"/>
      <c r="S56" s="18"/>
    </row>
    <row r="57" spans="1:19" ht="12.75">
      <c r="A57" s="63" t="s">
        <v>1</v>
      </c>
      <c r="B57" s="63"/>
      <c r="C57" s="32" t="s">
        <v>0</v>
      </c>
      <c r="D57" s="33">
        <f>D58+D60+D59</f>
        <v>11753.4</v>
      </c>
      <c r="E57" s="33">
        <f>E58+E60+E59</f>
        <v>11753.400000000001</v>
      </c>
      <c r="F57" s="33">
        <f aca="true" t="shared" si="20" ref="F57:P57">F58+F60+F59</f>
        <v>2908.9</v>
      </c>
      <c r="G57" s="33">
        <f t="shared" si="20"/>
        <v>2908.9</v>
      </c>
      <c r="H57" s="33">
        <f t="shared" si="20"/>
        <v>2948.2</v>
      </c>
      <c r="I57" s="33">
        <f t="shared" si="20"/>
        <v>2948.1</v>
      </c>
      <c r="J57" s="33">
        <f t="shared" si="20"/>
        <v>2948.2</v>
      </c>
      <c r="K57" s="33">
        <f t="shared" si="20"/>
        <v>408.4</v>
      </c>
      <c r="L57" s="33" t="e">
        <f t="shared" si="20"/>
        <v>#REF!</v>
      </c>
      <c r="M57" s="33">
        <f t="shared" si="20"/>
        <v>13.852990061395476</v>
      </c>
      <c r="N57" s="33">
        <f t="shared" si="20"/>
        <v>0.1</v>
      </c>
      <c r="O57" s="33">
        <f t="shared" si="20"/>
        <v>0</v>
      </c>
      <c r="P57" s="33" t="e">
        <f t="shared" si="20"/>
        <v>#DIV/0!</v>
      </c>
      <c r="Q57" s="27">
        <f t="shared" si="3"/>
        <v>14.039671353432569</v>
      </c>
      <c r="R57" s="24">
        <f t="shared" si="4"/>
        <v>3.474739224394643</v>
      </c>
      <c r="S57" s="24">
        <f t="shared" si="5"/>
        <v>3.4747392243946433</v>
      </c>
    </row>
    <row r="58" spans="1:19" ht="22.5">
      <c r="A58" s="14" t="s">
        <v>67</v>
      </c>
      <c r="B58" s="12"/>
      <c r="C58" s="34" t="s">
        <v>20</v>
      </c>
      <c r="D58" s="37">
        <v>11753.4</v>
      </c>
      <c r="E58" s="68">
        <f t="shared" si="18"/>
        <v>11753.400000000001</v>
      </c>
      <c r="F58" s="51">
        <f t="shared" si="19"/>
        <v>2908.9</v>
      </c>
      <c r="G58" s="37">
        <v>2908.9</v>
      </c>
      <c r="H58" s="37">
        <v>2948.2</v>
      </c>
      <c r="I58" s="17">
        <v>2948.1</v>
      </c>
      <c r="J58" s="17">
        <v>2948.2</v>
      </c>
      <c r="K58" s="18">
        <v>408.4</v>
      </c>
      <c r="L58" s="20" t="e">
        <f>K58/#REF!*100</f>
        <v>#REF!</v>
      </c>
      <c r="M58" s="20">
        <f>K58/I58*100</f>
        <v>13.852990061395476</v>
      </c>
      <c r="N58" s="48">
        <v>0.1</v>
      </c>
      <c r="O58" s="48"/>
      <c r="P58" s="17">
        <f t="shared" si="2"/>
        <v>13.852520181805849</v>
      </c>
      <c r="Q58" s="20">
        <f t="shared" si="3"/>
        <v>14.039671353432569</v>
      </c>
      <c r="R58" s="18">
        <f t="shared" si="4"/>
        <v>3.474739224394643</v>
      </c>
      <c r="S58" s="18">
        <f t="shared" si="5"/>
        <v>3.4747392243946433</v>
      </c>
    </row>
    <row r="59" spans="1:19" ht="12.75" hidden="1">
      <c r="A59" s="14" t="s">
        <v>2</v>
      </c>
      <c r="B59" s="14"/>
      <c r="C59" s="35" t="s">
        <v>19</v>
      </c>
      <c r="D59" s="35"/>
      <c r="E59" s="68">
        <f>G59+H59+I59+J59</f>
        <v>0</v>
      </c>
      <c r="F59" s="68">
        <f>G59</f>
        <v>0</v>
      </c>
      <c r="G59" s="37"/>
      <c r="H59" s="37"/>
      <c r="I59" s="17"/>
      <c r="J59" s="47"/>
      <c r="K59" s="18"/>
      <c r="L59" s="20"/>
      <c r="M59" s="20"/>
      <c r="N59" s="48"/>
      <c r="O59" s="48"/>
      <c r="P59" s="17"/>
      <c r="Q59" s="20" t="e">
        <f t="shared" si="3"/>
        <v>#DIV/0!</v>
      </c>
      <c r="R59" s="18" t="e">
        <f t="shared" si="4"/>
        <v>#DIV/0!</v>
      </c>
      <c r="S59" s="18" t="e">
        <f t="shared" si="5"/>
        <v>#DIV/0!</v>
      </c>
    </row>
    <row r="60" spans="1:19" ht="33.75" hidden="1">
      <c r="A60" s="14" t="s">
        <v>66</v>
      </c>
      <c r="B60" s="70"/>
      <c r="C60" s="19" t="s">
        <v>63</v>
      </c>
      <c r="D60" s="19"/>
      <c r="E60" s="68">
        <f t="shared" si="18"/>
        <v>0</v>
      </c>
      <c r="F60" s="68">
        <f>G60</f>
        <v>0</v>
      </c>
      <c r="G60" s="75"/>
      <c r="H60" s="75"/>
      <c r="I60" s="17"/>
      <c r="J60" s="47"/>
      <c r="K60" s="18"/>
      <c r="L60" s="20" t="e">
        <f>K60/#REF!*100</f>
        <v>#REF!</v>
      </c>
      <c r="M60" s="20"/>
      <c r="N60" s="48"/>
      <c r="O60" s="48"/>
      <c r="P60" s="17" t="e">
        <f t="shared" si="2"/>
        <v>#DIV/0!</v>
      </c>
      <c r="Q60" s="20"/>
      <c r="R60" s="18"/>
      <c r="S60" s="18" t="e">
        <f t="shared" si="5"/>
        <v>#DIV/0!</v>
      </c>
    </row>
    <row r="61" spans="1:19" ht="12.75">
      <c r="A61" s="13"/>
      <c r="B61" s="76"/>
      <c r="C61" s="77" t="s">
        <v>4</v>
      </c>
      <c r="D61" s="78">
        <f aca="true" t="shared" si="21" ref="D61:K61">D57+D46</f>
        <v>31427.1</v>
      </c>
      <c r="E61" s="78">
        <f t="shared" si="21"/>
        <v>31427.100000000002</v>
      </c>
      <c r="F61" s="78">
        <f t="shared" si="21"/>
        <v>7281.1</v>
      </c>
      <c r="G61" s="78">
        <f t="shared" si="21"/>
        <v>7281.1</v>
      </c>
      <c r="H61" s="78">
        <f t="shared" si="21"/>
        <v>7510.3</v>
      </c>
      <c r="I61" s="78">
        <f t="shared" si="21"/>
        <v>7467.299999999999</v>
      </c>
      <c r="J61" s="78">
        <f t="shared" si="21"/>
        <v>9168.4</v>
      </c>
      <c r="K61" s="78">
        <f t="shared" si="21"/>
        <v>2534.3</v>
      </c>
      <c r="L61" s="27" t="e">
        <f>K61/#REF!*100</f>
        <v>#REF!</v>
      </c>
      <c r="M61" s="27">
        <f>K61/I61*100</f>
        <v>33.93863913328781</v>
      </c>
      <c r="N61" s="48"/>
      <c r="O61" s="49" t="e">
        <f>J61+#REF!+#REF!</f>
        <v>#REF!</v>
      </c>
      <c r="P61" s="36">
        <f t="shared" si="2"/>
        <v>27.641682300074173</v>
      </c>
      <c r="Q61" s="27">
        <f t="shared" si="3"/>
        <v>34.806553954759586</v>
      </c>
      <c r="R61" s="24">
        <f t="shared" si="4"/>
        <v>8.064059362779258</v>
      </c>
      <c r="S61" s="24">
        <f t="shared" si="5"/>
        <v>8.06405936277926</v>
      </c>
    </row>
    <row r="62" spans="1:19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48"/>
      <c r="O62" s="48"/>
      <c r="P62" s="47"/>
      <c r="Q62" s="27"/>
      <c r="R62" s="24"/>
      <c r="S62" s="18"/>
    </row>
    <row r="63" spans="1:19" ht="12.75">
      <c r="A63" s="93" t="s">
        <v>27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6"/>
    </row>
    <row r="64" spans="1:19" ht="12.75">
      <c r="A64" s="63" t="s">
        <v>3</v>
      </c>
      <c r="B64" s="63"/>
      <c r="C64" s="64" t="s">
        <v>68</v>
      </c>
      <c r="D64" s="36">
        <f>D65+D68+D70+D72+D69+D74+D73+D67+D71+D66</f>
        <v>37383</v>
      </c>
      <c r="E64" s="36">
        <f>E65+E68+E70+E72+E69+E74+E73+E67+E71+E66</f>
        <v>37383</v>
      </c>
      <c r="F64" s="36">
        <f>F65+F68+F70+F72+F69+F74+F73+F67+F71+F66</f>
        <v>8654.6</v>
      </c>
      <c r="G64" s="36">
        <f aca="true" t="shared" si="22" ref="G64:P64">G65+G68+G70+G72+G69+G74+G73+G67+G71+G66</f>
        <v>8654.6</v>
      </c>
      <c r="H64" s="36">
        <f t="shared" si="22"/>
        <v>9280.300000000001</v>
      </c>
      <c r="I64" s="36">
        <f t="shared" si="22"/>
        <v>6833.3</v>
      </c>
      <c r="J64" s="36">
        <f t="shared" si="22"/>
        <v>12614.8</v>
      </c>
      <c r="K64" s="36">
        <f t="shared" si="22"/>
        <v>2485.5</v>
      </c>
      <c r="L64" s="36" t="e">
        <f t="shared" si="22"/>
        <v>#REF!</v>
      </c>
      <c r="M64" s="36" t="e">
        <f t="shared" si="22"/>
        <v>#DIV/0!</v>
      </c>
      <c r="N64" s="36">
        <f t="shared" si="22"/>
        <v>0</v>
      </c>
      <c r="O64" s="36">
        <f t="shared" si="22"/>
        <v>0</v>
      </c>
      <c r="P64" s="36" t="e">
        <f t="shared" si="22"/>
        <v>#DIV/0!</v>
      </c>
      <c r="Q64" s="27">
        <f t="shared" si="3"/>
        <v>28.718831604002496</v>
      </c>
      <c r="R64" s="24">
        <f t="shared" si="4"/>
        <v>6.648744081534387</v>
      </c>
      <c r="S64" s="24">
        <f t="shared" si="5"/>
        <v>6.648744081534387</v>
      </c>
    </row>
    <row r="65" spans="1:19" ht="12.75">
      <c r="A65" s="12" t="s">
        <v>23</v>
      </c>
      <c r="B65" s="12"/>
      <c r="C65" s="66" t="s">
        <v>22</v>
      </c>
      <c r="D65" s="51">
        <v>17800</v>
      </c>
      <c r="E65" s="68">
        <f>G65+H65+I65+J65</f>
        <v>17800</v>
      </c>
      <c r="F65" s="51">
        <f aca="true" t="shared" si="23" ref="F65:F77">G65</f>
        <v>4432.5</v>
      </c>
      <c r="G65" s="79">
        <v>4432.5</v>
      </c>
      <c r="H65" s="79">
        <v>5412.5</v>
      </c>
      <c r="I65" s="20">
        <v>2942.5</v>
      </c>
      <c r="J65" s="20">
        <v>5012.5</v>
      </c>
      <c r="K65" s="20">
        <v>1156.8</v>
      </c>
      <c r="L65" s="20" t="e">
        <f>K65/#REF!*100</f>
        <v>#REF!</v>
      </c>
      <c r="M65" s="20">
        <f aca="true" t="shared" si="24" ref="M65:M72">K65/I65*100</f>
        <v>39.313508920985555</v>
      </c>
      <c r="N65" s="48"/>
      <c r="O65" s="48"/>
      <c r="P65" s="20">
        <f t="shared" si="2"/>
        <v>23.078304239401497</v>
      </c>
      <c r="Q65" s="20">
        <f t="shared" si="3"/>
        <v>26.098138747884942</v>
      </c>
      <c r="R65" s="18">
        <f t="shared" si="4"/>
        <v>6.498876404494382</v>
      </c>
      <c r="S65" s="18">
        <f t="shared" si="5"/>
        <v>6.498876404494382</v>
      </c>
    </row>
    <row r="66" spans="1:19" ht="12.75">
      <c r="A66" s="12" t="s">
        <v>70</v>
      </c>
      <c r="B66" s="12"/>
      <c r="C66" s="28" t="s">
        <v>71</v>
      </c>
      <c r="D66" s="68">
        <v>6459.7</v>
      </c>
      <c r="E66" s="68">
        <f>G66+H66+I66+J66</f>
        <v>6459.700000000001</v>
      </c>
      <c r="F66" s="51">
        <f t="shared" si="23"/>
        <v>1585.8</v>
      </c>
      <c r="G66" s="79">
        <v>1585.8</v>
      </c>
      <c r="H66" s="79">
        <v>1615.7</v>
      </c>
      <c r="I66" s="20">
        <v>1609.8</v>
      </c>
      <c r="J66" s="20">
        <v>1648.4</v>
      </c>
      <c r="K66" s="20">
        <v>667.9</v>
      </c>
      <c r="L66" s="20"/>
      <c r="M66" s="20"/>
      <c r="N66" s="48"/>
      <c r="O66" s="48"/>
      <c r="P66" s="20"/>
      <c r="Q66" s="20">
        <f>K66*100/F66</f>
        <v>42.11754319586329</v>
      </c>
      <c r="R66" s="18">
        <f>K66*100/E66</f>
        <v>10.339489449974456</v>
      </c>
      <c r="S66" s="18">
        <f t="shared" si="5"/>
        <v>10.339489449974458</v>
      </c>
    </row>
    <row r="67" spans="1:19" ht="12.75">
      <c r="A67" s="12" t="s">
        <v>8</v>
      </c>
      <c r="B67" s="12"/>
      <c r="C67" s="28" t="s">
        <v>5</v>
      </c>
      <c r="D67" s="68">
        <v>50</v>
      </c>
      <c r="E67" s="68">
        <f aca="true" t="shared" si="25" ref="E67:E77">G67+H67+I67+J67</f>
        <v>50</v>
      </c>
      <c r="F67" s="51">
        <f t="shared" si="23"/>
        <v>12.5</v>
      </c>
      <c r="G67" s="37">
        <v>12.5</v>
      </c>
      <c r="H67" s="37">
        <v>12.5</v>
      </c>
      <c r="I67" s="17">
        <v>12.5</v>
      </c>
      <c r="J67" s="17">
        <v>12.5</v>
      </c>
      <c r="K67" s="17">
        <v>0.5</v>
      </c>
      <c r="L67" s="20" t="e">
        <f>K67/#REF!*100</f>
        <v>#REF!</v>
      </c>
      <c r="M67" s="20">
        <f t="shared" si="24"/>
        <v>4</v>
      </c>
      <c r="N67" s="48"/>
      <c r="O67" s="48"/>
      <c r="P67" s="17">
        <f t="shared" si="2"/>
        <v>4</v>
      </c>
      <c r="Q67" s="20">
        <f t="shared" si="3"/>
        <v>4</v>
      </c>
      <c r="R67" s="18">
        <f t="shared" si="4"/>
        <v>1</v>
      </c>
      <c r="S67" s="18">
        <f t="shared" si="5"/>
        <v>1</v>
      </c>
    </row>
    <row r="68" spans="1:19" ht="12.75">
      <c r="A68" s="12" t="s">
        <v>9</v>
      </c>
      <c r="B68" s="12"/>
      <c r="C68" s="28" t="s">
        <v>6</v>
      </c>
      <c r="D68" s="68">
        <v>7550</v>
      </c>
      <c r="E68" s="68">
        <f t="shared" si="25"/>
        <v>7550</v>
      </c>
      <c r="F68" s="51">
        <f t="shared" si="23"/>
        <v>1240</v>
      </c>
      <c r="G68" s="37">
        <v>1240</v>
      </c>
      <c r="H68" s="37">
        <v>860</v>
      </c>
      <c r="I68" s="17">
        <v>890</v>
      </c>
      <c r="J68" s="17">
        <v>4560</v>
      </c>
      <c r="K68" s="17">
        <v>551</v>
      </c>
      <c r="L68" s="20" t="e">
        <f>K68/#REF!*100</f>
        <v>#REF!</v>
      </c>
      <c r="M68" s="20">
        <f t="shared" si="24"/>
        <v>61.91011235955056</v>
      </c>
      <c r="N68" s="48"/>
      <c r="O68" s="48"/>
      <c r="P68" s="17">
        <f t="shared" si="2"/>
        <v>12.083333333333334</v>
      </c>
      <c r="Q68" s="20">
        <f t="shared" si="3"/>
        <v>44.435483870967744</v>
      </c>
      <c r="R68" s="18">
        <f t="shared" si="4"/>
        <v>7.298013245033113</v>
      </c>
      <c r="S68" s="18">
        <f t="shared" si="5"/>
        <v>7.298013245033113</v>
      </c>
    </row>
    <row r="69" spans="1:19" ht="18.75" customHeight="1">
      <c r="A69" s="12" t="s">
        <v>10</v>
      </c>
      <c r="B69" s="12"/>
      <c r="C69" s="28" t="s">
        <v>21</v>
      </c>
      <c r="D69" s="68">
        <v>46.1</v>
      </c>
      <c r="E69" s="68">
        <f t="shared" si="25"/>
        <v>46.1</v>
      </c>
      <c r="F69" s="51">
        <f t="shared" si="23"/>
        <v>11.5</v>
      </c>
      <c r="G69" s="37">
        <v>11.5</v>
      </c>
      <c r="H69" s="37">
        <v>11.6</v>
      </c>
      <c r="I69" s="17">
        <v>11.5</v>
      </c>
      <c r="J69" s="17">
        <v>11.5</v>
      </c>
      <c r="K69" s="17"/>
      <c r="L69" s="20"/>
      <c r="M69" s="20">
        <f t="shared" si="24"/>
        <v>0</v>
      </c>
      <c r="N69" s="48"/>
      <c r="O69" s="48"/>
      <c r="P69" s="17">
        <f t="shared" si="2"/>
        <v>0</v>
      </c>
      <c r="Q69" s="20">
        <f>K69*100/F69</f>
        <v>0</v>
      </c>
      <c r="R69" s="18">
        <f>K69*100/E69</f>
        <v>0</v>
      </c>
      <c r="S69" s="18">
        <f t="shared" si="5"/>
        <v>0</v>
      </c>
    </row>
    <row r="70" spans="1:19" ht="23.25" customHeight="1">
      <c r="A70" s="13" t="s">
        <v>11</v>
      </c>
      <c r="B70" s="13"/>
      <c r="C70" s="28" t="s">
        <v>17</v>
      </c>
      <c r="D70" s="68">
        <v>5302.2</v>
      </c>
      <c r="E70" s="68">
        <f t="shared" si="25"/>
        <v>5302.200000000001</v>
      </c>
      <c r="F70" s="51">
        <f t="shared" si="23"/>
        <v>1328.3</v>
      </c>
      <c r="G70" s="37">
        <v>1328.3</v>
      </c>
      <c r="H70" s="37">
        <v>1324</v>
      </c>
      <c r="I70" s="17">
        <v>1324</v>
      </c>
      <c r="J70" s="17">
        <v>1325.9</v>
      </c>
      <c r="K70" s="17">
        <v>61.9</v>
      </c>
      <c r="L70" s="20" t="e">
        <f>K70/#REF!*100</f>
        <v>#REF!</v>
      </c>
      <c r="M70" s="20">
        <f t="shared" si="24"/>
        <v>4.675226586102719</v>
      </c>
      <c r="N70" s="48"/>
      <c r="O70" s="48"/>
      <c r="P70" s="17">
        <f t="shared" si="2"/>
        <v>4.668527038238177</v>
      </c>
      <c r="Q70" s="20">
        <f t="shared" si="3"/>
        <v>4.660091846721373</v>
      </c>
      <c r="R70" s="18">
        <f t="shared" si="4"/>
        <v>1.1674399305948473</v>
      </c>
      <c r="S70" s="18">
        <f t="shared" si="5"/>
        <v>1.1674399305948475</v>
      </c>
    </row>
    <row r="71" spans="1:19" ht="14.25" customHeight="1" hidden="1">
      <c r="A71" s="30" t="s">
        <v>42</v>
      </c>
      <c r="B71" s="30"/>
      <c r="C71" s="28" t="s">
        <v>43</v>
      </c>
      <c r="D71" s="68"/>
      <c r="E71" s="68">
        <f t="shared" si="25"/>
        <v>0</v>
      </c>
      <c r="F71" s="51">
        <f t="shared" si="23"/>
        <v>0</v>
      </c>
      <c r="G71" s="37"/>
      <c r="H71" s="37"/>
      <c r="I71" s="17"/>
      <c r="J71" s="17"/>
      <c r="K71" s="17"/>
      <c r="L71" s="20" t="e">
        <f>K71/#REF!*100</f>
        <v>#REF!</v>
      </c>
      <c r="M71" s="20" t="e">
        <f t="shared" si="24"/>
        <v>#DIV/0!</v>
      </c>
      <c r="N71" s="48"/>
      <c r="O71" s="48"/>
      <c r="P71" s="17" t="e">
        <f t="shared" si="2"/>
        <v>#DIV/0!</v>
      </c>
      <c r="Q71" s="20"/>
      <c r="R71" s="18"/>
      <c r="S71" s="18"/>
    </row>
    <row r="72" spans="1:19" ht="22.5">
      <c r="A72" s="29" t="s">
        <v>18</v>
      </c>
      <c r="B72" s="29"/>
      <c r="C72" s="28" t="s">
        <v>15</v>
      </c>
      <c r="D72" s="68">
        <v>175</v>
      </c>
      <c r="E72" s="68">
        <f t="shared" si="25"/>
        <v>175</v>
      </c>
      <c r="F72" s="51">
        <f t="shared" si="23"/>
        <v>44</v>
      </c>
      <c r="G72" s="37">
        <v>44</v>
      </c>
      <c r="H72" s="37">
        <v>44</v>
      </c>
      <c r="I72" s="17">
        <v>43</v>
      </c>
      <c r="J72" s="17">
        <v>44</v>
      </c>
      <c r="K72" s="17">
        <v>71.4</v>
      </c>
      <c r="L72" s="20" t="e">
        <f>K72/#REF!*100</f>
        <v>#REF!</v>
      </c>
      <c r="M72" s="20">
        <f t="shared" si="24"/>
        <v>166.046511627907</v>
      </c>
      <c r="N72" s="48"/>
      <c r="O72" s="48"/>
      <c r="P72" s="17">
        <f t="shared" si="2"/>
        <v>162.27272727272728</v>
      </c>
      <c r="Q72" s="20">
        <f t="shared" si="3"/>
        <v>162.27272727272728</v>
      </c>
      <c r="R72" s="18">
        <f t="shared" si="4"/>
        <v>40.800000000000004</v>
      </c>
      <c r="S72" s="18">
        <f t="shared" si="5"/>
        <v>40.800000000000004</v>
      </c>
    </row>
    <row r="73" spans="1:19" ht="12.75" customHeight="1">
      <c r="A73" s="21" t="s">
        <v>12</v>
      </c>
      <c r="B73" s="21"/>
      <c r="C73" s="28" t="s">
        <v>7</v>
      </c>
      <c r="D73" s="68"/>
      <c r="E73" s="68">
        <f t="shared" si="25"/>
        <v>0</v>
      </c>
      <c r="F73" s="51">
        <f t="shared" si="23"/>
        <v>0</v>
      </c>
      <c r="G73" s="37"/>
      <c r="H73" s="37"/>
      <c r="I73" s="17"/>
      <c r="J73" s="17"/>
      <c r="K73" s="17"/>
      <c r="L73" s="20"/>
      <c r="M73" s="20"/>
      <c r="N73" s="48"/>
      <c r="O73" s="48"/>
      <c r="P73" s="17" t="e">
        <f t="shared" si="2"/>
        <v>#DIV/0!</v>
      </c>
      <c r="Q73" s="20"/>
      <c r="R73" s="18"/>
      <c r="S73" s="18"/>
    </row>
    <row r="74" spans="1:19" ht="12.75">
      <c r="A74" s="31" t="s">
        <v>39</v>
      </c>
      <c r="B74" s="52"/>
      <c r="C74" s="16" t="s">
        <v>40</v>
      </c>
      <c r="D74" s="68"/>
      <c r="E74" s="68">
        <f t="shared" si="25"/>
        <v>0</v>
      </c>
      <c r="F74" s="51">
        <f t="shared" si="23"/>
        <v>0</v>
      </c>
      <c r="G74" s="37"/>
      <c r="H74" s="37"/>
      <c r="I74" s="17"/>
      <c r="J74" s="17"/>
      <c r="K74" s="17">
        <v>-24</v>
      </c>
      <c r="L74" s="20"/>
      <c r="M74" s="20"/>
      <c r="N74" s="48"/>
      <c r="O74" s="48"/>
      <c r="P74" s="17" t="e">
        <f t="shared" si="2"/>
        <v>#DIV/0!</v>
      </c>
      <c r="Q74" s="20"/>
      <c r="R74" s="18"/>
      <c r="S74" s="18"/>
    </row>
    <row r="75" spans="1:19" ht="12.75">
      <c r="A75" s="25" t="s">
        <v>1</v>
      </c>
      <c r="B75" s="25"/>
      <c r="C75" s="32" t="s">
        <v>0</v>
      </c>
      <c r="D75" s="33">
        <f aca="true" t="shared" si="26" ref="D75:K75">D76+D77</f>
        <v>26371.2</v>
      </c>
      <c r="E75" s="33">
        <f t="shared" si="26"/>
        <v>31719</v>
      </c>
      <c r="F75" s="33">
        <f t="shared" si="26"/>
        <v>10752.2</v>
      </c>
      <c r="G75" s="33">
        <f t="shared" si="26"/>
        <v>10752.2</v>
      </c>
      <c r="H75" s="33">
        <f t="shared" si="26"/>
        <v>7781.2</v>
      </c>
      <c r="I75" s="33">
        <f t="shared" si="26"/>
        <v>7068.2</v>
      </c>
      <c r="J75" s="33">
        <f t="shared" si="26"/>
        <v>6117.4</v>
      </c>
      <c r="K75" s="33">
        <f t="shared" si="26"/>
        <v>1585.4</v>
      </c>
      <c r="L75" s="27" t="e">
        <f>K75/#REF!*100</f>
        <v>#REF!</v>
      </c>
      <c r="M75" s="27">
        <f>K75/I75*100</f>
        <v>22.430038765173595</v>
      </c>
      <c r="N75" s="48"/>
      <c r="O75" s="48"/>
      <c r="P75" s="36">
        <f t="shared" si="2"/>
        <v>25.91623892503351</v>
      </c>
      <c r="Q75" s="27">
        <f t="shared" si="3"/>
        <v>14.744889417979575</v>
      </c>
      <c r="R75" s="24">
        <f t="shared" si="4"/>
        <v>4.998266023519027</v>
      </c>
      <c r="S75" s="24">
        <f aca="true" t="shared" si="27" ref="S75:S137">K75*100/D75</f>
        <v>6.011861424584395</v>
      </c>
    </row>
    <row r="76" spans="1:19" ht="22.5">
      <c r="A76" s="14" t="s">
        <v>67</v>
      </c>
      <c r="B76" s="12"/>
      <c r="C76" s="34" t="s">
        <v>20</v>
      </c>
      <c r="D76" s="37">
        <v>26371.2</v>
      </c>
      <c r="E76" s="68">
        <f t="shared" si="25"/>
        <v>31719</v>
      </c>
      <c r="F76" s="51">
        <f t="shared" si="23"/>
        <v>10752.2</v>
      </c>
      <c r="G76" s="37">
        <v>10752.2</v>
      </c>
      <c r="H76" s="37">
        <v>7781.2</v>
      </c>
      <c r="I76" s="17">
        <v>7068.2</v>
      </c>
      <c r="J76" s="18">
        <v>6117.4</v>
      </c>
      <c r="K76" s="18">
        <v>1585.4</v>
      </c>
      <c r="L76" s="20" t="e">
        <f>K76/#REF!*100</f>
        <v>#REF!</v>
      </c>
      <c r="M76" s="20">
        <f>K76/I76*100</f>
        <v>22.430038765173595</v>
      </c>
      <c r="N76" s="48"/>
      <c r="O76" s="48"/>
      <c r="P76" s="17">
        <f t="shared" si="2"/>
        <v>25.91623892503351</v>
      </c>
      <c r="Q76" s="20">
        <f t="shared" si="3"/>
        <v>14.744889417979575</v>
      </c>
      <c r="R76" s="18">
        <f t="shared" si="4"/>
        <v>4.998266023519027</v>
      </c>
      <c r="S76" s="18">
        <f t="shared" si="27"/>
        <v>6.011861424584395</v>
      </c>
    </row>
    <row r="77" spans="1:19" ht="23.25" customHeight="1" hidden="1">
      <c r="A77" s="14" t="s">
        <v>2</v>
      </c>
      <c r="B77" s="14"/>
      <c r="C77" s="35" t="s">
        <v>19</v>
      </c>
      <c r="D77" s="69"/>
      <c r="E77" s="68">
        <f t="shared" si="25"/>
        <v>0</v>
      </c>
      <c r="F77" s="51">
        <f t="shared" si="23"/>
        <v>0</v>
      </c>
      <c r="G77" s="75"/>
      <c r="H77" s="75"/>
      <c r="I77" s="17"/>
      <c r="J77" s="18"/>
      <c r="K77" s="18"/>
      <c r="L77" s="20" t="e">
        <f>K77/#REF!*100</f>
        <v>#REF!</v>
      </c>
      <c r="M77" s="20"/>
      <c r="N77" s="48"/>
      <c r="O77" s="48"/>
      <c r="P77" s="17" t="e">
        <f t="shared" si="2"/>
        <v>#DIV/0!</v>
      </c>
      <c r="Q77" s="27"/>
      <c r="R77" s="24"/>
      <c r="S77" s="18"/>
    </row>
    <row r="78" spans="1:19" ht="12.75">
      <c r="A78" s="21"/>
      <c r="B78" s="22"/>
      <c r="C78" s="23" t="s">
        <v>4</v>
      </c>
      <c r="D78" s="24">
        <f aca="true" t="shared" si="28" ref="D78:L78">D75+D64</f>
        <v>63754.2</v>
      </c>
      <c r="E78" s="24">
        <f t="shared" si="28"/>
        <v>69102</v>
      </c>
      <c r="F78" s="24">
        <f t="shared" si="28"/>
        <v>19406.800000000003</v>
      </c>
      <c r="G78" s="24">
        <f t="shared" si="28"/>
        <v>19406.800000000003</v>
      </c>
      <c r="H78" s="24">
        <f t="shared" si="28"/>
        <v>17061.5</v>
      </c>
      <c r="I78" s="24">
        <f t="shared" si="28"/>
        <v>13901.5</v>
      </c>
      <c r="J78" s="24">
        <f t="shared" si="28"/>
        <v>18732.199999999997</v>
      </c>
      <c r="K78" s="24">
        <f t="shared" si="28"/>
        <v>4070.9</v>
      </c>
      <c r="L78" s="24" t="e">
        <f t="shared" si="28"/>
        <v>#REF!</v>
      </c>
      <c r="M78" s="27">
        <f>K78/I78*100</f>
        <v>29.283890227673275</v>
      </c>
      <c r="N78" s="48"/>
      <c r="O78" s="49" t="e">
        <f>J78+#REF!+#REF!</f>
        <v>#REF!</v>
      </c>
      <c r="P78" s="36">
        <f t="shared" si="2"/>
        <v>21.732097671389376</v>
      </c>
      <c r="Q78" s="27">
        <f t="shared" si="3"/>
        <v>20.97666797205103</v>
      </c>
      <c r="R78" s="24">
        <f t="shared" si="4"/>
        <v>5.891146421232381</v>
      </c>
      <c r="S78" s="24">
        <f t="shared" si="27"/>
        <v>6.385304811290864</v>
      </c>
    </row>
    <row r="79" spans="1:19" ht="12.7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90"/>
      <c r="N79" s="48"/>
      <c r="O79" s="48"/>
      <c r="P79" s="47"/>
      <c r="Q79" s="27"/>
      <c r="R79" s="24"/>
      <c r="S79" s="18"/>
    </row>
    <row r="80" spans="1:19" ht="12.75">
      <c r="A80" s="93" t="s">
        <v>28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6"/>
    </row>
    <row r="81" spans="1:19" ht="12.75">
      <c r="A81" s="25" t="s">
        <v>3</v>
      </c>
      <c r="B81" s="25"/>
      <c r="C81" s="26" t="s">
        <v>68</v>
      </c>
      <c r="D81" s="27">
        <f aca="true" t="shared" si="29" ref="D81:J81">D82+D84+D85+D86+D87+D88+D89+D90+D91+D83</f>
        <v>36893.7</v>
      </c>
      <c r="E81" s="27">
        <f t="shared" si="29"/>
        <v>36893.7</v>
      </c>
      <c r="F81" s="27">
        <f t="shared" si="29"/>
        <v>8917</v>
      </c>
      <c r="G81" s="27">
        <f t="shared" si="29"/>
        <v>8917</v>
      </c>
      <c r="H81" s="27">
        <f t="shared" si="29"/>
        <v>9428</v>
      </c>
      <c r="I81" s="27">
        <f t="shared" si="29"/>
        <v>8502.1</v>
      </c>
      <c r="J81" s="27">
        <f t="shared" si="29"/>
        <v>10046.6</v>
      </c>
      <c r="K81" s="27">
        <f>K82+K84+K85+K86+K87+K88+K89+K90+K91+K83+0.1</f>
        <v>2749.3999999999996</v>
      </c>
      <c r="L81" s="27" t="e">
        <f>K81/#REF!*100</f>
        <v>#REF!</v>
      </c>
      <c r="M81" s="27">
        <f>K81/I81*100</f>
        <v>32.337892991143356</v>
      </c>
      <c r="N81" s="48"/>
      <c r="O81" s="48"/>
      <c r="P81" s="27">
        <f t="shared" si="2"/>
        <v>27.366472239364555</v>
      </c>
      <c r="Q81" s="27">
        <f aca="true" t="shared" si="30" ref="Q81:Q150">K81*100/F81</f>
        <v>30.833239878883028</v>
      </c>
      <c r="R81" s="24">
        <f aca="true" t="shared" si="31" ref="R81:R150">K81*100/E81</f>
        <v>7.452220839872389</v>
      </c>
      <c r="S81" s="24">
        <f t="shared" si="27"/>
        <v>7.452220839872389</v>
      </c>
    </row>
    <row r="82" spans="1:19" ht="13.5" customHeight="1">
      <c r="A82" s="21" t="s">
        <v>23</v>
      </c>
      <c r="B82" s="21"/>
      <c r="C82" s="28" t="s">
        <v>22</v>
      </c>
      <c r="D82" s="68">
        <v>23300</v>
      </c>
      <c r="E82" s="68">
        <f>G82+H82+I82+J82</f>
        <v>23300</v>
      </c>
      <c r="F82" s="51">
        <f aca="true" t="shared" si="32" ref="F82:F94">G82</f>
        <v>6000</v>
      </c>
      <c r="G82" s="37">
        <v>6000</v>
      </c>
      <c r="H82" s="37">
        <v>6000</v>
      </c>
      <c r="I82" s="17">
        <v>5400</v>
      </c>
      <c r="J82" s="17">
        <v>5900</v>
      </c>
      <c r="K82" s="18">
        <v>1950.2</v>
      </c>
      <c r="L82" s="20" t="e">
        <f>K82/#REF!*100</f>
        <v>#REF!</v>
      </c>
      <c r="M82" s="20">
        <f>K82/I82*100</f>
        <v>36.114814814814814</v>
      </c>
      <c r="N82" s="48"/>
      <c r="O82" s="48"/>
      <c r="P82" s="17">
        <f aca="true" t="shared" si="33" ref="P82:P155">K82*100/J82</f>
        <v>33.054237288135596</v>
      </c>
      <c r="Q82" s="20">
        <f t="shared" si="30"/>
        <v>32.50333333333333</v>
      </c>
      <c r="R82" s="18">
        <f t="shared" si="31"/>
        <v>8.369957081545065</v>
      </c>
      <c r="S82" s="18">
        <f t="shared" si="27"/>
        <v>8.369957081545065</v>
      </c>
    </row>
    <row r="83" spans="1:19" ht="15.75" customHeight="1">
      <c r="A83" s="12" t="s">
        <v>70</v>
      </c>
      <c r="B83" s="12"/>
      <c r="C83" s="28" t="s">
        <v>71</v>
      </c>
      <c r="D83" s="68">
        <v>4138.7</v>
      </c>
      <c r="E83" s="68">
        <f>G83+H83+I83+J83</f>
        <v>4138.7</v>
      </c>
      <c r="F83" s="51">
        <f t="shared" si="32"/>
        <v>1135.4</v>
      </c>
      <c r="G83" s="37">
        <v>1135.4</v>
      </c>
      <c r="H83" s="37">
        <v>1079</v>
      </c>
      <c r="I83" s="17">
        <v>915.1</v>
      </c>
      <c r="J83" s="17">
        <v>1009.2</v>
      </c>
      <c r="K83" s="18">
        <v>427.9</v>
      </c>
      <c r="L83" s="20"/>
      <c r="M83" s="20"/>
      <c r="N83" s="48"/>
      <c r="O83" s="48"/>
      <c r="P83" s="17"/>
      <c r="Q83" s="20">
        <f>K83*100/F83</f>
        <v>37.68715871058657</v>
      </c>
      <c r="R83" s="18">
        <f>K83*100/E83</f>
        <v>10.33899533669993</v>
      </c>
      <c r="S83" s="18">
        <f t="shared" si="27"/>
        <v>10.33899533669993</v>
      </c>
    </row>
    <row r="84" spans="1:19" ht="15" customHeight="1" hidden="1">
      <c r="A84" s="12" t="s">
        <v>8</v>
      </c>
      <c r="B84" s="12"/>
      <c r="C84" s="28" t="s">
        <v>5</v>
      </c>
      <c r="D84" s="68"/>
      <c r="E84" s="68">
        <f aca="true" t="shared" si="34" ref="E84:E91">G84+H84+I84+J84</f>
        <v>0</v>
      </c>
      <c r="F84" s="51">
        <f t="shared" si="32"/>
        <v>0</v>
      </c>
      <c r="G84" s="37"/>
      <c r="H84" s="37"/>
      <c r="I84" s="17"/>
      <c r="J84" s="17"/>
      <c r="K84" s="18"/>
      <c r="L84" s="20"/>
      <c r="M84" s="20"/>
      <c r="N84" s="48"/>
      <c r="O84" s="48"/>
      <c r="P84" s="17" t="e">
        <f t="shared" si="33"/>
        <v>#DIV/0!</v>
      </c>
      <c r="Q84" s="20" t="e">
        <f>K84*100/F84</f>
        <v>#DIV/0!</v>
      </c>
      <c r="R84" s="18" t="e">
        <f>K84*100/E84</f>
        <v>#DIV/0!</v>
      </c>
      <c r="S84" s="18" t="e">
        <f t="shared" si="27"/>
        <v>#DIV/0!</v>
      </c>
    </row>
    <row r="85" spans="1:19" ht="12.75">
      <c r="A85" s="12" t="s">
        <v>9</v>
      </c>
      <c r="B85" s="12"/>
      <c r="C85" s="28" t="s">
        <v>6</v>
      </c>
      <c r="D85" s="68">
        <v>1880</v>
      </c>
      <c r="E85" s="68">
        <f t="shared" si="34"/>
        <v>1880</v>
      </c>
      <c r="F85" s="51">
        <f t="shared" si="32"/>
        <v>430</v>
      </c>
      <c r="G85" s="37">
        <v>430</v>
      </c>
      <c r="H85" s="37">
        <v>390</v>
      </c>
      <c r="I85" s="17">
        <v>330</v>
      </c>
      <c r="J85" s="17">
        <v>730</v>
      </c>
      <c r="K85" s="18">
        <v>147.4</v>
      </c>
      <c r="L85" s="20" t="e">
        <f>K85/#REF!*100</f>
        <v>#REF!</v>
      </c>
      <c r="M85" s="20">
        <f>K85/I85*100</f>
        <v>44.666666666666664</v>
      </c>
      <c r="N85" s="48"/>
      <c r="O85" s="48"/>
      <c r="P85" s="17">
        <f t="shared" si="33"/>
        <v>20.19178082191781</v>
      </c>
      <c r="Q85" s="20">
        <f t="shared" si="30"/>
        <v>34.27906976744186</v>
      </c>
      <c r="R85" s="18">
        <f t="shared" si="31"/>
        <v>7.840425531914893</v>
      </c>
      <c r="S85" s="18">
        <f t="shared" si="27"/>
        <v>7.840425531914893</v>
      </c>
    </row>
    <row r="86" spans="1:19" ht="12.75" hidden="1">
      <c r="A86" s="12" t="s">
        <v>10</v>
      </c>
      <c r="B86" s="12"/>
      <c r="C86" s="28" t="s">
        <v>21</v>
      </c>
      <c r="D86" s="68"/>
      <c r="E86" s="68">
        <f t="shared" si="34"/>
        <v>0</v>
      </c>
      <c r="F86" s="51">
        <f t="shared" si="32"/>
        <v>0</v>
      </c>
      <c r="G86" s="37"/>
      <c r="H86" s="37"/>
      <c r="I86" s="17"/>
      <c r="J86" s="17"/>
      <c r="K86" s="18"/>
      <c r="L86" s="20"/>
      <c r="M86" s="20"/>
      <c r="N86" s="48"/>
      <c r="O86" s="48"/>
      <c r="P86" s="17" t="e">
        <f t="shared" si="33"/>
        <v>#DIV/0!</v>
      </c>
      <c r="Q86" s="20" t="e">
        <f t="shared" si="30"/>
        <v>#DIV/0!</v>
      </c>
      <c r="R86" s="18" t="e">
        <f t="shared" si="31"/>
        <v>#DIV/0!</v>
      </c>
      <c r="S86" s="18" t="e">
        <f t="shared" si="27"/>
        <v>#DIV/0!</v>
      </c>
    </row>
    <row r="87" spans="1:19" ht="22.5">
      <c r="A87" s="13" t="s">
        <v>11</v>
      </c>
      <c r="B87" s="13"/>
      <c r="C87" s="28" t="s">
        <v>17</v>
      </c>
      <c r="D87" s="68">
        <v>6954</v>
      </c>
      <c r="E87" s="68">
        <f t="shared" si="34"/>
        <v>6954</v>
      </c>
      <c r="F87" s="51">
        <f t="shared" si="32"/>
        <v>1223.6</v>
      </c>
      <c r="G87" s="37">
        <v>1223.6</v>
      </c>
      <c r="H87" s="37">
        <v>1806</v>
      </c>
      <c r="I87" s="17">
        <v>1809</v>
      </c>
      <c r="J87" s="17">
        <v>2115.4</v>
      </c>
      <c r="K87" s="18">
        <v>128.2</v>
      </c>
      <c r="L87" s="20" t="e">
        <f>K87/#REF!*100</f>
        <v>#REF!</v>
      </c>
      <c r="M87" s="20">
        <f>K87/I87*100</f>
        <v>7.086788280818131</v>
      </c>
      <c r="N87" s="48"/>
      <c r="O87" s="48"/>
      <c r="P87" s="17">
        <f t="shared" si="33"/>
        <v>6.06031956131228</v>
      </c>
      <c r="Q87" s="20">
        <f t="shared" si="30"/>
        <v>10.477280156914023</v>
      </c>
      <c r="R87" s="18">
        <f t="shared" si="31"/>
        <v>1.8435432844406094</v>
      </c>
      <c r="S87" s="18">
        <f t="shared" si="27"/>
        <v>1.8435432844406094</v>
      </c>
    </row>
    <row r="88" spans="1:19" ht="22.5">
      <c r="A88" s="30" t="s">
        <v>42</v>
      </c>
      <c r="B88" s="30"/>
      <c r="C88" s="28" t="s">
        <v>43</v>
      </c>
      <c r="D88" s="68">
        <v>496</v>
      </c>
      <c r="E88" s="68">
        <f t="shared" si="34"/>
        <v>496</v>
      </c>
      <c r="F88" s="51">
        <f t="shared" si="32"/>
        <v>121</v>
      </c>
      <c r="G88" s="37">
        <v>121</v>
      </c>
      <c r="H88" s="37">
        <v>135</v>
      </c>
      <c r="I88" s="17">
        <v>30</v>
      </c>
      <c r="J88" s="17">
        <v>210</v>
      </c>
      <c r="K88" s="18">
        <v>39.9</v>
      </c>
      <c r="L88" s="20" t="e">
        <f>K88/#REF!*100</f>
        <v>#REF!</v>
      </c>
      <c r="M88" s="20">
        <f>K88/I88*100</f>
        <v>132.99999999999997</v>
      </c>
      <c r="N88" s="48"/>
      <c r="O88" s="48"/>
      <c r="P88" s="17">
        <f t="shared" si="33"/>
        <v>19</v>
      </c>
      <c r="Q88" s="20">
        <f t="shared" si="30"/>
        <v>32.97520661157025</v>
      </c>
      <c r="R88" s="18">
        <f t="shared" si="31"/>
        <v>8.044354838709678</v>
      </c>
      <c r="S88" s="18">
        <f t="shared" si="27"/>
        <v>8.044354838709678</v>
      </c>
    </row>
    <row r="89" spans="1:19" ht="22.5">
      <c r="A89" s="29" t="s">
        <v>18</v>
      </c>
      <c r="B89" s="29"/>
      <c r="C89" s="28" t="s">
        <v>15</v>
      </c>
      <c r="D89" s="68">
        <v>125</v>
      </c>
      <c r="E89" s="68">
        <f t="shared" si="34"/>
        <v>125</v>
      </c>
      <c r="F89" s="51">
        <f t="shared" si="32"/>
        <v>7</v>
      </c>
      <c r="G89" s="37">
        <v>7</v>
      </c>
      <c r="H89" s="37">
        <v>18</v>
      </c>
      <c r="I89" s="17">
        <v>18</v>
      </c>
      <c r="J89" s="17">
        <v>82</v>
      </c>
      <c r="K89" s="18">
        <v>71.7</v>
      </c>
      <c r="L89" s="20" t="e">
        <f>K89/#REF!*100</f>
        <v>#REF!</v>
      </c>
      <c r="M89" s="20">
        <f>K89/I89*100</f>
        <v>398.3333333333333</v>
      </c>
      <c r="N89" s="48"/>
      <c r="O89" s="48"/>
      <c r="P89" s="17">
        <f t="shared" si="33"/>
        <v>87.4390243902439</v>
      </c>
      <c r="Q89" s="20">
        <f t="shared" si="30"/>
        <v>1024.2857142857142</v>
      </c>
      <c r="R89" s="18">
        <f t="shared" si="31"/>
        <v>57.36</v>
      </c>
      <c r="S89" s="18">
        <f t="shared" si="27"/>
        <v>57.36</v>
      </c>
    </row>
    <row r="90" spans="1:19" ht="14.25" customHeight="1">
      <c r="A90" s="21" t="s">
        <v>12</v>
      </c>
      <c r="B90" s="21"/>
      <c r="C90" s="28" t="s">
        <v>7</v>
      </c>
      <c r="D90" s="68"/>
      <c r="E90" s="68">
        <f t="shared" si="34"/>
        <v>0</v>
      </c>
      <c r="F90" s="51">
        <f t="shared" si="32"/>
        <v>0</v>
      </c>
      <c r="G90" s="37"/>
      <c r="H90" s="37"/>
      <c r="I90" s="17"/>
      <c r="J90" s="17"/>
      <c r="K90" s="18"/>
      <c r="L90" s="27"/>
      <c r="M90" s="27"/>
      <c r="N90" s="48"/>
      <c r="O90" s="48"/>
      <c r="P90" s="17" t="e">
        <f t="shared" si="33"/>
        <v>#DIV/0!</v>
      </c>
      <c r="Q90" s="20"/>
      <c r="R90" s="18"/>
      <c r="S90" s="18"/>
    </row>
    <row r="91" spans="1:19" ht="12.75">
      <c r="A91" s="31" t="s">
        <v>39</v>
      </c>
      <c r="B91" s="52"/>
      <c r="C91" s="16" t="s">
        <v>40</v>
      </c>
      <c r="D91" s="68"/>
      <c r="E91" s="68">
        <f t="shared" si="34"/>
        <v>0</v>
      </c>
      <c r="F91" s="51">
        <f t="shared" si="32"/>
        <v>0</v>
      </c>
      <c r="G91" s="37"/>
      <c r="H91" s="37"/>
      <c r="I91" s="17"/>
      <c r="J91" s="17"/>
      <c r="K91" s="18">
        <v>-16</v>
      </c>
      <c r="L91" s="27"/>
      <c r="M91" s="27"/>
      <c r="N91" s="48"/>
      <c r="O91" s="48"/>
      <c r="P91" s="17" t="e">
        <f t="shared" si="33"/>
        <v>#DIV/0!</v>
      </c>
      <c r="Q91" s="20"/>
      <c r="R91" s="18"/>
      <c r="S91" s="18"/>
    </row>
    <row r="92" spans="1:19" ht="12.75" hidden="1">
      <c r="A92" s="31" t="s">
        <v>44</v>
      </c>
      <c r="B92" s="52"/>
      <c r="C92" s="16" t="s">
        <v>45</v>
      </c>
      <c r="D92" s="72"/>
      <c r="E92" s="16"/>
      <c r="F92" s="51">
        <f t="shared" si="32"/>
        <v>0</v>
      </c>
      <c r="G92" s="37"/>
      <c r="H92" s="37"/>
      <c r="I92" s="17" t="e">
        <f>J92+#REF!+#REF!+#REF!</f>
        <v>#REF!</v>
      </c>
      <c r="J92" s="17"/>
      <c r="K92" s="18"/>
      <c r="L92" s="27"/>
      <c r="M92" s="27"/>
      <c r="N92" s="48"/>
      <c r="O92" s="48"/>
      <c r="P92" s="17" t="e">
        <f t="shared" si="33"/>
        <v>#DIV/0!</v>
      </c>
      <c r="Q92" s="27" t="e">
        <f t="shared" si="30"/>
        <v>#DIV/0!</v>
      </c>
      <c r="R92" s="24" t="e">
        <f t="shared" si="31"/>
        <v>#DIV/0!</v>
      </c>
      <c r="S92" s="18" t="e">
        <f t="shared" si="27"/>
        <v>#DIV/0!</v>
      </c>
    </row>
    <row r="93" spans="1:19" ht="12.75">
      <c r="A93" s="25" t="s">
        <v>1</v>
      </c>
      <c r="B93" s="25"/>
      <c r="C93" s="32" t="s">
        <v>0</v>
      </c>
      <c r="D93" s="33">
        <f aca="true" t="shared" si="35" ref="D93:K93">D94+D95</f>
        <v>52314.9</v>
      </c>
      <c r="E93" s="33">
        <f t="shared" si="35"/>
        <v>64089.899999999994</v>
      </c>
      <c r="F93" s="80">
        <f t="shared" si="35"/>
        <v>19123.5</v>
      </c>
      <c r="G93" s="33">
        <f t="shared" si="35"/>
        <v>19123.5</v>
      </c>
      <c r="H93" s="33">
        <f t="shared" si="35"/>
        <v>9602.6</v>
      </c>
      <c r="I93" s="33">
        <f t="shared" si="35"/>
        <v>23892.5</v>
      </c>
      <c r="J93" s="33">
        <f t="shared" si="35"/>
        <v>11471.3</v>
      </c>
      <c r="K93" s="33">
        <f t="shared" si="35"/>
        <v>418.90000000000003</v>
      </c>
      <c r="L93" s="27" t="e">
        <f>K93/#REF!*100</f>
        <v>#REF!</v>
      </c>
      <c r="M93" s="27">
        <f>K93/I93*100</f>
        <v>1.7532698545568695</v>
      </c>
      <c r="N93" s="48"/>
      <c r="O93" s="48"/>
      <c r="P93" s="36">
        <f t="shared" si="33"/>
        <v>3.651722123909235</v>
      </c>
      <c r="Q93" s="27">
        <f t="shared" si="30"/>
        <v>2.1904986011974796</v>
      </c>
      <c r="R93" s="24">
        <f t="shared" si="31"/>
        <v>0.6536131278095301</v>
      </c>
      <c r="S93" s="24">
        <f t="shared" si="27"/>
        <v>0.8007278996997031</v>
      </c>
    </row>
    <row r="94" spans="1:19" ht="22.5">
      <c r="A94" s="14" t="s">
        <v>67</v>
      </c>
      <c r="B94" s="12"/>
      <c r="C94" s="34" t="s">
        <v>20</v>
      </c>
      <c r="D94" s="37">
        <v>52314.9</v>
      </c>
      <c r="E94" s="68">
        <f>G94+H94+I94+J94</f>
        <v>64089.899999999994</v>
      </c>
      <c r="F94" s="51">
        <f t="shared" si="32"/>
        <v>19123.5</v>
      </c>
      <c r="G94" s="37">
        <v>19123.5</v>
      </c>
      <c r="H94" s="37">
        <v>9602.6</v>
      </c>
      <c r="I94" s="17">
        <v>23892.5</v>
      </c>
      <c r="J94" s="17">
        <v>11471.3</v>
      </c>
      <c r="K94" s="18">
        <v>427.3</v>
      </c>
      <c r="L94" s="20" t="e">
        <f>K94/#REF!*100</f>
        <v>#REF!</v>
      </c>
      <c r="M94" s="20">
        <f>K94/I94*100</f>
        <v>1.788427330752328</v>
      </c>
      <c r="N94" s="48"/>
      <c r="O94" s="48"/>
      <c r="P94" s="17">
        <f t="shared" si="33"/>
        <v>3.7249483493588347</v>
      </c>
      <c r="Q94" s="20">
        <f t="shared" si="30"/>
        <v>2.2344236149240464</v>
      </c>
      <c r="R94" s="18">
        <f t="shared" si="31"/>
        <v>0.6667197171473197</v>
      </c>
      <c r="S94" s="18">
        <f t="shared" si="27"/>
        <v>0.8167845107225666</v>
      </c>
    </row>
    <row r="95" spans="1:19" ht="15" customHeight="1">
      <c r="A95" s="14" t="s">
        <v>2</v>
      </c>
      <c r="B95" s="14"/>
      <c r="C95" s="35" t="s">
        <v>19</v>
      </c>
      <c r="D95" s="69"/>
      <c r="E95" s="68">
        <f>G95+H95+I95+J95</f>
        <v>0</v>
      </c>
      <c r="F95" s="51"/>
      <c r="G95" s="81"/>
      <c r="H95" s="81"/>
      <c r="I95" s="17"/>
      <c r="J95" s="17"/>
      <c r="K95" s="18">
        <v>-8.4</v>
      </c>
      <c r="L95" s="20" t="e">
        <f>K95/#REF!*100</f>
        <v>#REF!</v>
      </c>
      <c r="M95" s="20"/>
      <c r="N95" s="48"/>
      <c r="O95" s="48"/>
      <c r="P95" s="17" t="e">
        <f t="shared" si="33"/>
        <v>#DIV/0!</v>
      </c>
      <c r="Q95" s="20"/>
      <c r="R95" s="18"/>
      <c r="S95" s="18"/>
    </row>
    <row r="96" spans="1:19" ht="12.75">
      <c r="A96" s="21"/>
      <c r="B96" s="22"/>
      <c r="C96" s="23" t="s">
        <v>4</v>
      </c>
      <c r="D96" s="24">
        <f aca="true" t="shared" si="36" ref="D96:K96">D93+D81</f>
        <v>89208.6</v>
      </c>
      <c r="E96" s="24">
        <f t="shared" si="36"/>
        <v>100983.59999999999</v>
      </c>
      <c r="F96" s="24">
        <f t="shared" si="36"/>
        <v>28040.5</v>
      </c>
      <c r="G96" s="24">
        <f t="shared" si="36"/>
        <v>28040.5</v>
      </c>
      <c r="H96" s="24">
        <f t="shared" si="36"/>
        <v>19030.6</v>
      </c>
      <c r="I96" s="24">
        <f t="shared" si="36"/>
        <v>32394.6</v>
      </c>
      <c r="J96" s="24">
        <f t="shared" si="36"/>
        <v>21517.9</v>
      </c>
      <c r="K96" s="24">
        <f t="shared" si="36"/>
        <v>3168.2999999999997</v>
      </c>
      <c r="L96" s="27" t="e">
        <f>K96/#REF!*100</f>
        <v>#REF!</v>
      </c>
      <c r="M96" s="27">
        <f>K96/I96*100</f>
        <v>9.780333759330258</v>
      </c>
      <c r="N96" s="48"/>
      <c r="O96" s="49" t="e">
        <f>J96+#REF!+#REF!</f>
        <v>#REF!</v>
      </c>
      <c r="P96" s="36">
        <f t="shared" si="33"/>
        <v>14.724020466681226</v>
      </c>
      <c r="Q96" s="27">
        <f t="shared" si="30"/>
        <v>11.299013926285195</v>
      </c>
      <c r="R96" s="24">
        <f t="shared" si="31"/>
        <v>3.1374401387948145</v>
      </c>
      <c r="S96" s="24">
        <f t="shared" si="27"/>
        <v>3.5515634142896535</v>
      </c>
    </row>
    <row r="97" spans="1:19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90"/>
      <c r="N97" s="48"/>
      <c r="O97" s="48"/>
      <c r="P97" s="47"/>
      <c r="Q97" s="27"/>
      <c r="R97" s="24"/>
      <c r="S97" s="18"/>
    </row>
    <row r="98" spans="1:19" ht="12.75">
      <c r="A98" s="93" t="s">
        <v>29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6"/>
    </row>
    <row r="99" spans="1:19" ht="12.75">
      <c r="A99" s="25" t="s">
        <v>3</v>
      </c>
      <c r="B99" s="25"/>
      <c r="C99" s="26" t="s">
        <v>68</v>
      </c>
      <c r="D99" s="27">
        <f aca="true" t="shared" si="37" ref="D99:K99">D100+D103+D107+D104+D105+D108+D106+D102+D101</f>
        <v>2809.8</v>
      </c>
      <c r="E99" s="27">
        <f t="shared" si="37"/>
        <v>2809.8</v>
      </c>
      <c r="F99" s="27">
        <f t="shared" si="37"/>
        <v>696.5</v>
      </c>
      <c r="G99" s="27">
        <f t="shared" si="37"/>
        <v>696.5</v>
      </c>
      <c r="H99" s="27">
        <f t="shared" si="37"/>
        <v>704.3</v>
      </c>
      <c r="I99" s="27">
        <f t="shared" si="37"/>
        <v>704.5</v>
      </c>
      <c r="J99" s="27">
        <f t="shared" si="37"/>
        <v>704.5</v>
      </c>
      <c r="K99" s="27">
        <f t="shared" si="37"/>
        <v>150.60000000000002</v>
      </c>
      <c r="L99" s="27" t="e">
        <f>K99/#REF!*100</f>
        <v>#REF!</v>
      </c>
      <c r="M99" s="27">
        <f>K99/I99*100</f>
        <v>21.37686302342087</v>
      </c>
      <c r="N99" s="48"/>
      <c r="O99" s="48"/>
      <c r="P99" s="27">
        <f t="shared" si="33"/>
        <v>21.376863023420867</v>
      </c>
      <c r="Q99" s="27">
        <f t="shared" si="30"/>
        <v>21.622397702799717</v>
      </c>
      <c r="R99" s="24">
        <f t="shared" si="31"/>
        <v>5.359812086269486</v>
      </c>
      <c r="S99" s="24">
        <f t="shared" si="27"/>
        <v>5.359812086269486</v>
      </c>
    </row>
    <row r="100" spans="1:19" ht="12.75">
      <c r="A100" s="21" t="s">
        <v>23</v>
      </c>
      <c r="B100" s="21"/>
      <c r="C100" s="28" t="s">
        <v>22</v>
      </c>
      <c r="D100" s="68">
        <v>1280</v>
      </c>
      <c r="E100" s="68">
        <f>G100+H100+I100+J100</f>
        <v>1280</v>
      </c>
      <c r="F100" s="51">
        <f aca="true" t="shared" si="38" ref="F100:F110">G100</f>
        <v>320</v>
      </c>
      <c r="G100" s="37">
        <v>320</v>
      </c>
      <c r="H100" s="37">
        <v>320</v>
      </c>
      <c r="I100" s="17">
        <v>320</v>
      </c>
      <c r="J100" s="18">
        <v>320</v>
      </c>
      <c r="K100" s="18">
        <v>10.1</v>
      </c>
      <c r="L100" s="20"/>
      <c r="M100" s="20">
        <f>K100/I100*100</f>
        <v>3.15625</v>
      </c>
      <c r="N100" s="49"/>
      <c r="O100" s="48"/>
      <c r="P100" s="17">
        <f t="shared" si="33"/>
        <v>3.15625</v>
      </c>
      <c r="Q100" s="20">
        <f t="shared" si="30"/>
        <v>3.15625</v>
      </c>
      <c r="R100" s="18">
        <f t="shared" si="31"/>
        <v>0.7890625</v>
      </c>
      <c r="S100" s="18">
        <f t="shared" si="27"/>
        <v>0.7890625</v>
      </c>
    </row>
    <row r="101" spans="1:19" ht="12.75">
      <c r="A101" s="12" t="s">
        <v>70</v>
      </c>
      <c r="B101" s="12"/>
      <c r="C101" s="28" t="s">
        <v>71</v>
      </c>
      <c r="D101" s="68">
        <v>1342.3</v>
      </c>
      <c r="E101" s="68">
        <f>G101+H101+I101+J101</f>
        <v>1342.3000000000002</v>
      </c>
      <c r="F101" s="51">
        <f t="shared" si="38"/>
        <v>335.5</v>
      </c>
      <c r="G101" s="37">
        <v>335.5</v>
      </c>
      <c r="H101" s="37">
        <v>335.6</v>
      </c>
      <c r="I101" s="17">
        <v>335.6</v>
      </c>
      <c r="J101" s="18">
        <v>335.6</v>
      </c>
      <c r="K101" s="18">
        <v>138.8</v>
      </c>
      <c r="L101" s="20"/>
      <c r="M101" s="20"/>
      <c r="N101" s="49"/>
      <c r="O101" s="48"/>
      <c r="P101" s="17"/>
      <c r="Q101" s="20">
        <f>K101*100/F101</f>
        <v>41.37108792846498</v>
      </c>
      <c r="R101" s="18">
        <f>K101*100/E101</f>
        <v>10.34046040378455</v>
      </c>
      <c r="S101" s="18">
        <f t="shared" si="27"/>
        <v>10.340460403784551</v>
      </c>
    </row>
    <row r="102" spans="1:19" ht="12.75" hidden="1">
      <c r="A102" s="12" t="s">
        <v>8</v>
      </c>
      <c r="B102" s="12"/>
      <c r="C102" s="28" t="s">
        <v>5</v>
      </c>
      <c r="D102" s="68"/>
      <c r="E102" s="68">
        <f>G102+H102+I102+J102</f>
        <v>0</v>
      </c>
      <c r="F102" s="51">
        <f t="shared" si="38"/>
        <v>0</v>
      </c>
      <c r="G102" s="37"/>
      <c r="H102" s="37"/>
      <c r="I102" s="17"/>
      <c r="J102" s="18"/>
      <c r="K102" s="18"/>
      <c r="L102" s="20"/>
      <c r="M102" s="20"/>
      <c r="N102" s="49"/>
      <c r="O102" s="48"/>
      <c r="P102" s="17"/>
      <c r="Q102" s="20" t="e">
        <f>K102*100/F102</f>
        <v>#DIV/0!</v>
      </c>
      <c r="R102" s="18" t="e">
        <f>K102*100/E102</f>
        <v>#DIV/0!</v>
      </c>
      <c r="S102" s="18" t="e">
        <f t="shared" si="27"/>
        <v>#DIV/0!</v>
      </c>
    </row>
    <row r="103" spans="1:19" ht="12.75">
      <c r="A103" s="12" t="s">
        <v>9</v>
      </c>
      <c r="B103" s="12"/>
      <c r="C103" s="28" t="s">
        <v>6</v>
      </c>
      <c r="D103" s="68">
        <v>125</v>
      </c>
      <c r="E103" s="68">
        <f aca="true" t="shared" si="39" ref="E103:E111">G103+H103+I103+J103</f>
        <v>125</v>
      </c>
      <c r="F103" s="51">
        <f t="shared" si="38"/>
        <v>25.3</v>
      </c>
      <c r="G103" s="37">
        <v>25.3</v>
      </c>
      <c r="H103" s="37">
        <v>33.2</v>
      </c>
      <c r="I103" s="17">
        <v>33.3</v>
      </c>
      <c r="J103" s="18">
        <v>33.2</v>
      </c>
      <c r="K103" s="18">
        <v>0.8</v>
      </c>
      <c r="L103" s="20"/>
      <c r="M103" s="20">
        <f aca="true" t="shared" si="40" ref="M103:M110">K103/I103*100</f>
        <v>2.402402402402403</v>
      </c>
      <c r="N103" s="49"/>
      <c r="O103" s="48"/>
      <c r="P103" s="17">
        <f t="shared" si="33"/>
        <v>2.4096385542168672</v>
      </c>
      <c r="Q103" s="20">
        <f t="shared" si="30"/>
        <v>3.1620553359683794</v>
      </c>
      <c r="R103" s="18">
        <f t="shared" si="31"/>
        <v>0.64</v>
      </c>
      <c r="S103" s="18">
        <f t="shared" si="27"/>
        <v>0.64</v>
      </c>
    </row>
    <row r="104" spans="1:19" ht="12.75">
      <c r="A104" s="12" t="s">
        <v>10</v>
      </c>
      <c r="B104" s="12"/>
      <c r="C104" s="28" t="s">
        <v>21</v>
      </c>
      <c r="D104" s="68">
        <v>1.5</v>
      </c>
      <c r="E104" s="68">
        <f t="shared" si="39"/>
        <v>1.5</v>
      </c>
      <c r="F104" s="51">
        <f t="shared" si="38"/>
        <v>0.4</v>
      </c>
      <c r="G104" s="37">
        <v>0.4</v>
      </c>
      <c r="H104" s="37">
        <v>0.3</v>
      </c>
      <c r="I104" s="17">
        <v>0.4</v>
      </c>
      <c r="J104" s="18">
        <v>0.4</v>
      </c>
      <c r="K104" s="18">
        <v>0.6</v>
      </c>
      <c r="L104" s="20"/>
      <c r="M104" s="20">
        <f t="shared" si="40"/>
        <v>149.99999999999997</v>
      </c>
      <c r="N104" s="48"/>
      <c r="O104" s="48"/>
      <c r="P104" s="17">
        <f t="shared" si="33"/>
        <v>150</v>
      </c>
      <c r="Q104" s="20">
        <f t="shared" si="30"/>
        <v>150</v>
      </c>
      <c r="R104" s="18">
        <f t="shared" si="31"/>
        <v>40</v>
      </c>
      <c r="S104" s="18">
        <f t="shared" si="27"/>
        <v>40</v>
      </c>
    </row>
    <row r="105" spans="1:19" ht="22.5">
      <c r="A105" s="13" t="s">
        <v>11</v>
      </c>
      <c r="B105" s="13"/>
      <c r="C105" s="28" t="s">
        <v>17</v>
      </c>
      <c r="D105" s="68">
        <v>26</v>
      </c>
      <c r="E105" s="68">
        <f t="shared" si="39"/>
        <v>26</v>
      </c>
      <c r="F105" s="51">
        <f t="shared" si="38"/>
        <v>6.5</v>
      </c>
      <c r="G105" s="37">
        <v>6.5</v>
      </c>
      <c r="H105" s="37">
        <v>6.5</v>
      </c>
      <c r="I105" s="17">
        <v>6.5</v>
      </c>
      <c r="J105" s="18">
        <v>6.5</v>
      </c>
      <c r="K105" s="18">
        <v>0.3</v>
      </c>
      <c r="L105" s="20"/>
      <c r="M105" s="20">
        <f t="shared" si="40"/>
        <v>4.615384615384615</v>
      </c>
      <c r="N105" s="48"/>
      <c r="O105" s="48"/>
      <c r="P105" s="17">
        <f t="shared" si="33"/>
        <v>4.615384615384615</v>
      </c>
      <c r="Q105" s="20">
        <f t="shared" si="30"/>
        <v>4.615384615384615</v>
      </c>
      <c r="R105" s="18">
        <f t="shared" si="31"/>
        <v>1.1538461538461537</v>
      </c>
      <c r="S105" s="18">
        <f t="shared" si="27"/>
        <v>1.1538461538461537</v>
      </c>
    </row>
    <row r="106" spans="1:19" ht="22.5">
      <c r="A106" s="30" t="s">
        <v>42</v>
      </c>
      <c r="B106" s="30"/>
      <c r="C106" s="28" t="s">
        <v>43</v>
      </c>
      <c r="D106" s="68">
        <v>35</v>
      </c>
      <c r="E106" s="68">
        <f t="shared" si="39"/>
        <v>35</v>
      </c>
      <c r="F106" s="51">
        <f t="shared" si="38"/>
        <v>8.8</v>
      </c>
      <c r="G106" s="37">
        <v>8.8</v>
      </c>
      <c r="H106" s="37">
        <v>8.7</v>
      </c>
      <c r="I106" s="17">
        <v>8.7</v>
      </c>
      <c r="J106" s="18">
        <v>8.8</v>
      </c>
      <c r="K106" s="18"/>
      <c r="L106" s="20"/>
      <c r="M106" s="20">
        <f t="shared" si="40"/>
        <v>0</v>
      </c>
      <c r="N106" s="48"/>
      <c r="O106" s="48"/>
      <c r="P106" s="17">
        <f t="shared" si="33"/>
        <v>0</v>
      </c>
      <c r="Q106" s="20">
        <f t="shared" si="30"/>
        <v>0</v>
      </c>
      <c r="R106" s="18">
        <f t="shared" si="31"/>
        <v>0</v>
      </c>
      <c r="S106" s="18">
        <f t="shared" si="27"/>
        <v>0</v>
      </c>
    </row>
    <row r="107" spans="1:19" ht="18.75" customHeight="1" hidden="1">
      <c r="A107" s="21" t="s">
        <v>12</v>
      </c>
      <c r="B107" s="21"/>
      <c r="C107" s="82" t="s">
        <v>7</v>
      </c>
      <c r="D107" s="68"/>
      <c r="E107" s="68">
        <f t="shared" si="39"/>
        <v>0</v>
      </c>
      <c r="F107" s="51">
        <f t="shared" si="38"/>
        <v>0</v>
      </c>
      <c r="G107" s="37"/>
      <c r="H107" s="37"/>
      <c r="I107" s="17"/>
      <c r="J107" s="18"/>
      <c r="K107" s="18"/>
      <c r="L107" s="20"/>
      <c r="M107" s="20" t="e">
        <f t="shared" si="40"/>
        <v>#DIV/0!</v>
      </c>
      <c r="N107" s="48"/>
      <c r="O107" s="48"/>
      <c r="P107" s="17" t="e">
        <f t="shared" si="33"/>
        <v>#DIV/0!</v>
      </c>
      <c r="Q107" s="20"/>
      <c r="R107" s="18"/>
      <c r="S107" s="18"/>
    </row>
    <row r="108" spans="1:19" ht="16.5" customHeight="1">
      <c r="A108" s="30" t="s">
        <v>39</v>
      </c>
      <c r="B108" s="83"/>
      <c r="C108" s="16" t="s">
        <v>40</v>
      </c>
      <c r="D108" s="68"/>
      <c r="E108" s="68">
        <f t="shared" si="39"/>
        <v>0</v>
      </c>
      <c r="F108" s="51">
        <f t="shared" si="38"/>
        <v>0</v>
      </c>
      <c r="G108" s="37"/>
      <c r="H108" s="37"/>
      <c r="I108" s="17"/>
      <c r="J108" s="18"/>
      <c r="K108" s="18"/>
      <c r="L108" s="27"/>
      <c r="M108" s="20" t="e">
        <f t="shared" si="40"/>
        <v>#DIV/0!</v>
      </c>
      <c r="N108" s="48"/>
      <c r="O108" s="48"/>
      <c r="P108" s="17" t="e">
        <f t="shared" si="33"/>
        <v>#DIV/0!</v>
      </c>
      <c r="Q108" s="27"/>
      <c r="R108" s="24"/>
      <c r="S108" s="18"/>
    </row>
    <row r="109" spans="1:19" ht="12.75">
      <c r="A109" s="63" t="s">
        <v>1</v>
      </c>
      <c r="B109" s="63"/>
      <c r="C109" s="32" t="s">
        <v>0</v>
      </c>
      <c r="D109" s="33">
        <f aca="true" t="shared" si="41" ref="D109:L109">D110+D111</f>
        <v>21712.5</v>
      </c>
      <c r="E109" s="33">
        <f t="shared" si="41"/>
        <v>21717.5</v>
      </c>
      <c r="F109" s="33">
        <f t="shared" si="41"/>
        <v>5675.8</v>
      </c>
      <c r="G109" s="33">
        <f t="shared" si="41"/>
        <v>5675.8</v>
      </c>
      <c r="H109" s="33">
        <f t="shared" si="41"/>
        <v>5347.2</v>
      </c>
      <c r="I109" s="33">
        <f t="shared" si="41"/>
        <v>5347.2</v>
      </c>
      <c r="J109" s="33">
        <f t="shared" si="41"/>
        <v>5347.3</v>
      </c>
      <c r="K109" s="33">
        <f t="shared" si="41"/>
        <v>649.2</v>
      </c>
      <c r="L109" s="33">
        <f t="shared" si="41"/>
        <v>0</v>
      </c>
      <c r="M109" s="27">
        <f>K109/I109*100</f>
        <v>12.140933572710953</v>
      </c>
      <c r="N109" s="48"/>
      <c r="O109" s="48"/>
      <c r="P109" s="36">
        <f t="shared" si="33"/>
        <v>12.140706524788213</v>
      </c>
      <c r="Q109" s="27">
        <f t="shared" si="30"/>
        <v>11.438035166848728</v>
      </c>
      <c r="R109" s="24">
        <f t="shared" si="31"/>
        <v>2.989294347876137</v>
      </c>
      <c r="S109" s="24">
        <f t="shared" si="27"/>
        <v>2.9899827288428327</v>
      </c>
    </row>
    <row r="110" spans="1:19" ht="22.5">
      <c r="A110" s="14" t="s">
        <v>67</v>
      </c>
      <c r="B110" s="12"/>
      <c r="C110" s="34" t="s">
        <v>20</v>
      </c>
      <c r="D110" s="37">
        <v>21712.5</v>
      </c>
      <c r="E110" s="68">
        <f t="shared" si="39"/>
        <v>21717.5</v>
      </c>
      <c r="F110" s="51">
        <f t="shared" si="38"/>
        <v>5675.8</v>
      </c>
      <c r="G110" s="37">
        <v>5675.8</v>
      </c>
      <c r="H110" s="37">
        <v>5347.2</v>
      </c>
      <c r="I110" s="17">
        <v>5347.2</v>
      </c>
      <c r="J110" s="18">
        <v>5347.3</v>
      </c>
      <c r="K110" s="18">
        <v>649.2</v>
      </c>
      <c r="L110" s="20"/>
      <c r="M110" s="20">
        <f t="shared" si="40"/>
        <v>12.140933572710953</v>
      </c>
      <c r="N110" s="48"/>
      <c r="O110" s="48"/>
      <c r="P110" s="17">
        <f t="shared" si="33"/>
        <v>12.140706524788213</v>
      </c>
      <c r="Q110" s="20">
        <f t="shared" si="30"/>
        <v>11.438035166848728</v>
      </c>
      <c r="R110" s="18">
        <f t="shared" si="31"/>
        <v>2.989294347876137</v>
      </c>
      <c r="S110" s="18">
        <f t="shared" si="27"/>
        <v>2.9899827288428327</v>
      </c>
    </row>
    <row r="111" spans="1:19" ht="12.75" hidden="1">
      <c r="A111" s="14" t="s">
        <v>2</v>
      </c>
      <c r="B111" s="14"/>
      <c r="C111" s="35" t="s">
        <v>19</v>
      </c>
      <c r="D111" s="35"/>
      <c r="E111" s="68">
        <f t="shared" si="39"/>
        <v>0</v>
      </c>
      <c r="F111" s="68">
        <f>G111+H111</f>
        <v>0</v>
      </c>
      <c r="G111" s="81"/>
      <c r="H111" s="81"/>
      <c r="I111" s="17"/>
      <c r="J111" s="18"/>
      <c r="K111" s="18"/>
      <c r="L111" s="20"/>
      <c r="M111" s="20"/>
      <c r="N111" s="48"/>
      <c r="O111" s="48"/>
      <c r="P111" s="17" t="e">
        <f t="shared" si="33"/>
        <v>#DIV/0!</v>
      </c>
      <c r="Q111" s="27"/>
      <c r="R111" s="24"/>
      <c r="S111" s="18" t="e">
        <f t="shared" si="27"/>
        <v>#DIV/0!</v>
      </c>
    </row>
    <row r="112" spans="1:19" ht="12.75">
      <c r="A112" s="21"/>
      <c r="B112" s="22"/>
      <c r="C112" s="23" t="s">
        <v>4</v>
      </c>
      <c r="D112" s="24">
        <f aca="true" t="shared" si="42" ref="D112:L112">D109+D99</f>
        <v>24522.3</v>
      </c>
      <c r="E112" s="24">
        <f t="shared" si="42"/>
        <v>24527.3</v>
      </c>
      <c r="F112" s="36">
        <f t="shared" si="42"/>
        <v>6372.3</v>
      </c>
      <c r="G112" s="36">
        <f t="shared" si="42"/>
        <v>6372.3</v>
      </c>
      <c r="H112" s="36">
        <f>H109+H99</f>
        <v>6051.5</v>
      </c>
      <c r="I112" s="24">
        <f t="shared" si="42"/>
        <v>6051.7</v>
      </c>
      <c r="J112" s="24">
        <f t="shared" si="42"/>
        <v>6051.8</v>
      </c>
      <c r="K112" s="24">
        <f t="shared" si="42"/>
        <v>799.8000000000001</v>
      </c>
      <c r="L112" s="24" t="e">
        <f t="shared" si="42"/>
        <v>#REF!</v>
      </c>
      <c r="M112" s="27">
        <f>K112/I112*100</f>
        <v>13.216121089941671</v>
      </c>
      <c r="N112" s="48"/>
      <c r="O112" s="49" t="e">
        <f>J112+#REF!+#REF!</f>
        <v>#REF!</v>
      </c>
      <c r="P112" s="36">
        <f t="shared" si="33"/>
        <v>13.215902706632736</v>
      </c>
      <c r="Q112" s="27">
        <f t="shared" si="30"/>
        <v>12.551198154512498</v>
      </c>
      <c r="R112" s="24">
        <f t="shared" si="31"/>
        <v>3.2608562703599664</v>
      </c>
      <c r="S112" s="24">
        <f t="shared" si="27"/>
        <v>3.2615211460588935</v>
      </c>
    </row>
    <row r="113" spans="1:19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90"/>
      <c r="N113" s="48"/>
      <c r="O113" s="48"/>
      <c r="P113" s="47"/>
      <c r="Q113" s="27"/>
      <c r="R113" s="24"/>
      <c r="S113" s="18"/>
    </row>
    <row r="114" spans="1:19" ht="12.75">
      <c r="A114" s="93" t="s">
        <v>30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6"/>
    </row>
    <row r="115" spans="1:19" ht="12.75">
      <c r="A115" s="25" t="s">
        <v>3</v>
      </c>
      <c r="B115" s="25"/>
      <c r="C115" s="26" t="s">
        <v>68</v>
      </c>
      <c r="D115" s="27">
        <f aca="true" t="shared" si="43" ref="D115:J115">D116+D120+D124+D121+D122+D125+D123+D126+D117+D118</f>
        <v>5053.8</v>
      </c>
      <c r="E115" s="27">
        <f t="shared" si="43"/>
        <v>5053.8</v>
      </c>
      <c r="F115" s="27">
        <f t="shared" si="43"/>
        <v>1073.6</v>
      </c>
      <c r="G115" s="27">
        <f t="shared" si="43"/>
        <v>1073.6</v>
      </c>
      <c r="H115" s="27">
        <f t="shared" si="43"/>
        <v>1243.8</v>
      </c>
      <c r="I115" s="27">
        <f t="shared" si="43"/>
        <v>1246.5</v>
      </c>
      <c r="J115" s="27">
        <f t="shared" si="43"/>
        <v>1489.9</v>
      </c>
      <c r="K115" s="27">
        <f>K116+K120+K124+K121+K122+K125+K123+K126+K117+K118+K119</f>
        <v>367.79999999999995</v>
      </c>
      <c r="L115" s="27" t="e">
        <f>K115/#REF!*100</f>
        <v>#REF!</v>
      </c>
      <c r="M115" s="27">
        <f aca="true" t="shared" si="44" ref="M115:M124">K115/I115*100</f>
        <v>29.506618531889284</v>
      </c>
      <c r="N115" s="48"/>
      <c r="O115" s="48"/>
      <c r="P115" s="27">
        <f t="shared" si="33"/>
        <v>24.686220551714875</v>
      </c>
      <c r="Q115" s="27">
        <f t="shared" si="30"/>
        <v>34.2585692995529</v>
      </c>
      <c r="R115" s="24">
        <f t="shared" si="31"/>
        <v>7.2776920337172015</v>
      </c>
      <c r="S115" s="24">
        <f t="shared" si="27"/>
        <v>7.2776920337172015</v>
      </c>
    </row>
    <row r="116" spans="1:19" ht="12.75">
      <c r="A116" s="21" t="s">
        <v>23</v>
      </c>
      <c r="B116" s="21"/>
      <c r="C116" s="28" t="s">
        <v>22</v>
      </c>
      <c r="D116" s="68">
        <v>1210</v>
      </c>
      <c r="E116" s="68">
        <f>G116+H116+I116+J116</f>
        <v>1210</v>
      </c>
      <c r="F116" s="51">
        <f aca="true" t="shared" si="45" ref="F116:F128">G116</f>
        <v>210</v>
      </c>
      <c r="G116" s="68">
        <v>210</v>
      </c>
      <c r="H116" s="68">
        <v>374</v>
      </c>
      <c r="I116" s="18">
        <v>279</v>
      </c>
      <c r="J116" s="18">
        <v>347</v>
      </c>
      <c r="K116" s="18">
        <v>34.3</v>
      </c>
      <c r="L116" s="20" t="e">
        <f>K116/#REF!*100</f>
        <v>#REF!</v>
      </c>
      <c r="M116" s="20">
        <f t="shared" si="44"/>
        <v>12.29390681003584</v>
      </c>
      <c r="N116" s="48"/>
      <c r="O116" s="48"/>
      <c r="P116" s="17">
        <f t="shared" si="33"/>
        <v>9.88472622478386</v>
      </c>
      <c r="Q116" s="20">
        <f t="shared" si="30"/>
        <v>16.333333333333332</v>
      </c>
      <c r="R116" s="18">
        <f t="shared" si="31"/>
        <v>2.8347107438016526</v>
      </c>
      <c r="S116" s="18">
        <f t="shared" si="27"/>
        <v>2.8347107438016526</v>
      </c>
    </row>
    <row r="117" spans="1:19" ht="12.75" hidden="1">
      <c r="A117" s="12" t="s">
        <v>8</v>
      </c>
      <c r="B117" s="12"/>
      <c r="C117" s="28" t="s">
        <v>5</v>
      </c>
      <c r="D117" s="68"/>
      <c r="E117" s="68">
        <f>G117+H117+I117+J117</f>
        <v>0</v>
      </c>
      <c r="F117" s="51">
        <f t="shared" si="45"/>
        <v>0</v>
      </c>
      <c r="G117" s="68"/>
      <c r="H117" s="68"/>
      <c r="I117" s="18"/>
      <c r="J117" s="18"/>
      <c r="K117" s="18"/>
      <c r="L117" s="20"/>
      <c r="M117" s="20"/>
      <c r="N117" s="48"/>
      <c r="O117" s="48"/>
      <c r="P117" s="17"/>
      <c r="Q117" s="20" t="e">
        <f>K117*100/F117</f>
        <v>#DIV/0!</v>
      </c>
      <c r="R117" s="18" t="e">
        <f>K117*100/E117</f>
        <v>#DIV/0!</v>
      </c>
      <c r="S117" s="18" t="e">
        <f t="shared" si="27"/>
        <v>#DIV/0!</v>
      </c>
    </row>
    <row r="118" spans="1:19" ht="13.5" customHeight="1">
      <c r="A118" s="12" t="s">
        <v>70</v>
      </c>
      <c r="B118" s="12"/>
      <c r="C118" s="28" t="s">
        <v>71</v>
      </c>
      <c r="D118" s="68">
        <v>2908.3</v>
      </c>
      <c r="E118" s="68">
        <f>G118+H118+I118+J118</f>
        <v>2908.3</v>
      </c>
      <c r="F118" s="51">
        <f t="shared" si="45"/>
        <v>631.1</v>
      </c>
      <c r="G118" s="68">
        <v>631.1</v>
      </c>
      <c r="H118" s="68">
        <v>674</v>
      </c>
      <c r="I118" s="18">
        <v>794.2</v>
      </c>
      <c r="J118" s="18">
        <v>809</v>
      </c>
      <c r="K118" s="18">
        <v>300.7</v>
      </c>
      <c r="L118" s="20"/>
      <c r="M118" s="20"/>
      <c r="N118" s="48"/>
      <c r="O118" s="48"/>
      <c r="P118" s="17"/>
      <c r="Q118" s="20">
        <f>K118*100/F118</f>
        <v>47.646965615591824</v>
      </c>
      <c r="R118" s="18">
        <f>K118*100/E118</f>
        <v>10.339373517174982</v>
      </c>
      <c r="S118" s="18">
        <f t="shared" si="27"/>
        <v>10.339373517174982</v>
      </c>
    </row>
    <row r="119" spans="1:19" ht="13.5" customHeight="1" hidden="1">
      <c r="A119" s="12" t="s">
        <v>8</v>
      </c>
      <c r="B119" s="12"/>
      <c r="C119" s="28" t="s">
        <v>5</v>
      </c>
      <c r="D119" s="68"/>
      <c r="E119" s="68"/>
      <c r="F119" s="51">
        <f t="shared" si="45"/>
        <v>0</v>
      </c>
      <c r="G119" s="68"/>
      <c r="H119" s="68"/>
      <c r="I119" s="18"/>
      <c r="J119" s="18"/>
      <c r="K119" s="18"/>
      <c r="L119" s="20"/>
      <c r="M119" s="20"/>
      <c r="N119" s="48"/>
      <c r="O119" s="48"/>
      <c r="P119" s="17"/>
      <c r="Q119" s="20"/>
      <c r="R119" s="18"/>
      <c r="S119" s="18"/>
    </row>
    <row r="120" spans="1:19" ht="12.75">
      <c r="A120" s="12" t="s">
        <v>9</v>
      </c>
      <c r="B120" s="12"/>
      <c r="C120" s="28" t="s">
        <v>6</v>
      </c>
      <c r="D120" s="68">
        <v>145</v>
      </c>
      <c r="E120" s="68">
        <f aca="true" t="shared" si="46" ref="E120:E128">G120+H120+I120+J120</f>
        <v>145</v>
      </c>
      <c r="F120" s="51">
        <f t="shared" si="45"/>
        <v>50.2</v>
      </c>
      <c r="G120" s="68">
        <v>50.2</v>
      </c>
      <c r="H120" s="68">
        <v>3.5</v>
      </c>
      <c r="I120" s="18">
        <v>4</v>
      </c>
      <c r="J120" s="18">
        <v>87.3</v>
      </c>
      <c r="K120" s="18">
        <v>27.6</v>
      </c>
      <c r="L120" s="20" t="e">
        <f>K120/#REF!*100</f>
        <v>#REF!</v>
      </c>
      <c r="M120" s="20">
        <f t="shared" si="44"/>
        <v>690</v>
      </c>
      <c r="N120" s="48"/>
      <c r="O120" s="48"/>
      <c r="P120" s="17">
        <f t="shared" si="33"/>
        <v>31.61512027491409</v>
      </c>
      <c r="Q120" s="20">
        <f t="shared" si="30"/>
        <v>54.980079681274894</v>
      </c>
      <c r="R120" s="18">
        <f t="shared" si="31"/>
        <v>19.03448275862069</v>
      </c>
      <c r="S120" s="18">
        <f t="shared" si="27"/>
        <v>19.03448275862069</v>
      </c>
    </row>
    <row r="121" spans="1:19" ht="12.75">
      <c r="A121" s="12" t="s">
        <v>10</v>
      </c>
      <c r="B121" s="12"/>
      <c r="C121" s="28" t="s">
        <v>21</v>
      </c>
      <c r="D121" s="68">
        <v>12</v>
      </c>
      <c r="E121" s="68">
        <f t="shared" si="46"/>
        <v>12</v>
      </c>
      <c r="F121" s="51">
        <f t="shared" si="45"/>
        <v>3</v>
      </c>
      <c r="G121" s="68">
        <v>3</v>
      </c>
      <c r="H121" s="68">
        <v>3</v>
      </c>
      <c r="I121" s="18">
        <v>3</v>
      </c>
      <c r="J121" s="18">
        <v>3</v>
      </c>
      <c r="K121" s="18">
        <v>0.5</v>
      </c>
      <c r="L121" s="20" t="e">
        <f>K121/#REF!*100</f>
        <v>#REF!</v>
      </c>
      <c r="M121" s="20">
        <f t="shared" si="44"/>
        <v>16.666666666666664</v>
      </c>
      <c r="N121" s="48"/>
      <c r="O121" s="48"/>
      <c r="P121" s="17">
        <f t="shared" si="33"/>
        <v>16.666666666666668</v>
      </c>
      <c r="Q121" s="20">
        <f t="shared" si="30"/>
        <v>16.666666666666668</v>
      </c>
      <c r="R121" s="18">
        <f t="shared" si="31"/>
        <v>4.166666666666667</v>
      </c>
      <c r="S121" s="18">
        <f t="shared" si="27"/>
        <v>4.166666666666667</v>
      </c>
    </row>
    <row r="122" spans="1:19" ht="22.5">
      <c r="A122" s="13" t="s">
        <v>11</v>
      </c>
      <c r="B122" s="13"/>
      <c r="C122" s="28" t="s">
        <v>17</v>
      </c>
      <c r="D122" s="68">
        <v>657.2</v>
      </c>
      <c r="E122" s="68">
        <f t="shared" si="46"/>
        <v>657.2</v>
      </c>
      <c r="F122" s="51">
        <f t="shared" si="45"/>
        <v>149.3</v>
      </c>
      <c r="G122" s="68">
        <v>149.3</v>
      </c>
      <c r="H122" s="68">
        <v>149.3</v>
      </c>
      <c r="I122" s="18">
        <v>149.3</v>
      </c>
      <c r="J122" s="18">
        <v>209.3</v>
      </c>
      <c r="K122" s="18">
        <v>4.7</v>
      </c>
      <c r="L122" s="20" t="e">
        <f>K122/#REF!*100</f>
        <v>#REF!</v>
      </c>
      <c r="M122" s="20">
        <f t="shared" si="44"/>
        <v>3.148024112525117</v>
      </c>
      <c r="N122" s="48"/>
      <c r="O122" s="48"/>
      <c r="P122" s="17">
        <f t="shared" si="33"/>
        <v>2.2455805064500716</v>
      </c>
      <c r="Q122" s="20">
        <f t="shared" si="30"/>
        <v>3.148024112525117</v>
      </c>
      <c r="R122" s="18">
        <f t="shared" si="31"/>
        <v>0.7151552038953134</v>
      </c>
      <c r="S122" s="18">
        <f t="shared" si="27"/>
        <v>0.7151552038953134</v>
      </c>
    </row>
    <row r="123" spans="1:19" ht="22.5">
      <c r="A123" s="30" t="s">
        <v>42</v>
      </c>
      <c r="B123" s="30"/>
      <c r="C123" s="28" t="s">
        <v>43</v>
      </c>
      <c r="D123" s="68">
        <v>121.3</v>
      </c>
      <c r="E123" s="68">
        <f t="shared" si="46"/>
        <v>121.3</v>
      </c>
      <c r="F123" s="51">
        <f t="shared" si="45"/>
        <v>30</v>
      </c>
      <c r="G123" s="68">
        <v>30</v>
      </c>
      <c r="H123" s="68">
        <v>40</v>
      </c>
      <c r="I123" s="18">
        <v>17</v>
      </c>
      <c r="J123" s="18">
        <v>34.3</v>
      </c>
      <c r="K123" s="18"/>
      <c r="L123" s="20" t="e">
        <f>K123/#REF!*100</f>
        <v>#REF!</v>
      </c>
      <c r="M123" s="20">
        <f t="shared" si="44"/>
        <v>0</v>
      </c>
      <c r="N123" s="48"/>
      <c r="O123" s="48"/>
      <c r="P123" s="17">
        <f t="shared" si="33"/>
        <v>0</v>
      </c>
      <c r="Q123" s="20">
        <f t="shared" si="30"/>
        <v>0</v>
      </c>
      <c r="R123" s="18">
        <f t="shared" si="31"/>
        <v>0</v>
      </c>
      <c r="S123" s="18">
        <f t="shared" si="27"/>
        <v>0</v>
      </c>
    </row>
    <row r="124" spans="1:19" ht="18" customHeight="1" hidden="1">
      <c r="A124" s="29" t="s">
        <v>18</v>
      </c>
      <c r="B124" s="29"/>
      <c r="C124" s="28" t="s">
        <v>15</v>
      </c>
      <c r="D124" s="68"/>
      <c r="E124" s="68">
        <f t="shared" si="46"/>
        <v>0</v>
      </c>
      <c r="F124" s="51">
        <f t="shared" si="45"/>
        <v>0</v>
      </c>
      <c r="G124" s="68"/>
      <c r="H124" s="68"/>
      <c r="I124" s="18"/>
      <c r="J124" s="18"/>
      <c r="K124" s="18"/>
      <c r="L124" s="20" t="e">
        <f>K124/#REF!*100</f>
        <v>#REF!</v>
      </c>
      <c r="M124" s="20" t="e">
        <f t="shared" si="44"/>
        <v>#DIV/0!</v>
      </c>
      <c r="N124" s="48"/>
      <c r="O124" s="48"/>
      <c r="P124" s="17" t="e">
        <f t="shared" si="33"/>
        <v>#DIV/0!</v>
      </c>
      <c r="Q124" s="20"/>
      <c r="R124" s="18"/>
      <c r="S124" s="18"/>
    </row>
    <row r="125" spans="1:19" ht="16.5" customHeight="1" hidden="1">
      <c r="A125" s="21" t="s">
        <v>12</v>
      </c>
      <c r="B125" s="21"/>
      <c r="C125" s="28" t="s">
        <v>7</v>
      </c>
      <c r="D125" s="68"/>
      <c r="E125" s="68">
        <f t="shared" si="46"/>
        <v>0</v>
      </c>
      <c r="F125" s="51">
        <f t="shared" si="45"/>
        <v>0</v>
      </c>
      <c r="G125" s="68"/>
      <c r="H125" s="68"/>
      <c r="I125" s="18"/>
      <c r="J125" s="18"/>
      <c r="K125" s="18"/>
      <c r="L125" s="20"/>
      <c r="M125" s="20"/>
      <c r="N125" s="48"/>
      <c r="O125" s="48"/>
      <c r="P125" s="17" t="e">
        <f t="shared" si="33"/>
        <v>#DIV/0!</v>
      </c>
      <c r="Q125" s="27" t="e">
        <f t="shared" si="30"/>
        <v>#DIV/0!</v>
      </c>
      <c r="R125" s="24" t="e">
        <f t="shared" si="31"/>
        <v>#DIV/0!</v>
      </c>
      <c r="S125" s="18" t="e">
        <f t="shared" si="27"/>
        <v>#DIV/0!</v>
      </c>
    </row>
    <row r="126" spans="1:19" ht="14.25" customHeight="1">
      <c r="A126" s="29" t="s">
        <v>39</v>
      </c>
      <c r="B126" s="83"/>
      <c r="C126" s="16" t="s">
        <v>40</v>
      </c>
      <c r="D126" s="68"/>
      <c r="E126" s="68">
        <f t="shared" si="46"/>
        <v>0</v>
      </c>
      <c r="F126" s="51">
        <f t="shared" si="45"/>
        <v>0</v>
      </c>
      <c r="G126" s="68"/>
      <c r="H126" s="68"/>
      <c r="I126" s="18"/>
      <c r="J126" s="18"/>
      <c r="K126" s="18"/>
      <c r="L126" s="20"/>
      <c r="M126" s="20"/>
      <c r="N126" s="48"/>
      <c r="O126" s="48"/>
      <c r="P126" s="17" t="e">
        <f t="shared" si="33"/>
        <v>#DIV/0!</v>
      </c>
      <c r="Q126" s="27"/>
      <c r="R126" s="24"/>
      <c r="S126" s="18"/>
    </row>
    <row r="127" spans="1:19" ht="12.75">
      <c r="A127" s="25" t="s">
        <v>1</v>
      </c>
      <c r="B127" s="25"/>
      <c r="C127" s="32" t="s">
        <v>0</v>
      </c>
      <c r="D127" s="33">
        <f aca="true" t="shared" si="47" ref="D127:L127">D128</f>
        <v>29006.8</v>
      </c>
      <c r="E127" s="33">
        <f t="shared" si="47"/>
        <v>29519.800000000003</v>
      </c>
      <c r="F127" s="84">
        <f t="shared" si="47"/>
        <v>5679.1</v>
      </c>
      <c r="G127" s="84">
        <f t="shared" si="47"/>
        <v>5679.1</v>
      </c>
      <c r="H127" s="84">
        <f t="shared" si="47"/>
        <v>8495.3</v>
      </c>
      <c r="I127" s="84">
        <f t="shared" si="47"/>
        <v>8811.5</v>
      </c>
      <c r="J127" s="33">
        <f t="shared" si="47"/>
        <v>6533.9</v>
      </c>
      <c r="K127" s="33">
        <f t="shared" si="47"/>
        <v>799.9</v>
      </c>
      <c r="L127" s="33" t="e">
        <f t="shared" si="47"/>
        <v>#REF!</v>
      </c>
      <c r="M127" s="27">
        <f>K127/I127*100</f>
        <v>9.077909550019859</v>
      </c>
      <c r="N127" s="48"/>
      <c r="O127" s="48"/>
      <c r="P127" s="36">
        <f t="shared" si="33"/>
        <v>12.242305514317636</v>
      </c>
      <c r="Q127" s="27">
        <f t="shared" si="30"/>
        <v>14.08497825359652</v>
      </c>
      <c r="R127" s="24">
        <f t="shared" si="31"/>
        <v>2.7097067053299817</v>
      </c>
      <c r="S127" s="24">
        <f t="shared" si="27"/>
        <v>2.7576292455562146</v>
      </c>
    </row>
    <row r="128" spans="1:19" ht="22.5">
      <c r="A128" s="14" t="s">
        <v>67</v>
      </c>
      <c r="B128" s="12"/>
      <c r="C128" s="34" t="s">
        <v>20</v>
      </c>
      <c r="D128" s="37">
        <v>29006.8</v>
      </c>
      <c r="E128" s="68">
        <f t="shared" si="46"/>
        <v>29519.800000000003</v>
      </c>
      <c r="F128" s="51">
        <f t="shared" si="45"/>
        <v>5679.1</v>
      </c>
      <c r="G128" s="68">
        <v>5679.1</v>
      </c>
      <c r="H128" s="68">
        <v>8495.3</v>
      </c>
      <c r="I128" s="18">
        <v>8811.5</v>
      </c>
      <c r="J128" s="18">
        <v>6533.9</v>
      </c>
      <c r="K128" s="18">
        <v>799.9</v>
      </c>
      <c r="L128" s="20" t="e">
        <f>K128/#REF!*100</f>
        <v>#REF!</v>
      </c>
      <c r="M128" s="20">
        <f>K128/I128*100</f>
        <v>9.077909550019859</v>
      </c>
      <c r="N128" s="48"/>
      <c r="O128" s="48"/>
      <c r="P128" s="17">
        <f t="shared" si="33"/>
        <v>12.242305514317636</v>
      </c>
      <c r="Q128" s="20">
        <f t="shared" si="30"/>
        <v>14.08497825359652</v>
      </c>
      <c r="R128" s="18">
        <f t="shared" si="31"/>
        <v>2.7097067053299817</v>
      </c>
      <c r="S128" s="18">
        <f t="shared" si="27"/>
        <v>2.7576292455562146</v>
      </c>
    </row>
    <row r="129" spans="1:19" ht="12.75">
      <c r="A129" s="21"/>
      <c r="B129" s="22"/>
      <c r="C129" s="23" t="s">
        <v>4</v>
      </c>
      <c r="D129" s="24">
        <f aca="true" t="shared" si="48" ref="D129:K129">D127+D115</f>
        <v>34060.6</v>
      </c>
      <c r="E129" s="24">
        <f t="shared" si="48"/>
        <v>34573.600000000006</v>
      </c>
      <c r="F129" s="24">
        <f t="shared" si="48"/>
        <v>6752.700000000001</v>
      </c>
      <c r="G129" s="24">
        <f t="shared" si="48"/>
        <v>6752.700000000001</v>
      </c>
      <c r="H129" s="24">
        <f t="shared" si="48"/>
        <v>9739.099999999999</v>
      </c>
      <c r="I129" s="24">
        <f t="shared" si="48"/>
        <v>10058</v>
      </c>
      <c r="J129" s="24">
        <f t="shared" si="48"/>
        <v>8023.799999999999</v>
      </c>
      <c r="K129" s="24">
        <f t="shared" si="48"/>
        <v>1167.6999999999998</v>
      </c>
      <c r="L129" s="27" t="e">
        <f>K129/#REF!*100</f>
        <v>#REF!</v>
      </c>
      <c r="M129" s="27">
        <f>K129/I129*100</f>
        <v>11.609663949095246</v>
      </c>
      <c r="N129" s="48"/>
      <c r="O129" s="49" t="e">
        <f>J129+#REF!+#REF!</f>
        <v>#REF!</v>
      </c>
      <c r="P129" s="36">
        <f t="shared" si="33"/>
        <v>14.552954958996983</v>
      </c>
      <c r="Q129" s="27">
        <f t="shared" si="30"/>
        <v>17.292342322330324</v>
      </c>
      <c r="R129" s="24">
        <f t="shared" si="31"/>
        <v>3.3774324918434866</v>
      </c>
      <c r="S129" s="24">
        <f t="shared" si="27"/>
        <v>3.4283013217618006</v>
      </c>
    </row>
    <row r="130" spans="1:19" ht="12.75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48"/>
      <c r="O130" s="48"/>
      <c r="P130" s="47"/>
      <c r="Q130" s="27"/>
      <c r="R130" s="24"/>
      <c r="S130" s="18"/>
    </row>
    <row r="131" spans="1:19" ht="12.75">
      <c r="A131" s="93" t="s">
        <v>31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6"/>
    </row>
    <row r="132" spans="1:19" ht="12.75">
      <c r="A132" s="25" t="s">
        <v>3</v>
      </c>
      <c r="B132" s="25"/>
      <c r="C132" s="26" t="s">
        <v>68</v>
      </c>
      <c r="D132" s="27">
        <f aca="true" t="shared" si="49" ref="D132:J132">D133+D135+D136+D137+D139+D141+D138+D140+D134</f>
        <v>10033.1</v>
      </c>
      <c r="E132" s="27">
        <f t="shared" si="49"/>
        <v>10033.099999999999</v>
      </c>
      <c r="F132" s="27">
        <f t="shared" si="49"/>
        <v>1784.1</v>
      </c>
      <c r="G132" s="27">
        <f t="shared" si="49"/>
        <v>1784.1</v>
      </c>
      <c r="H132" s="27">
        <f t="shared" si="49"/>
        <v>3024.3</v>
      </c>
      <c r="I132" s="27">
        <f t="shared" si="49"/>
        <v>2790.7</v>
      </c>
      <c r="J132" s="27">
        <f t="shared" si="49"/>
        <v>2434</v>
      </c>
      <c r="K132" s="27">
        <f>K133+K135+K136+K137+K139+K141+K138+K140+K134</f>
        <v>916.8</v>
      </c>
      <c r="L132" s="27" t="e">
        <f>K132/#REF!*100</f>
        <v>#REF!</v>
      </c>
      <c r="M132" s="27">
        <f aca="true" t="shared" si="50" ref="M132:M139">K132/I132*100</f>
        <v>32.85197262335615</v>
      </c>
      <c r="N132" s="48"/>
      <c r="O132" s="48"/>
      <c r="P132" s="27">
        <f t="shared" si="33"/>
        <v>37.666392769104355</v>
      </c>
      <c r="Q132" s="27">
        <f t="shared" si="30"/>
        <v>51.38725407768623</v>
      </c>
      <c r="R132" s="24">
        <f t="shared" si="31"/>
        <v>9.137754034146974</v>
      </c>
      <c r="S132" s="24">
        <f t="shared" si="27"/>
        <v>9.137754034146973</v>
      </c>
    </row>
    <row r="133" spans="1:19" ht="12.75">
      <c r="A133" s="21" t="s">
        <v>23</v>
      </c>
      <c r="B133" s="21"/>
      <c r="C133" s="28" t="s">
        <v>22</v>
      </c>
      <c r="D133" s="68">
        <v>2950</v>
      </c>
      <c r="E133" s="68">
        <f>G133+H133+I133+J133</f>
        <v>2950</v>
      </c>
      <c r="F133" s="51">
        <f aca="true" t="shared" si="51" ref="F133:F145">G133</f>
        <v>531</v>
      </c>
      <c r="G133" s="37">
        <v>531</v>
      </c>
      <c r="H133" s="37">
        <v>914.5</v>
      </c>
      <c r="I133" s="17">
        <v>796.5</v>
      </c>
      <c r="J133" s="18">
        <v>708</v>
      </c>
      <c r="K133" s="18">
        <v>90.1</v>
      </c>
      <c r="L133" s="20" t="e">
        <f>K133/#REF!*100</f>
        <v>#REF!</v>
      </c>
      <c r="M133" s="20">
        <f t="shared" si="50"/>
        <v>11.311989956057753</v>
      </c>
      <c r="N133" s="48"/>
      <c r="O133" s="48"/>
      <c r="P133" s="17">
        <f t="shared" si="33"/>
        <v>12.725988700564972</v>
      </c>
      <c r="Q133" s="20">
        <f t="shared" si="30"/>
        <v>16.96798493408663</v>
      </c>
      <c r="R133" s="18">
        <f t="shared" si="31"/>
        <v>3.0542372881355933</v>
      </c>
      <c r="S133" s="18">
        <f t="shared" si="27"/>
        <v>3.0542372881355933</v>
      </c>
    </row>
    <row r="134" spans="1:19" ht="12.75">
      <c r="A134" s="12" t="s">
        <v>70</v>
      </c>
      <c r="B134" s="12"/>
      <c r="C134" s="28" t="s">
        <v>71</v>
      </c>
      <c r="D134" s="68">
        <v>6359.1</v>
      </c>
      <c r="E134" s="68">
        <f>G134+H134+I134+J134</f>
        <v>6359.099999999999</v>
      </c>
      <c r="F134" s="51">
        <f t="shared" si="51"/>
        <v>1144.6</v>
      </c>
      <c r="G134" s="37">
        <v>1144.6</v>
      </c>
      <c r="H134" s="37">
        <v>1971.6</v>
      </c>
      <c r="I134" s="17">
        <v>1716.7</v>
      </c>
      <c r="J134" s="18">
        <v>1526.2</v>
      </c>
      <c r="K134" s="18">
        <v>657.5</v>
      </c>
      <c r="L134" s="20"/>
      <c r="M134" s="20"/>
      <c r="N134" s="48"/>
      <c r="O134" s="48"/>
      <c r="P134" s="17"/>
      <c r="Q134" s="20">
        <f>K134*100/F134</f>
        <v>57.4436484361349</v>
      </c>
      <c r="R134" s="18">
        <f>K134*100/E134</f>
        <v>10.339513453161612</v>
      </c>
      <c r="S134" s="18">
        <f t="shared" si="27"/>
        <v>10.33951345316161</v>
      </c>
    </row>
    <row r="135" spans="1:19" ht="12.75">
      <c r="A135" s="12" t="s">
        <v>9</v>
      </c>
      <c r="B135" s="12"/>
      <c r="C135" s="28" t="s">
        <v>6</v>
      </c>
      <c r="D135" s="68">
        <v>394</v>
      </c>
      <c r="E135" s="68">
        <f aca="true" t="shared" si="52" ref="E135:E144">G135+H135+I135+J135</f>
        <v>394</v>
      </c>
      <c r="F135" s="51">
        <f t="shared" si="51"/>
        <v>69.7</v>
      </c>
      <c r="G135" s="37">
        <v>69.7</v>
      </c>
      <c r="H135" s="37">
        <v>95.1</v>
      </c>
      <c r="I135" s="17">
        <v>84.8</v>
      </c>
      <c r="J135" s="18">
        <v>144.4</v>
      </c>
      <c r="K135" s="18">
        <v>77.9</v>
      </c>
      <c r="L135" s="20" t="e">
        <f>K135/#REF!*100</f>
        <v>#REF!</v>
      </c>
      <c r="M135" s="20">
        <f t="shared" si="50"/>
        <v>91.86320754716982</v>
      </c>
      <c r="N135" s="48"/>
      <c r="O135" s="48"/>
      <c r="P135" s="17">
        <f t="shared" si="33"/>
        <v>53.94736842105264</v>
      </c>
      <c r="Q135" s="20">
        <f t="shared" si="30"/>
        <v>111.76470588235296</v>
      </c>
      <c r="R135" s="18">
        <f t="shared" si="31"/>
        <v>19.771573604060915</v>
      </c>
      <c r="S135" s="18">
        <f t="shared" si="27"/>
        <v>19.771573604060915</v>
      </c>
    </row>
    <row r="136" spans="1:19" ht="12.75">
      <c r="A136" s="12" t="s">
        <v>10</v>
      </c>
      <c r="B136" s="12"/>
      <c r="C136" s="28" t="s">
        <v>21</v>
      </c>
      <c r="D136" s="68">
        <v>10</v>
      </c>
      <c r="E136" s="68">
        <f t="shared" si="52"/>
        <v>10</v>
      </c>
      <c r="F136" s="51">
        <f t="shared" si="51"/>
        <v>1.8</v>
      </c>
      <c r="G136" s="37">
        <v>1.8</v>
      </c>
      <c r="H136" s="37">
        <v>3.1</v>
      </c>
      <c r="I136" s="17">
        <v>2.7</v>
      </c>
      <c r="J136" s="18">
        <v>2.4</v>
      </c>
      <c r="K136" s="18">
        <v>1.8</v>
      </c>
      <c r="L136" s="20" t="e">
        <f>K136/#REF!*100</f>
        <v>#REF!</v>
      </c>
      <c r="M136" s="20">
        <f t="shared" si="50"/>
        <v>66.66666666666666</v>
      </c>
      <c r="N136" s="48"/>
      <c r="O136" s="48"/>
      <c r="P136" s="17">
        <f t="shared" si="33"/>
        <v>75</v>
      </c>
      <c r="Q136" s="20">
        <f t="shared" si="30"/>
        <v>100</v>
      </c>
      <c r="R136" s="18">
        <f t="shared" si="31"/>
        <v>18</v>
      </c>
      <c r="S136" s="18">
        <f t="shared" si="27"/>
        <v>18</v>
      </c>
    </row>
    <row r="137" spans="1:19" ht="22.5">
      <c r="A137" s="13" t="s">
        <v>11</v>
      </c>
      <c r="B137" s="13"/>
      <c r="C137" s="28" t="s">
        <v>17</v>
      </c>
      <c r="D137" s="68">
        <v>220</v>
      </c>
      <c r="E137" s="68">
        <f t="shared" si="52"/>
        <v>220</v>
      </c>
      <c r="F137" s="51">
        <f t="shared" si="51"/>
        <v>12</v>
      </c>
      <c r="G137" s="37">
        <v>12</v>
      </c>
      <c r="H137" s="37">
        <v>15</v>
      </c>
      <c r="I137" s="17">
        <v>165</v>
      </c>
      <c r="J137" s="18">
        <v>28</v>
      </c>
      <c r="K137" s="18">
        <v>44.1</v>
      </c>
      <c r="L137" s="20" t="e">
        <f>K137/#REF!*100</f>
        <v>#REF!</v>
      </c>
      <c r="M137" s="20">
        <f t="shared" si="50"/>
        <v>26.727272727272727</v>
      </c>
      <c r="N137" s="48"/>
      <c r="O137" s="48"/>
      <c r="P137" s="17">
        <f t="shared" si="33"/>
        <v>157.5</v>
      </c>
      <c r="Q137" s="20">
        <f t="shared" si="30"/>
        <v>367.5</v>
      </c>
      <c r="R137" s="18">
        <f t="shared" si="31"/>
        <v>20.045454545454547</v>
      </c>
      <c r="S137" s="18">
        <f t="shared" si="27"/>
        <v>20.045454545454547</v>
      </c>
    </row>
    <row r="138" spans="1:19" ht="22.5">
      <c r="A138" s="30" t="s">
        <v>42</v>
      </c>
      <c r="B138" s="30"/>
      <c r="C138" s="28" t="s">
        <v>43</v>
      </c>
      <c r="D138" s="68">
        <v>100</v>
      </c>
      <c r="E138" s="68">
        <f t="shared" si="52"/>
        <v>100</v>
      </c>
      <c r="F138" s="51">
        <f t="shared" si="51"/>
        <v>25</v>
      </c>
      <c r="G138" s="37">
        <v>25</v>
      </c>
      <c r="H138" s="37">
        <v>25</v>
      </c>
      <c r="I138" s="17">
        <v>25</v>
      </c>
      <c r="J138" s="18">
        <v>25</v>
      </c>
      <c r="K138" s="18"/>
      <c r="L138" s="20" t="e">
        <f>K138/#REF!*100</f>
        <v>#REF!</v>
      </c>
      <c r="M138" s="20">
        <f t="shared" si="50"/>
        <v>0</v>
      </c>
      <c r="N138" s="48"/>
      <c r="O138" s="48"/>
      <c r="P138" s="17">
        <f t="shared" si="33"/>
        <v>0</v>
      </c>
      <c r="Q138" s="20">
        <f t="shared" si="30"/>
        <v>0</v>
      </c>
      <c r="R138" s="18">
        <f t="shared" si="31"/>
        <v>0</v>
      </c>
      <c r="S138" s="18">
        <f aca="true" t="shared" si="53" ref="S138:S202">K138*100/D138</f>
        <v>0</v>
      </c>
    </row>
    <row r="139" spans="1:19" ht="18.75" customHeight="1" hidden="1">
      <c r="A139" s="30" t="s">
        <v>18</v>
      </c>
      <c r="B139" s="30"/>
      <c r="C139" s="28" t="s">
        <v>15</v>
      </c>
      <c r="D139" s="68">
        <v>0</v>
      </c>
      <c r="E139" s="68">
        <f t="shared" si="52"/>
        <v>0</v>
      </c>
      <c r="F139" s="51">
        <f t="shared" si="51"/>
        <v>0</v>
      </c>
      <c r="G139" s="37"/>
      <c r="H139" s="37"/>
      <c r="I139" s="17"/>
      <c r="J139" s="18"/>
      <c r="K139" s="18"/>
      <c r="L139" s="20" t="e">
        <f>K139/#REF!*100</f>
        <v>#REF!</v>
      </c>
      <c r="M139" s="20" t="e">
        <f t="shared" si="50"/>
        <v>#DIV/0!</v>
      </c>
      <c r="N139" s="48"/>
      <c r="O139" s="48"/>
      <c r="P139" s="17" t="e">
        <f t="shared" si="33"/>
        <v>#DIV/0!</v>
      </c>
      <c r="Q139" s="20" t="e">
        <f t="shared" si="30"/>
        <v>#DIV/0!</v>
      </c>
      <c r="R139" s="18" t="e">
        <f t="shared" si="31"/>
        <v>#DIV/0!</v>
      </c>
      <c r="S139" s="18"/>
    </row>
    <row r="140" spans="1:19" ht="15" customHeight="1" hidden="1">
      <c r="A140" s="21" t="s">
        <v>12</v>
      </c>
      <c r="B140" s="21"/>
      <c r="C140" s="28" t="s">
        <v>7</v>
      </c>
      <c r="D140" s="68"/>
      <c r="E140" s="68">
        <f t="shared" si="52"/>
        <v>0</v>
      </c>
      <c r="F140" s="51">
        <f t="shared" si="51"/>
        <v>0</v>
      </c>
      <c r="G140" s="37"/>
      <c r="H140" s="37"/>
      <c r="I140" s="17"/>
      <c r="J140" s="18"/>
      <c r="K140" s="18"/>
      <c r="L140" s="20"/>
      <c r="M140" s="20"/>
      <c r="N140" s="48"/>
      <c r="O140" s="48"/>
      <c r="P140" s="17"/>
      <c r="Q140" s="20"/>
      <c r="R140" s="18"/>
      <c r="S140" s="18"/>
    </row>
    <row r="141" spans="1:19" ht="18" customHeight="1">
      <c r="A141" s="30" t="s">
        <v>39</v>
      </c>
      <c r="B141" s="83"/>
      <c r="C141" s="16" t="s">
        <v>40</v>
      </c>
      <c r="D141" s="68"/>
      <c r="E141" s="68">
        <f t="shared" si="52"/>
        <v>0</v>
      </c>
      <c r="F141" s="51">
        <f t="shared" si="51"/>
        <v>0</v>
      </c>
      <c r="G141" s="37"/>
      <c r="H141" s="37"/>
      <c r="I141" s="17"/>
      <c r="J141" s="18"/>
      <c r="K141" s="17">
        <v>45.4</v>
      </c>
      <c r="L141" s="20"/>
      <c r="M141" s="20"/>
      <c r="N141" s="48"/>
      <c r="O141" s="48"/>
      <c r="P141" s="17"/>
      <c r="Q141" s="20"/>
      <c r="R141" s="18"/>
      <c r="S141" s="18"/>
    </row>
    <row r="142" spans="1:19" ht="18" customHeight="1">
      <c r="A142" s="63" t="s">
        <v>1</v>
      </c>
      <c r="B142" s="63"/>
      <c r="C142" s="32" t="s">
        <v>0</v>
      </c>
      <c r="D142" s="33">
        <f aca="true" t="shared" si="54" ref="D142:K142">D143+D144+D145</f>
        <v>42946.5</v>
      </c>
      <c r="E142" s="33">
        <f t="shared" si="54"/>
        <v>43263.799999999996</v>
      </c>
      <c r="F142" s="33">
        <f t="shared" si="54"/>
        <v>9144.9</v>
      </c>
      <c r="G142" s="33">
        <f t="shared" si="54"/>
        <v>9144.9</v>
      </c>
      <c r="H142" s="33">
        <f t="shared" si="54"/>
        <v>11571.3</v>
      </c>
      <c r="I142" s="33">
        <f t="shared" si="54"/>
        <v>12456.7</v>
      </c>
      <c r="J142" s="33">
        <f t="shared" si="54"/>
        <v>10090.9</v>
      </c>
      <c r="K142" s="33">
        <f t="shared" si="54"/>
        <v>1336.8</v>
      </c>
      <c r="L142" s="27" t="e">
        <f>K142/#REF!*100</f>
        <v>#REF!</v>
      </c>
      <c r="M142" s="27">
        <f>K142/I142*100</f>
        <v>10.731574172935046</v>
      </c>
      <c r="N142" s="48"/>
      <c r="O142" s="48"/>
      <c r="P142" s="36">
        <f t="shared" si="33"/>
        <v>13.247579502323877</v>
      </c>
      <c r="Q142" s="27">
        <f t="shared" si="30"/>
        <v>14.617983794245974</v>
      </c>
      <c r="R142" s="24">
        <f t="shared" si="31"/>
        <v>3.089881147749389</v>
      </c>
      <c r="S142" s="24">
        <f t="shared" si="53"/>
        <v>3.112709999650728</v>
      </c>
    </row>
    <row r="143" spans="1:19" ht="22.5">
      <c r="A143" s="14" t="s">
        <v>67</v>
      </c>
      <c r="B143" s="12"/>
      <c r="C143" s="34" t="s">
        <v>20</v>
      </c>
      <c r="D143" s="37">
        <v>42946.5</v>
      </c>
      <c r="E143" s="68">
        <f t="shared" si="52"/>
        <v>43263.799999999996</v>
      </c>
      <c r="F143" s="51">
        <f t="shared" si="51"/>
        <v>9144.9</v>
      </c>
      <c r="G143" s="37">
        <v>9144.9</v>
      </c>
      <c r="H143" s="37">
        <v>11571.3</v>
      </c>
      <c r="I143" s="17">
        <v>12456.7</v>
      </c>
      <c r="J143" s="18">
        <v>10090.9</v>
      </c>
      <c r="K143" s="18">
        <v>1336.8</v>
      </c>
      <c r="L143" s="20" t="e">
        <f>K143/#REF!*100</f>
        <v>#REF!</v>
      </c>
      <c r="M143" s="20">
        <f>K143/I143*100</f>
        <v>10.731574172935046</v>
      </c>
      <c r="N143" s="48"/>
      <c r="O143" s="48"/>
      <c r="P143" s="17">
        <f t="shared" si="33"/>
        <v>13.247579502323877</v>
      </c>
      <c r="Q143" s="20">
        <f t="shared" si="30"/>
        <v>14.617983794245974</v>
      </c>
      <c r="R143" s="18">
        <f t="shared" si="31"/>
        <v>3.089881147749389</v>
      </c>
      <c r="S143" s="18">
        <f t="shared" si="53"/>
        <v>3.112709999650728</v>
      </c>
    </row>
    <row r="144" spans="1:19" ht="12.75" customHeight="1" hidden="1">
      <c r="A144" s="14" t="s">
        <v>2</v>
      </c>
      <c r="B144" s="14"/>
      <c r="C144" s="35" t="s">
        <v>19</v>
      </c>
      <c r="D144" s="35"/>
      <c r="E144" s="68">
        <f t="shared" si="52"/>
        <v>0</v>
      </c>
      <c r="F144" s="51">
        <f t="shared" si="51"/>
        <v>0</v>
      </c>
      <c r="G144" s="81"/>
      <c r="H144" s="81"/>
      <c r="I144" s="17"/>
      <c r="J144" s="18"/>
      <c r="K144" s="18"/>
      <c r="L144" s="20"/>
      <c r="M144" s="20"/>
      <c r="N144" s="48"/>
      <c r="O144" s="48"/>
      <c r="P144" s="17" t="e">
        <f t="shared" si="33"/>
        <v>#DIV/0!</v>
      </c>
      <c r="Q144" s="20"/>
      <c r="R144" s="18"/>
      <c r="S144" s="18"/>
    </row>
    <row r="145" spans="1:19" ht="33" customHeight="1" hidden="1">
      <c r="A145" s="14" t="s">
        <v>66</v>
      </c>
      <c r="B145" s="70"/>
      <c r="C145" s="19" t="s">
        <v>63</v>
      </c>
      <c r="D145" s="35"/>
      <c r="E145" s="68"/>
      <c r="F145" s="51">
        <f t="shared" si="51"/>
        <v>0</v>
      </c>
      <c r="G145" s="81"/>
      <c r="H145" s="81"/>
      <c r="I145" s="17"/>
      <c r="J145" s="18"/>
      <c r="K145" s="18"/>
      <c r="L145" s="20"/>
      <c r="M145" s="20"/>
      <c r="N145" s="48"/>
      <c r="O145" s="48"/>
      <c r="P145" s="17"/>
      <c r="Q145" s="20"/>
      <c r="R145" s="18"/>
      <c r="S145" s="18"/>
    </row>
    <row r="146" spans="1:19" ht="12.75">
      <c r="A146" s="21"/>
      <c r="B146" s="22"/>
      <c r="C146" s="23" t="s">
        <v>4</v>
      </c>
      <c r="D146" s="24">
        <f aca="true" t="shared" si="55" ref="D146:K146">D142+D132</f>
        <v>52979.6</v>
      </c>
      <c r="E146" s="24">
        <f t="shared" si="55"/>
        <v>53296.899999999994</v>
      </c>
      <c r="F146" s="24">
        <f t="shared" si="55"/>
        <v>10929</v>
      </c>
      <c r="G146" s="36">
        <f t="shared" si="55"/>
        <v>10929</v>
      </c>
      <c r="H146" s="36">
        <f t="shared" si="55"/>
        <v>14595.599999999999</v>
      </c>
      <c r="I146" s="36">
        <f t="shared" si="55"/>
        <v>15247.400000000001</v>
      </c>
      <c r="J146" s="24">
        <f t="shared" si="55"/>
        <v>12524.9</v>
      </c>
      <c r="K146" s="24">
        <f t="shared" si="55"/>
        <v>2253.6</v>
      </c>
      <c r="L146" s="27" t="e">
        <f>K146/#REF!*100</f>
        <v>#REF!</v>
      </c>
      <c r="M146" s="27">
        <f>K146/I146*100</f>
        <v>14.7802248252161</v>
      </c>
      <c r="N146" s="48"/>
      <c r="O146" s="49" t="e">
        <f>J146+#REF!+#REF!</f>
        <v>#REF!</v>
      </c>
      <c r="P146" s="36">
        <f t="shared" si="33"/>
        <v>17.992958027609003</v>
      </c>
      <c r="Q146" s="27">
        <f t="shared" si="30"/>
        <v>20.6203678287126</v>
      </c>
      <c r="R146" s="24">
        <f t="shared" si="31"/>
        <v>4.228388517906295</v>
      </c>
      <c r="S146" s="24">
        <f t="shared" si="53"/>
        <v>4.253712749813135</v>
      </c>
    </row>
    <row r="147" spans="1:19" ht="12.75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5"/>
      <c r="N147" s="48"/>
      <c r="O147" s="48"/>
      <c r="P147" s="47"/>
      <c r="Q147" s="27"/>
      <c r="R147" s="24"/>
      <c r="S147" s="18"/>
    </row>
    <row r="148" spans="1:19" ht="12.75">
      <c r="A148" s="93" t="s">
        <v>32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6"/>
    </row>
    <row r="149" spans="1:19" ht="12.75">
      <c r="A149" s="25" t="s">
        <v>3</v>
      </c>
      <c r="B149" s="25"/>
      <c r="C149" s="26" t="s">
        <v>68</v>
      </c>
      <c r="D149" s="27">
        <f aca="true" t="shared" si="56" ref="D149:K149">D150+D153+D155+D157+D154+D158+D156+D159+D152+D151</f>
        <v>20058.2</v>
      </c>
      <c r="E149" s="27">
        <f t="shared" si="56"/>
        <v>20058.2</v>
      </c>
      <c r="F149" s="27">
        <f t="shared" si="56"/>
        <v>4954.4</v>
      </c>
      <c r="G149" s="27">
        <f t="shared" si="56"/>
        <v>4954.4</v>
      </c>
      <c r="H149" s="27">
        <f t="shared" si="56"/>
        <v>5135.2</v>
      </c>
      <c r="I149" s="27">
        <f t="shared" si="56"/>
        <v>5636.5</v>
      </c>
      <c r="J149" s="27">
        <f t="shared" si="56"/>
        <v>4332.099999999999</v>
      </c>
      <c r="K149" s="27">
        <f t="shared" si="56"/>
        <v>1836.7000000000003</v>
      </c>
      <c r="L149" s="27" t="e">
        <f>K149/#REF!*100</f>
        <v>#REF!</v>
      </c>
      <c r="M149" s="27">
        <f>K149/I149*100</f>
        <v>32.585824536503154</v>
      </c>
      <c r="N149" s="48"/>
      <c r="O149" s="48"/>
      <c r="P149" s="27">
        <f t="shared" si="33"/>
        <v>42.397451582373456</v>
      </c>
      <c r="Q149" s="27">
        <f t="shared" si="30"/>
        <v>37.07209752946876</v>
      </c>
      <c r="R149" s="24">
        <f t="shared" si="31"/>
        <v>9.1568535561516</v>
      </c>
      <c r="S149" s="24">
        <f t="shared" si="53"/>
        <v>9.1568535561516</v>
      </c>
    </row>
    <row r="150" spans="1:19" ht="12.75">
      <c r="A150" s="21" t="s">
        <v>23</v>
      </c>
      <c r="B150" s="21"/>
      <c r="C150" s="28" t="s">
        <v>22</v>
      </c>
      <c r="D150" s="68">
        <v>13450</v>
      </c>
      <c r="E150" s="37">
        <f>G150+H150+I150+J150</f>
        <v>13450</v>
      </c>
      <c r="F150" s="51">
        <f aca="true" t="shared" si="57" ref="F150:F161">G150</f>
        <v>3322.2</v>
      </c>
      <c r="G150" s="37">
        <v>3322.2</v>
      </c>
      <c r="H150" s="37">
        <v>3443.6</v>
      </c>
      <c r="I150" s="17">
        <v>3779.5</v>
      </c>
      <c r="J150" s="18">
        <v>2904.7</v>
      </c>
      <c r="K150" s="18">
        <v>937.3</v>
      </c>
      <c r="L150" s="20" t="e">
        <f>K150/#REF!*100</f>
        <v>#REF!</v>
      </c>
      <c r="M150" s="20">
        <f>K150/I150*100</f>
        <v>24.799576663579835</v>
      </c>
      <c r="N150" s="48"/>
      <c r="O150" s="48"/>
      <c r="P150" s="17">
        <f t="shared" si="33"/>
        <v>32.26839260508831</v>
      </c>
      <c r="Q150" s="20">
        <f t="shared" si="30"/>
        <v>28.21323219553308</v>
      </c>
      <c r="R150" s="18">
        <f t="shared" si="31"/>
        <v>6.968773234200744</v>
      </c>
      <c r="S150" s="18">
        <f t="shared" si="53"/>
        <v>6.968773234200744</v>
      </c>
    </row>
    <row r="151" spans="1:19" ht="12.75">
      <c r="A151" s="12" t="s">
        <v>70</v>
      </c>
      <c r="B151" s="12"/>
      <c r="C151" s="28" t="s">
        <v>71</v>
      </c>
      <c r="D151" s="68">
        <v>4776.3</v>
      </c>
      <c r="E151" s="37">
        <f>G151+H151+I151+J151</f>
        <v>4776.3</v>
      </c>
      <c r="F151" s="51">
        <f t="shared" si="57"/>
        <v>1179.7</v>
      </c>
      <c r="G151" s="37">
        <v>1179.7</v>
      </c>
      <c r="H151" s="37">
        <v>1222.7</v>
      </c>
      <c r="I151" s="17">
        <v>1342.2</v>
      </c>
      <c r="J151" s="18">
        <v>1031.7</v>
      </c>
      <c r="K151" s="18">
        <v>493.9</v>
      </c>
      <c r="L151" s="20"/>
      <c r="M151" s="20"/>
      <c r="N151" s="48"/>
      <c r="O151" s="48"/>
      <c r="P151" s="17"/>
      <c r="Q151" s="20">
        <f>K151*100/F151</f>
        <v>41.86657624819869</v>
      </c>
      <c r="R151" s="18">
        <f>K151*100/E151</f>
        <v>10.340640244540753</v>
      </c>
      <c r="S151" s="18">
        <f t="shared" si="53"/>
        <v>10.340640244540753</v>
      </c>
    </row>
    <row r="152" spans="1:19" ht="12.75" customHeight="1">
      <c r="A152" s="12" t="s">
        <v>8</v>
      </c>
      <c r="B152" s="12"/>
      <c r="C152" s="28" t="s">
        <v>5</v>
      </c>
      <c r="D152" s="68">
        <v>10</v>
      </c>
      <c r="E152" s="37">
        <f aca="true" t="shared" si="58" ref="E152:E161">G152+H152+I152+J152</f>
        <v>10</v>
      </c>
      <c r="F152" s="51">
        <f t="shared" si="57"/>
        <v>2.5</v>
      </c>
      <c r="G152" s="37">
        <v>2.5</v>
      </c>
      <c r="H152" s="37">
        <v>2.5</v>
      </c>
      <c r="I152" s="17">
        <v>2.8</v>
      </c>
      <c r="J152" s="18">
        <v>2.2</v>
      </c>
      <c r="K152" s="18"/>
      <c r="L152" s="20"/>
      <c r="M152" s="20"/>
      <c r="N152" s="48"/>
      <c r="O152" s="48"/>
      <c r="P152" s="17">
        <f t="shared" si="33"/>
        <v>0</v>
      </c>
      <c r="Q152" s="20">
        <f>K152*100/F152</f>
        <v>0</v>
      </c>
      <c r="R152" s="18">
        <f>K152*100/E152</f>
        <v>0</v>
      </c>
      <c r="S152" s="18">
        <f t="shared" si="53"/>
        <v>0</v>
      </c>
    </row>
    <row r="153" spans="1:19" ht="12.75">
      <c r="A153" s="12" t="s">
        <v>9</v>
      </c>
      <c r="B153" s="12"/>
      <c r="C153" s="28" t="s">
        <v>6</v>
      </c>
      <c r="D153" s="68">
        <v>1510</v>
      </c>
      <c r="E153" s="37">
        <f t="shared" si="58"/>
        <v>1510</v>
      </c>
      <c r="F153" s="51">
        <f t="shared" si="57"/>
        <v>373</v>
      </c>
      <c r="G153" s="37">
        <v>373</v>
      </c>
      <c r="H153" s="37">
        <v>386.6</v>
      </c>
      <c r="I153" s="17">
        <v>424.3</v>
      </c>
      <c r="J153" s="18">
        <v>326.1</v>
      </c>
      <c r="K153" s="18">
        <v>398.1</v>
      </c>
      <c r="L153" s="20" t="e">
        <f>K153/#REF!*100</f>
        <v>#REF!</v>
      </c>
      <c r="M153" s="20">
        <f>K153/I153*100</f>
        <v>93.82512373320763</v>
      </c>
      <c r="N153" s="48"/>
      <c r="O153" s="48"/>
      <c r="P153" s="17">
        <f t="shared" si="33"/>
        <v>122.07911683532657</v>
      </c>
      <c r="Q153" s="20">
        <f aca="true" t="shared" si="59" ref="Q153:Q219">K153*100/F153</f>
        <v>106.72922252010724</v>
      </c>
      <c r="R153" s="18">
        <f aca="true" t="shared" si="60" ref="R153:R219">K153*100/E153</f>
        <v>26.364238410596027</v>
      </c>
      <c r="S153" s="18">
        <f t="shared" si="53"/>
        <v>26.364238410596027</v>
      </c>
    </row>
    <row r="154" spans="1:19" ht="12.75">
      <c r="A154" s="12" t="s">
        <v>10</v>
      </c>
      <c r="B154" s="12"/>
      <c r="C154" s="28" t="s">
        <v>21</v>
      </c>
      <c r="D154" s="68">
        <v>145.1</v>
      </c>
      <c r="E154" s="37">
        <f t="shared" si="58"/>
        <v>145.1</v>
      </c>
      <c r="F154" s="51">
        <f t="shared" si="57"/>
        <v>35.8</v>
      </c>
      <c r="G154" s="37">
        <v>35.8</v>
      </c>
      <c r="H154" s="37">
        <v>37.1</v>
      </c>
      <c r="I154" s="17">
        <v>40.8</v>
      </c>
      <c r="J154" s="18">
        <v>31.4</v>
      </c>
      <c r="K154" s="18">
        <v>7.4</v>
      </c>
      <c r="L154" s="20" t="e">
        <f>K154/#REF!*100</f>
        <v>#REF!</v>
      </c>
      <c r="M154" s="20">
        <f>K154/I154*100</f>
        <v>18.137254901960787</v>
      </c>
      <c r="N154" s="48"/>
      <c r="O154" s="48"/>
      <c r="P154" s="17">
        <f t="shared" si="33"/>
        <v>23.566878980891723</v>
      </c>
      <c r="Q154" s="20">
        <f t="shared" si="59"/>
        <v>20.670391061452516</v>
      </c>
      <c r="R154" s="18">
        <f t="shared" si="60"/>
        <v>5.0999310820124055</v>
      </c>
      <c r="S154" s="18">
        <f t="shared" si="53"/>
        <v>5.0999310820124055</v>
      </c>
    </row>
    <row r="155" spans="1:19" ht="22.5">
      <c r="A155" s="13" t="s">
        <v>11</v>
      </c>
      <c r="B155" s="13"/>
      <c r="C155" s="28" t="s">
        <v>17</v>
      </c>
      <c r="D155" s="68">
        <v>166.8</v>
      </c>
      <c r="E155" s="37">
        <f t="shared" si="58"/>
        <v>166.8</v>
      </c>
      <c r="F155" s="51">
        <f t="shared" si="57"/>
        <v>41.2</v>
      </c>
      <c r="G155" s="37">
        <v>41.2</v>
      </c>
      <c r="H155" s="37">
        <v>42.7</v>
      </c>
      <c r="I155" s="17">
        <v>46.9</v>
      </c>
      <c r="J155" s="18">
        <v>36</v>
      </c>
      <c r="K155" s="18"/>
      <c r="L155" s="20" t="e">
        <f>K155/#REF!*100</f>
        <v>#REF!</v>
      </c>
      <c r="M155" s="20">
        <f>K155/I155*100</f>
        <v>0</v>
      </c>
      <c r="N155" s="48"/>
      <c r="O155" s="48"/>
      <c r="P155" s="17">
        <f t="shared" si="33"/>
        <v>0</v>
      </c>
      <c r="Q155" s="20">
        <f t="shared" si="59"/>
        <v>0</v>
      </c>
      <c r="R155" s="18">
        <f t="shared" si="60"/>
        <v>0</v>
      </c>
      <c r="S155" s="18">
        <f t="shared" si="53"/>
        <v>0</v>
      </c>
    </row>
    <row r="156" spans="1:19" ht="19.5" customHeight="1">
      <c r="A156" s="30" t="s">
        <v>42</v>
      </c>
      <c r="B156" s="30"/>
      <c r="C156" s="28" t="s">
        <v>43</v>
      </c>
      <c r="D156" s="68"/>
      <c r="E156" s="37">
        <f t="shared" si="58"/>
        <v>0</v>
      </c>
      <c r="F156" s="51">
        <f t="shared" si="57"/>
        <v>0</v>
      </c>
      <c r="G156" s="37"/>
      <c r="H156" s="37"/>
      <c r="I156" s="17"/>
      <c r="J156" s="18"/>
      <c r="K156" s="18"/>
      <c r="L156" s="20"/>
      <c r="M156" s="20"/>
      <c r="N156" s="48"/>
      <c r="O156" s="48"/>
      <c r="P156" s="17" t="e">
        <f aca="true" t="shared" si="61" ref="P156:P222">K156*100/J156</f>
        <v>#DIV/0!</v>
      </c>
      <c r="Q156" s="20"/>
      <c r="R156" s="18"/>
      <c r="S156" s="18"/>
    </row>
    <row r="157" spans="1:19" ht="19.5" customHeight="1" hidden="1">
      <c r="A157" s="29" t="s">
        <v>18</v>
      </c>
      <c r="B157" s="29"/>
      <c r="C157" s="28" t="s">
        <v>15</v>
      </c>
      <c r="D157" s="68"/>
      <c r="E157" s="37">
        <f t="shared" si="58"/>
        <v>0</v>
      </c>
      <c r="F157" s="51">
        <f t="shared" si="57"/>
        <v>0</v>
      </c>
      <c r="G157" s="37"/>
      <c r="H157" s="37"/>
      <c r="I157" s="17"/>
      <c r="J157" s="18"/>
      <c r="K157" s="18"/>
      <c r="L157" s="20" t="e">
        <f>K157/#REF!*100</f>
        <v>#REF!</v>
      </c>
      <c r="M157" s="20" t="e">
        <f>K157/I157*100</f>
        <v>#DIV/0!</v>
      </c>
      <c r="N157" s="48"/>
      <c r="O157" s="48"/>
      <c r="P157" s="17" t="e">
        <f t="shared" si="61"/>
        <v>#DIV/0!</v>
      </c>
      <c r="Q157" s="20"/>
      <c r="R157" s="18"/>
      <c r="S157" s="18"/>
    </row>
    <row r="158" spans="1:19" ht="17.25" customHeight="1">
      <c r="A158" s="21" t="s">
        <v>12</v>
      </c>
      <c r="B158" s="21"/>
      <c r="C158" s="28" t="s">
        <v>7</v>
      </c>
      <c r="D158" s="68"/>
      <c r="E158" s="37">
        <f t="shared" si="58"/>
        <v>0</v>
      </c>
      <c r="F158" s="51">
        <f t="shared" si="57"/>
        <v>0</v>
      </c>
      <c r="G158" s="37"/>
      <c r="H158" s="37"/>
      <c r="I158" s="17"/>
      <c r="J158" s="18"/>
      <c r="K158" s="18"/>
      <c r="L158" s="20" t="e">
        <f>K158/#REF!*100</f>
        <v>#REF!</v>
      </c>
      <c r="M158" s="20"/>
      <c r="N158" s="48"/>
      <c r="O158" s="48"/>
      <c r="P158" s="17" t="e">
        <f t="shared" si="61"/>
        <v>#DIV/0!</v>
      </c>
      <c r="Q158" s="20"/>
      <c r="R158" s="18"/>
      <c r="S158" s="18"/>
    </row>
    <row r="159" spans="1:19" ht="16.5" customHeight="1">
      <c r="A159" s="29" t="s">
        <v>39</v>
      </c>
      <c r="B159" s="54"/>
      <c r="C159" s="16" t="s">
        <v>40</v>
      </c>
      <c r="D159" s="68"/>
      <c r="E159" s="37">
        <f t="shared" si="58"/>
        <v>0</v>
      </c>
      <c r="F159" s="51">
        <f t="shared" si="57"/>
        <v>0</v>
      </c>
      <c r="G159" s="37"/>
      <c r="H159" s="37"/>
      <c r="I159" s="17"/>
      <c r="J159" s="18"/>
      <c r="K159" s="18"/>
      <c r="L159" s="20"/>
      <c r="M159" s="20"/>
      <c r="N159" s="48"/>
      <c r="O159" s="48"/>
      <c r="P159" s="17" t="e">
        <f t="shared" si="61"/>
        <v>#DIV/0!</v>
      </c>
      <c r="Q159" s="27"/>
      <c r="R159" s="24"/>
      <c r="S159" s="18"/>
    </row>
    <row r="160" spans="1:19" ht="12.75">
      <c r="A160" s="25" t="s">
        <v>1</v>
      </c>
      <c r="B160" s="25"/>
      <c r="C160" s="32" t="s">
        <v>0</v>
      </c>
      <c r="D160" s="33">
        <f>D161+D162</f>
        <v>29590.9</v>
      </c>
      <c r="E160" s="33">
        <f>E161+E162</f>
        <v>29624.6</v>
      </c>
      <c r="F160" s="33">
        <f aca="true" t="shared" si="62" ref="F160:K160">F161+F162</f>
        <v>7342.7</v>
      </c>
      <c r="G160" s="33">
        <f t="shared" si="62"/>
        <v>7342.7</v>
      </c>
      <c r="H160" s="33">
        <f t="shared" si="62"/>
        <v>7575.3</v>
      </c>
      <c r="I160" s="33">
        <f t="shared" si="62"/>
        <v>8315</v>
      </c>
      <c r="J160" s="33">
        <f t="shared" si="62"/>
        <v>6391.6</v>
      </c>
      <c r="K160" s="33">
        <f t="shared" si="62"/>
        <v>975.5</v>
      </c>
      <c r="L160" s="27" t="e">
        <f>K160/#REF!*100</f>
        <v>#REF!</v>
      </c>
      <c r="M160" s="27">
        <f>K160/I160*100</f>
        <v>11.731809981960312</v>
      </c>
      <c r="N160" s="48"/>
      <c r="O160" s="48"/>
      <c r="P160" s="36">
        <f t="shared" si="61"/>
        <v>15.262219162650979</v>
      </c>
      <c r="Q160" s="27">
        <f t="shared" si="59"/>
        <v>13.285303771092378</v>
      </c>
      <c r="R160" s="24">
        <f t="shared" si="60"/>
        <v>3.292871464931172</v>
      </c>
      <c r="S160" s="24">
        <f t="shared" si="53"/>
        <v>3.2966215965043304</v>
      </c>
    </row>
    <row r="161" spans="1:19" ht="22.5">
      <c r="A161" s="14" t="s">
        <v>67</v>
      </c>
      <c r="B161" s="12"/>
      <c r="C161" s="34" t="s">
        <v>20</v>
      </c>
      <c r="D161" s="37">
        <v>29590.9</v>
      </c>
      <c r="E161" s="37">
        <f t="shared" si="58"/>
        <v>29624.6</v>
      </c>
      <c r="F161" s="51">
        <f t="shared" si="57"/>
        <v>7342.7</v>
      </c>
      <c r="G161" s="37">
        <v>7342.7</v>
      </c>
      <c r="H161" s="37">
        <v>7575.3</v>
      </c>
      <c r="I161" s="17">
        <v>8315</v>
      </c>
      <c r="J161" s="18">
        <v>6391.6</v>
      </c>
      <c r="K161" s="18">
        <v>975.5</v>
      </c>
      <c r="L161" s="20" t="e">
        <f>K161/#REF!*100</f>
        <v>#REF!</v>
      </c>
      <c r="M161" s="20">
        <f>K161/I161*100</f>
        <v>11.731809981960312</v>
      </c>
      <c r="N161" s="48"/>
      <c r="O161" s="48"/>
      <c r="P161" s="17">
        <f t="shared" si="61"/>
        <v>15.262219162650979</v>
      </c>
      <c r="Q161" s="20">
        <f t="shared" si="59"/>
        <v>13.285303771092378</v>
      </c>
      <c r="R161" s="18">
        <f t="shared" si="60"/>
        <v>3.292871464931172</v>
      </c>
      <c r="S161" s="18">
        <f t="shared" si="53"/>
        <v>3.2966215965043304</v>
      </c>
    </row>
    <row r="162" spans="1:19" ht="12.75" hidden="1">
      <c r="A162" s="14" t="s">
        <v>2</v>
      </c>
      <c r="B162" s="14"/>
      <c r="C162" s="35" t="s">
        <v>19</v>
      </c>
      <c r="D162" s="35"/>
      <c r="E162" s="37">
        <f>G162+H162+I162+J162</f>
        <v>0</v>
      </c>
      <c r="F162" s="68">
        <f>G162</f>
        <v>0</v>
      </c>
      <c r="G162" s="37"/>
      <c r="H162" s="37"/>
      <c r="I162" s="17"/>
      <c r="J162" s="18"/>
      <c r="K162" s="18"/>
      <c r="L162" s="20"/>
      <c r="M162" s="20"/>
      <c r="N162" s="48"/>
      <c r="O162" s="48"/>
      <c r="P162" s="17"/>
      <c r="Q162" s="20"/>
      <c r="R162" s="18"/>
      <c r="S162" s="18" t="e">
        <f t="shared" si="53"/>
        <v>#DIV/0!</v>
      </c>
    </row>
    <row r="163" spans="1:19" ht="12.75">
      <c r="A163" s="21"/>
      <c r="B163" s="22"/>
      <c r="C163" s="23" t="s">
        <v>4</v>
      </c>
      <c r="D163" s="24">
        <f aca="true" t="shared" si="63" ref="D163:K163">D160+D149</f>
        <v>49649.100000000006</v>
      </c>
      <c r="E163" s="24">
        <f t="shared" si="63"/>
        <v>49682.8</v>
      </c>
      <c r="F163" s="24">
        <f t="shared" si="63"/>
        <v>12297.099999999999</v>
      </c>
      <c r="G163" s="24">
        <f t="shared" si="63"/>
        <v>12297.099999999999</v>
      </c>
      <c r="H163" s="24">
        <f t="shared" si="63"/>
        <v>12710.5</v>
      </c>
      <c r="I163" s="24">
        <f t="shared" si="63"/>
        <v>13951.5</v>
      </c>
      <c r="J163" s="24">
        <f t="shared" si="63"/>
        <v>10723.7</v>
      </c>
      <c r="K163" s="24">
        <f t="shared" si="63"/>
        <v>2812.2000000000003</v>
      </c>
      <c r="L163" s="27" t="e">
        <f>K163/#REF!*100</f>
        <v>#REF!</v>
      </c>
      <c r="M163" s="27">
        <f>K163/I163*100</f>
        <v>20.156972368562524</v>
      </c>
      <c r="N163" s="48"/>
      <c r="O163" s="49" t="e">
        <f>J163+#REF!+#REF!</f>
        <v>#REF!</v>
      </c>
      <c r="P163" s="36">
        <f t="shared" si="61"/>
        <v>26.224157706761655</v>
      </c>
      <c r="Q163" s="27">
        <f t="shared" si="59"/>
        <v>22.86880646656529</v>
      </c>
      <c r="R163" s="24">
        <f t="shared" si="60"/>
        <v>5.6603090002978895</v>
      </c>
      <c r="S163" s="24">
        <f t="shared" si="53"/>
        <v>5.664151011800818</v>
      </c>
    </row>
    <row r="164" spans="1:19" ht="12.75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90"/>
      <c r="N164" s="48"/>
      <c r="O164" s="48"/>
      <c r="P164" s="47"/>
      <c r="Q164" s="27"/>
      <c r="R164" s="24"/>
      <c r="S164" s="18"/>
    </row>
    <row r="165" spans="1:19" ht="12.75">
      <c r="A165" s="93" t="s">
        <v>33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6"/>
    </row>
    <row r="166" spans="1:19" ht="12.75">
      <c r="A166" s="25" t="s">
        <v>3</v>
      </c>
      <c r="B166" s="25"/>
      <c r="C166" s="26" t="s">
        <v>68</v>
      </c>
      <c r="D166" s="27">
        <f>D167+D170+D171+D172+D174+D175+D176+D173+D168+D169</f>
        <v>6717.4</v>
      </c>
      <c r="E166" s="27">
        <f>E167+E170+E171+E172+E174+E175+E176+E173+E168+E169</f>
        <v>6717.4</v>
      </c>
      <c r="F166" s="27">
        <f aca="true" t="shared" si="64" ref="F166:P166">F167+F170+F171+F172+F174+F175+F176+F173+F168+F169</f>
        <v>1440.8000000000002</v>
      </c>
      <c r="G166" s="27">
        <f t="shared" si="64"/>
        <v>1440.8000000000002</v>
      </c>
      <c r="H166" s="27">
        <f t="shared" si="64"/>
        <v>1640.9</v>
      </c>
      <c r="I166" s="27">
        <f t="shared" si="64"/>
        <v>1552.9</v>
      </c>
      <c r="J166" s="27">
        <f t="shared" si="64"/>
        <v>2082.8</v>
      </c>
      <c r="K166" s="27">
        <f t="shared" si="64"/>
        <v>579.2</v>
      </c>
      <c r="L166" s="27" t="e">
        <f t="shared" si="64"/>
        <v>#REF!</v>
      </c>
      <c r="M166" s="27" t="e">
        <f t="shared" si="64"/>
        <v>#DIV/0!</v>
      </c>
      <c r="N166" s="27">
        <f t="shared" si="64"/>
        <v>0</v>
      </c>
      <c r="O166" s="27">
        <f t="shared" si="64"/>
        <v>0</v>
      </c>
      <c r="P166" s="27" t="e">
        <f t="shared" si="64"/>
        <v>#DIV/0!</v>
      </c>
      <c r="Q166" s="27">
        <f t="shared" si="59"/>
        <v>40.19988895058301</v>
      </c>
      <c r="R166" s="24">
        <f t="shared" si="60"/>
        <v>8.622383660344777</v>
      </c>
      <c r="S166" s="24">
        <f t="shared" si="53"/>
        <v>8.622383660344777</v>
      </c>
    </row>
    <row r="167" spans="1:19" ht="12.75">
      <c r="A167" s="21" t="s">
        <v>23</v>
      </c>
      <c r="B167" s="21"/>
      <c r="C167" s="28" t="s">
        <v>22</v>
      </c>
      <c r="D167" s="68">
        <v>2900</v>
      </c>
      <c r="E167" s="37">
        <f>G167+H167+I167+J167</f>
        <v>2900</v>
      </c>
      <c r="F167" s="51">
        <f aca="true" t="shared" si="65" ref="F167:F178">G167</f>
        <v>720</v>
      </c>
      <c r="G167" s="68">
        <v>720</v>
      </c>
      <c r="H167" s="68">
        <v>771.7</v>
      </c>
      <c r="I167" s="17">
        <v>625</v>
      </c>
      <c r="J167" s="18">
        <v>783.3</v>
      </c>
      <c r="K167" s="18">
        <v>153.1</v>
      </c>
      <c r="L167" s="20" t="e">
        <f>K167/#REF!*100</f>
        <v>#REF!</v>
      </c>
      <c r="M167" s="20">
        <f aca="true" t="shared" si="66" ref="M167:M175">K167/I167*100</f>
        <v>24.496</v>
      </c>
      <c r="N167" s="48"/>
      <c r="O167" s="48"/>
      <c r="P167" s="17">
        <f t="shared" si="61"/>
        <v>19.545512575003194</v>
      </c>
      <c r="Q167" s="20">
        <f>K167*100/F167</f>
        <v>21.26388888888889</v>
      </c>
      <c r="R167" s="18">
        <f>K167*100/E167</f>
        <v>5.279310344827586</v>
      </c>
      <c r="S167" s="18">
        <f t="shared" si="53"/>
        <v>5.279310344827586</v>
      </c>
    </row>
    <row r="168" spans="1:19" ht="12.75">
      <c r="A168" s="12" t="s">
        <v>70</v>
      </c>
      <c r="B168" s="12"/>
      <c r="C168" s="28" t="s">
        <v>71</v>
      </c>
      <c r="D168" s="68">
        <v>2746.1</v>
      </c>
      <c r="E168" s="37">
        <f>G168+H168+I168+J168</f>
        <v>2746.1</v>
      </c>
      <c r="F168" s="51">
        <f t="shared" si="65"/>
        <v>686.6</v>
      </c>
      <c r="G168" s="68">
        <v>686.6</v>
      </c>
      <c r="H168" s="68">
        <v>686.5</v>
      </c>
      <c r="I168" s="17">
        <v>686.5</v>
      </c>
      <c r="J168" s="18">
        <v>686.5</v>
      </c>
      <c r="K168" s="18">
        <v>283.9</v>
      </c>
      <c r="L168" s="20"/>
      <c r="M168" s="20"/>
      <c r="N168" s="48"/>
      <c r="O168" s="48"/>
      <c r="P168" s="17"/>
      <c r="Q168" s="20">
        <f>K168*100/F168</f>
        <v>41.34867462860471</v>
      </c>
      <c r="R168" s="18">
        <f>K168*100/E168</f>
        <v>10.338297949819744</v>
      </c>
      <c r="S168" s="18">
        <f t="shared" si="53"/>
        <v>10.338297949819744</v>
      </c>
    </row>
    <row r="169" spans="1:19" ht="15" customHeight="1">
      <c r="A169" s="12" t="s">
        <v>8</v>
      </c>
      <c r="B169" s="12"/>
      <c r="C169" s="28" t="s">
        <v>5</v>
      </c>
      <c r="D169" s="68">
        <v>2</v>
      </c>
      <c r="E169" s="37">
        <f>G169+H169+I169+J169</f>
        <v>2</v>
      </c>
      <c r="F169" s="51">
        <f t="shared" si="65"/>
        <v>0</v>
      </c>
      <c r="G169" s="68"/>
      <c r="H169" s="68">
        <v>2</v>
      </c>
      <c r="I169" s="17"/>
      <c r="J169" s="18"/>
      <c r="K169" s="18"/>
      <c r="L169" s="20"/>
      <c r="M169" s="20"/>
      <c r="N169" s="48"/>
      <c r="O169" s="48"/>
      <c r="P169" s="17"/>
      <c r="Q169" s="20"/>
      <c r="R169" s="18">
        <f>K169*100/E169</f>
        <v>0</v>
      </c>
      <c r="S169" s="18"/>
    </row>
    <row r="170" spans="1:19" ht="12.75">
      <c r="A170" s="12" t="s">
        <v>9</v>
      </c>
      <c r="B170" s="12"/>
      <c r="C170" s="28" t="s">
        <v>6</v>
      </c>
      <c r="D170" s="68">
        <v>686</v>
      </c>
      <c r="E170" s="37">
        <f>G170+H170+I170+J170</f>
        <v>686</v>
      </c>
      <c r="F170" s="51">
        <f t="shared" si="65"/>
        <v>0</v>
      </c>
      <c r="G170" s="68"/>
      <c r="H170" s="68">
        <v>84.8</v>
      </c>
      <c r="I170" s="17">
        <v>145.5</v>
      </c>
      <c r="J170" s="18">
        <v>455.7</v>
      </c>
      <c r="K170" s="18">
        <v>46.4</v>
      </c>
      <c r="L170" s="20" t="e">
        <f>K170/#REF!*100</f>
        <v>#REF!</v>
      </c>
      <c r="M170" s="20">
        <f t="shared" si="66"/>
        <v>31.890034364261165</v>
      </c>
      <c r="N170" s="48"/>
      <c r="O170" s="48"/>
      <c r="P170" s="17">
        <f t="shared" si="61"/>
        <v>10.182137371077463</v>
      </c>
      <c r="Q170" s="20"/>
      <c r="R170" s="18">
        <f t="shared" si="60"/>
        <v>6.763848396501458</v>
      </c>
      <c r="S170" s="18">
        <f t="shared" si="53"/>
        <v>6.763848396501458</v>
      </c>
    </row>
    <row r="171" spans="1:19" ht="12.75">
      <c r="A171" s="12" t="s">
        <v>10</v>
      </c>
      <c r="B171" s="12"/>
      <c r="C171" s="28" t="s">
        <v>21</v>
      </c>
      <c r="D171" s="68">
        <v>35</v>
      </c>
      <c r="E171" s="37">
        <f aca="true" t="shared" si="67" ref="E171:E178">G171+H171+I171+J171</f>
        <v>35</v>
      </c>
      <c r="F171" s="51">
        <f t="shared" si="65"/>
        <v>8.7</v>
      </c>
      <c r="G171" s="68">
        <v>8.7</v>
      </c>
      <c r="H171" s="68">
        <v>8.8</v>
      </c>
      <c r="I171" s="17">
        <v>8.8</v>
      </c>
      <c r="J171" s="18">
        <v>8.7</v>
      </c>
      <c r="K171" s="18">
        <v>2.8</v>
      </c>
      <c r="L171" s="20" t="e">
        <f>K171/#REF!*100</f>
        <v>#REF!</v>
      </c>
      <c r="M171" s="20">
        <f t="shared" si="66"/>
        <v>31.818181818181813</v>
      </c>
      <c r="N171" s="48"/>
      <c r="O171" s="48"/>
      <c r="P171" s="17">
        <f t="shared" si="61"/>
        <v>32.18390804597701</v>
      </c>
      <c r="Q171" s="20">
        <f t="shared" si="59"/>
        <v>32.18390804597701</v>
      </c>
      <c r="R171" s="18">
        <f t="shared" si="60"/>
        <v>8</v>
      </c>
      <c r="S171" s="18">
        <f t="shared" si="53"/>
        <v>8</v>
      </c>
    </row>
    <row r="172" spans="1:19" ht="22.5">
      <c r="A172" s="13" t="s">
        <v>11</v>
      </c>
      <c r="B172" s="13"/>
      <c r="C172" s="28" t="s">
        <v>17</v>
      </c>
      <c r="D172" s="68">
        <v>246.3</v>
      </c>
      <c r="E172" s="37">
        <f t="shared" si="67"/>
        <v>246.3</v>
      </c>
      <c r="F172" s="51">
        <f t="shared" si="65"/>
        <v>0</v>
      </c>
      <c r="G172" s="68"/>
      <c r="H172" s="68">
        <v>61.6</v>
      </c>
      <c r="I172" s="17">
        <v>61.6</v>
      </c>
      <c r="J172" s="18">
        <v>123.1</v>
      </c>
      <c r="K172" s="18">
        <v>93</v>
      </c>
      <c r="L172" s="20" t="e">
        <f>K172/#REF!*100</f>
        <v>#REF!</v>
      </c>
      <c r="M172" s="20">
        <f t="shared" si="66"/>
        <v>150.97402597402595</v>
      </c>
      <c r="N172" s="48"/>
      <c r="O172" s="48"/>
      <c r="P172" s="17">
        <f t="shared" si="61"/>
        <v>75.54833468724614</v>
      </c>
      <c r="Q172" s="20"/>
      <c r="R172" s="18">
        <f t="shared" si="60"/>
        <v>37.758830694275275</v>
      </c>
      <c r="S172" s="18">
        <f t="shared" si="53"/>
        <v>37.758830694275275</v>
      </c>
    </row>
    <row r="173" spans="1:19" ht="22.5">
      <c r="A173" s="30" t="s">
        <v>42</v>
      </c>
      <c r="B173" s="30"/>
      <c r="C173" s="28" t="s">
        <v>43</v>
      </c>
      <c r="D173" s="68">
        <v>102</v>
      </c>
      <c r="E173" s="37">
        <f t="shared" si="67"/>
        <v>102</v>
      </c>
      <c r="F173" s="51">
        <f t="shared" si="65"/>
        <v>25.5</v>
      </c>
      <c r="G173" s="68">
        <v>25.5</v>
      </c>
      <c r="H173" s="68">
        <v>25.5</v>
      </c>
      <c r="I173" s="17">
        <v>25.5</v>
      </c>
      <c r="J173" s="18">
        <v>25.5</v>
      </c>
      <c r="K173" s="18"/>
      <c r="L173" s="20" t="e">
        <f>K173/#REF!*100</f>
        <v>#REF!</v>
      </c>
      <c r="M173" s="20">
        <f t="shared" si="66"/>
        <v>0</v>
      </c>
      <c r="N173" s="48"/>
      <c r="O173" s="48"/>
      <c r="P173" s="17">
        <f t="shared" si="61"/>
        <v>0</v>
      </c>
      <c r="Q173" s="20">
        <f t="shared" si="59"/>
        <v>0</v>
      </c>
      <c r="R173" s="18">
        <f t="shared" si="60"/>
        <v>0</v>
      </c>
      <c r="S173" s="18">
        <f t="shared" si="53"/>
        <v>0</v>
      </c>
    </row>
    <row r="174" spans="1:19" ht="22.5" hidden="1">
      <c r="A174" s="29" t="s">
        <v>18</v>
      </c>
      <c r="B174" s="29"/>
      <c r="C174" s="28" t="s">
        <v>15</v>
      </c>
      <c r="D174" s="68"/>
      <c r="E174" s="37">
        <f t="shared" si="67"/>
        <v>0</v>
      </c>
      <c r="F174" s="51">
        <f t="shared" si="65"/>
        <v>0</v>
      </c>
      <c r="G174" s="68"/>
      <c r="H174" s="68"/>
      <c r="I174" s="17"/>
      <c r="J174" s="18"/>
      <c r="K174" s="18"/>
      <c r="L174" s="20" t="e">
        <f>K174/#REF!*100</f>
        <v>#REF!</v>
      </c>
      <c r="M174" s="20" t="e">
        <f t="shared" si="66"/>
        <v>#DIV/0!</v>
      </c>
      <c r="N174" s="48"/>
      <c r="O174" s="48"/>
      <c r="P174" s="17" t="e">
        <f t="shared" si="61"/>
        <v>#DIV/0!</v>
      </c>
      <c r="Q174" s="20"/>
      <c r="R174" s="18"/>
      <c r="S174" s="18" t="e">
        <f t="shared" si="53"/>
        <v>#DIV/0!</v>
      </c>
    </row>
    <row r="175" spans="1:19" ht="17.25" customHeight="1">
      <c r="A175" s="21" t="s">
        <v>12</v>
      </c>
      <c r="B175" s="21"/>
      <c r="C175" s="28" t="s">
        <v>7</v>
      </c>
      <c r="D175" s="68"/>
      <c r="E175" s="37">
        <f t="shared" si="67"/>
        <v>0</v>
      </c>
      <c r="F175" s="51">
        <f t="shared" si="65"/>
        <v>0</v>
      </c>
      <c r="G175" s="68"/>
      <c r="H175" s="68"/>
      <c r="I175" s="17"/>
      <c r="J175" s="18"/>
      <c r="K175" s="18"/>
      <c r="L175" s="20"/>
      <c r="M175" s="20" t="e">
        <f t="shared" si="66"/>
        <v>#DIV/0!</v>
      </c>
      <c r="N175" s="48"/>
      <c r="O175" s="48"/>
      <c r="P175" s="17" t="e">
        <f t="shared" si="61"/>
        <v>#DIV/0!</v>
      </c>
      <c r="Q175" s="27"/>
      <c r="R175" s="24"/>
      <c r="S175" s="18"/>
    </row>
    <row r="176" spans="1:19" ht="14.25" customHeight="1">
      <c r="A176" s="53" t="s">
        <v>39</v>
      </c>
      <c r="B176" s="52"/>
      <c r="C176" s="16" t="s">
        <v>40</v>
      </c>
      <c r="D176" s="68"/>
      <c r="E176" s="37">
        <f t="shared" si="67"/>
        <v>0</v>
      </c>
      <c r="F176" s="51">
        <f t="shared" si="65"/>
        <v>0</v>
      </c>
      <c r="G176" s="68"/>
      <c r="H176" s="68"/>
      <c r="I176" s="17"/>
      <c r="J176" s="18"/>
      <c r="K176" s="18"/>
      <c r="L176" s="20"/>
      <c r="M176" s="20"/>
      <c r="N176" s="48"/>
      <c r="O176" s="48"/>
      <c r="P176" s="17" t="e">
        <f t="shared" si="61"/>
        <v>#DIV/0!</v>
      </c>
      <c r="Q176" s="27"/>
      <c r="R176" s="24"/>
      <c r="S176" s="18"/>
    </row>
    <row r="177" spans="1:19" ht="12.75">
      <c r="A177" s="25" t="s">
        <v>1</v>
      </c>
      <c r="B177" s="25"/>
      <c r="C177" s="32" t="s">
        <v>0</v>
      </c>
      <c r="D177" s="33">
        <f aca="true" t="shared" si="68" ref="D177:K177">D178+D179</f>
        <v>24541.8</v>
      </c>
      <c r="E177" s="33">
        <f t="shared" si="68"/>
        <v>24558.199999999997</v>
      </c>
      <c r="F177" s="84">
        <f t="shared" si="68"/>
        <v>5941.9</v>
      </c>
      <c r="G177" s="84">
        <f t="shared" si="68"/>
        <v>5941.9</v>
      </c>
      <c r="H177" s="84">
        <f t="shared" si="68"/>
        <v>5989.6</v>
      </c>
      <c r="I177" s="33">
        <f t="shared" si="68"/>
        <v>5989.6</v>
      </c>
      <c r="J177" s="33">
        <f t="shared" si="68"/>
        <v>6637.1</v>
      </c>
      <c r="K177" s="33">
        <f t="shared" si="68"/>
        <v>832.9</v>
      </c>
      <c r="L177" s="27" t="e">
        <f>K177/#REF!*100</f>
        <v>#REF!</v>
      </c>
      <c r="M177" s="27">
        <f>K177/I177*100</f>
        <v>13.905770001335647</v>
      </c>
      <c r="N177" s="48"/>
      <c r="O177" s="48"/>
      <c r="P177" s="36">
        <f t="shared" si="61"/>
        <v>12.549155504663181</v>
      </c>
      <c r="Q177" s="27">
        <f t="shared" si="59"/>
        <v>14.017401841161918</v>
      </c>
      <c r="R177" s="24">
        <f t="shared" si="60"/>
        <v>3.3915352102352783</v>
      </c>
      <c r="S177" s="24">
        <f t="shared" si="53"/>
        <v>3.393801595644981</v>
      </c>
    </row>
    <row r="178" spans="1:19" ht="23.25" customHeight="1">
      <c r="A178" s="14" t="s">
        <v>67</v>
      </c>
      <c r="B178" s="12"/>
      <c r="C178" s="34" t="s">
        <v>20</v>
      </c>
      <c r="D178" s="37">
        <v>24541.8</v>
      </c>
      <c r="E178" s="37">
        <f t="shared" si="67"/>
        <v>24558.199999999997</v>
      </c>
      <c r="F178" s="51">
        <f t="shared" si="65"/>
        <v>5941.9</v>
      </c>
      <c r="G178" s="68">
        <v>5941.9</v>
      </c>
      <c r="H178" s="68">
        <v>5989.6</v>
      </c>
      <c r="I178" s="17">
        <v>5989.6</v>
      </c>
      <c r="J178" s="18">
        <v>6637.1</v>
      </c>
      <c r="K178" s="18">
        <v>832.9</v>
      </c>
      <c r="L178" s="20" t="e">
        <f>K178/#REF!*100</f>
        <v>#REF!</v>
      </c>
      <c r="M178" s="20">
        <f>K178/I178*100</f>
        <v>13.905770001335647</v>
      </c>
      <c r="N178" s="48"/>
      <c r="O178" s="48"/>
      <c r="P178" s="17">
        <f t="shared" si="61"/>
        <v>12.549155504663181</v>
      </c>
      <c r="Q178" s="20">
        <f t="shared" si="59"/>
        <v>14.017401841161918</v>
      </c>
      <c r="R178" s="18">
        <f t="shared" si="60"/>
        <v>3.3915352102352783</v>
      </c>
      <c r="S178" s="18">
        <f t="shared" si="53"/>
        <v>3.393801595644981</v>
      </c>
    </row>
    <row r="179" spans="1:19" ht="15.75" customHeight="1" hidden="1">
      <c r="A179" s="14" t="s">
        <v>2</v>
      </c>
      <c r="B179" s="14"/>
      <c r="C179" s="35" t="s">
        <v>19</v>
      </c>
      <c r="D179" s="69"/>
      <c r="E179" s="37">
        <f>G179+H179+I179+J179</f>
        <v>0</v>
      </c>
      <c r="F179" s="51">
        <f>G179+H179</f>
        <v>0</v>
      </c>
      <c r="G179" s="69"/>
      <c r="H179" s="69"/>
      <c r="I179" s="17"/>
      <c r="J179" s="18"/>
      <c r="K179" s="18"/>
      <c r="L179" s="20" t="e">
        <f>K179/#REF!*100</f>
        <v>#REF!</v>
      </c>
      <c r="M179" s="20"/>
      <c r="N179" s="48"/>
      <c r="O179" s="48"/>
      <c r="P179" s="17" t="e">
        <f t="shared" si="61"/>
        <v>#DIV/0!</v>
      </c>
      <c r="Q179" s="20"/>
      <c r="R179" s="18"/>
      <c r="S179" s="18"/>
    </row>
    <row r="180" spans="1:19" ht="12.75">
      <c r="A180" s="21"/>
      <c r="B180" s="22"/>
      <c r="C180" s="23" t="s">
        <v>4</v>
      </c>
      <c r="D180" s="24">
        <f aca="true" t="shared" si="69" ref="D180:K180">D177+D166</f>
        <v>31259.199999999997</v>
      </c>
      <c r="E180" s="24">
        <f t="shared" si="69"/>
        <v>31275.6</v>
      </c>
      <c r="F180" s="24">
        <f t="shared" si="69"/>
        <v>7382.7</v>
      </c>
      <c r="G180" s="24">
        <f t="shared" si="69"/>
        <v>7382.7</v>
      </c>
      <c r="H180" s="24">
        <f t="shared" si="69"/>
        <v>7630.5</v>
      </c>
      <c r="I180" s="24">
        <f t="shared" si="69"/>
        <v>7542.5</v>
      </c>
      <c r="J180" s="24">
        <f t="shared" si="69"/>
        <v>8719.900000000001</v>
      </c>
      <c r="K180" s="24">
        <f t="shared" si="69"/>
        <v>1412.1</v>
      </c>
      <c r="L180" s="27" t="e">
        <f>K180/#REF!*100</f>
        <v>#REF!</v>
      </c>
      <c r="M180" s="27">
        <f>K180/I180*100</f>
        <v>18.721909181305932</v>
      </c>
      <c r="N180" s="48"/>
      <c r="O180" s="49" t="e">
        <f>J180+#REF!+#REF!</f>
        <v>#REF!</v>
      </c>
      <c r="P180" s="36">
        <f t="shared" si="61"/>
        <v>16.193993050379014</v>
      </c>
      <c r="Q180" s="27">
        <f t="shared" si="59"/>
        <v>19.127148604169207</v>
      </c>
      <c r="R180" s="24">
        <f t="shared" si="60"/>
        <v>4.5150212945555</v>
      </c>
      <c r="S180" s="24">
        <f t="shared" si="53"/>
        <v>4.517390080360342</v>
      </c>
    </row>
    <row r="181" spans="1:19" ht="12.75">
      <c r="A181" s="88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90"/>
      <c r="N181" s="48"/>
      <c r="O181" s="48"/>
      <c r="P181" s="47"/>
      <c r="Q181" s="27"/>
      <c r="R181" s="24"/>
      <c r="S181" s="18"/>
    </row>
    <row r="182" spans="1:19" ht="12.75">
      <c r="A182" s="93" t="s">
        <v>34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6"/>
    </row>
    <row r="183" spans="1:19" ht="12.75">
      <c r="A183" s="25" t="s">
        <v>3</v>
      </c>
      <c r="B183" s="25"/>
      <c r="C183" s="26" t="s">
        <v>68</v>
      </c>
      <c r="D183" s="27">
        <f aca="true" t="shared" si="70" ref="D183:J183">D184+D186+D187+D188+D189+D191+D193+D192+D190+D185</f>
        <v>24972.1</v>
      </c>
      <c r="E183" s="27">
        <f t="shared" si="70"/>
        <v>24973.399999999998</v>
      </c>
      <c r="F183" s="27">
        <f t="shared" si="70"/>
        <v>5931.6</v>
      </c>
      <c r="G183" s="27">
        <f t="shared" si="70"/>
        <v>5931.6</v>
      </c>
      <c r="H183" s="27">
        <f t="shared" si="70"/>
        <v>5799.3</v>
      </c>
      <c r="I183" s="27">
        <f t="shared" si="70"/>
        <v>5719.3</v>
      </c>
      <c r="J183" s="27">
        <f t="shared" si="70"/>
        <v>7523.2</v>
      </c>
      <c r="K183" s="27">
        <f>K184+K186+K187+K188+K189+K191+K193+K192+K190+K185</f>
        <v>2227.7000000000003</v>
      </c>
      <c r="L183" s="27" t="e">
        <f>K183/#REF!*100</f>
        <v>#REF!</v>
      </c>
      <c r="M183" s="27">
        <f>K183/I183*100</f>
        <v>38.950570874058016</v>
      </c>
      <c r="N183" s="48"/>
      <c r="O183" s="48"/>
      <c r="P183" s="27">
        <f t="shared" si="61"/>
        <v>29.611069757549984</v>
      </c>
      <c r="Q183" s="27">
        <f t="shared" si="59"/>
        <v>37.55647717310675</v>
      </c>
      <c r="R183" s="24">
        <f t="shared" si="60"/>
        <v>8.920291189825976</v>
      </c>
      <c r="S183" s="24">
        <f t="shared" si="53"/>
        <v>8.920755563208543</v>
      </c>
    </row>
    <row r="184" spans="1:19" ht="12.75">
      <c r="A184" s="21" t="s">
        <v>23</v>
      </c>
      <c r="B184" s="21"/>
      <c r="C184" s="28" t="s">
        <v>22</v>
      </c>
      <c r="D184" s="68">
        <v>16900</v>
      </c>
      <c r="E184" s="37">
        <f>G184+H184+I184+J184</f>
        <v>16900</v>
      </c>
      <c r="F184" s="51">
        <f aca="true" t="shared" si="71" ref="F184:F195">G184</f>
        <v>4224</v>
      </c>
      <c r="G184" s="37">
        <v>4224</v>
      </c>
      <c r="H184" s="37">
        <v>4224</v>
      </c>
      <c r="I184" s="17">
        <v>4224</v>
      </c>
      <c r="J184" s="18">
        <v>4228</v>
      </c>
      <c r="K184" s="18">
        <v>1294.4</v>
      </c>
      <c r="L184" s="20" t="e">
        <f>K184/#REF!*100</f>
        <v>#REF!</v>
      </c>
      <c r="M184" s="20">
        <f>K184/I184*100</f>
        <v>30.643939393939394</v>
      </c>
      <c r="N184" s="48"/>
      <c r="O184" s="48"/>
      <c r="P184" s="17">
        <f t="shared" si="61"/>
        <v>30.614947965941347</v>
      </c>
      <c r="Q184" s="20">
        <f t="shared" si="59"/>
        <v>30.643939393939398</v>
      </c>
      <c r="R184" s="18">
        <f t="shared" si="60"/>
        <v>7.659171597633137</v>
      </c>
      <c r="S184" s="18">
        <f t="shared" si="53"/>
        <v>7.659171597633137</v>
      </c>
    </row>
    <row r="185" spans="1:19" ht="12.75">
      <c r="A185" s="12" t="s">
        <v>70</v>
      </c>
      <c r="B185" s="12"/>
      <c r="C185" s="28" t="s">
        <v>71</v>
      </c>
      <c r="D185" s="68">
        <v>4105.1</v>
      </c>
      <c r="E185" s="37">
        <f>G185+H185+I185+J185</f>
        <v>4105.099999999999</v>
      </c>
      <c r="F185" s="51">
        <f t="shared" si="71"/>
        <v>1024.3</v>
      </c>
      <c r="G185" s="37">
        <v>1024.3</v>
      </c>
      <c r="H185" s="37">
        <v>1024.3</v>
      </c>
      <c r="I185" s="17">
        <v>1024.3</v>
      </c>
      <c r="J185" s="18">
        <v>1032.2</v>
      </c>
      <c r="K185" s="18">
        <v>424.5</v>
      </c>
      <c r="L185" s="20"/>
      <c r="M185" s="20"/>
      <c r="N185" s="48"/>
      <c r="O185" s="48"/>
      <c r="P185" s="17"/>
      <c r="Q185" s="20">
        <f>K185*100/F185</f>
        <v>41.44293663965635</v>
      </c>
      <c r="R185" s="18">
        <f>K185*100/E185</f>
        <v>10.340795595722396</v>
      </c>
      <c r="S185" s="18">
        <f t="shared" si="53"/>
        <v>10.340795595722394</v>
      </c>
    </row>
    <row r="186" spans="1:19" ht="13.5" customHeight="1" hidden="1">
      <c r="A186" s="12" t="s">
        <v>8</v>
      </c>
      <c r="B186" s="12"/>
      <c r="C186" s="28" t="s">
        <v>5</v>
      </c>
      <c r="D186" s="68"/>
      <c r="E186" s="37">
        <f aca="true" t="shared" si="72" ref="E186:E195">G186+H186+I186+J186</f>
        <v>0</v>
      </c>
      <c r="F186" s="51">
        <f t="shared" si="71"/>
        <v>0</v>
      </c>
      <c r="G186" s="37"/>
      <c r="H186" s="37"/>
      <c r="I186" s="17"/>
      <c r="J186" s="18"/>
      <c r="K186" s="18"/>
      <c r="L186" s="20"/>
      <c r="M186" s="20"/>
      <c r="N186" s="48"/>
      <c r="O186" s="48"/>
      <c r="P186" s="17" t="e">
        <f t="shared" si="61"/>
        <v>#DIV/0!</v>
      </c>
      <c r="Q186" s="20" t="e">
        <f>K186*100/F186</f>
        <v>#DIV/0!</v>
      </c>
      <c r="R186" s="18" t="e">
        <f>K186*100/E186</f>
        <v>#DIV/0!</v>
      </c>
      <c r="S186" s="18" t="e">
        <f t="shared" si="53"/>
        <v>#DIV/0!</v>
      </c>
    </row>
    <row r="187" spans="1:19" ht="12.75">
      <c r="A187" s="12" t="s">
        <v>9</v>
      </c>
      <c r="B187" s="12"/>
      <c r="C187" s="28" t="s">
        <v>6</v>
      </c>
      <c r="D187" s="68">
        <v>2860</v>
      </c>
      <c r="E187" s="37">
        <f t="shared" si="72"/>
        <v>2860</v>
      </c>
      <c r="F187" s="51">
        <f t="shared" si="71"/>
        <v>345</v>
      </c>
      <c r="G187" s="37">
        <v>345</v>
      </c>
      <c r="H187" s="37">
        <v>280</v>
      </c>
      <c r="I187" s="17">
        <v>280</v>
      </c>
      <c r="J187" s="18">
        <v>1955</v>
      </c>
      <c r="K187" s="18">
        <v>500.9</v>
      </c>
      <c r="L187" s="20" t="e">
        <f>K187/#REF!*100</f>
        <v>#REF!</v>
      </c>
      <c r="M187" s="20">
        <f>K187/I187*100</f>
        <v>178.89285714285714</v>
      </c>
      <c r="N187" s="48"/>
      <c r="O187" s="48"/>
      <c r="P187" s="17">
        <f t="shared" si="61"/>
        <v>25.62148337595908</v>
      </c>
      <c r="Q187" s="20">
        <f t="shared" si="59"/>
        <v>145.18840579710144</v>
      </c>
      <c r="R187" s="18">
        <f t="shared" si="60"/>
        <v>17.513986013986013</v>
      </c>
      <c r="S187" s="18">
        <f t="shared" si="53"/>
        <v>17.513986013986013</v>
      </c>
    </row>
    <row r="188" spans="1:19" ht="12.75">
      <c r="A188" s="12" t="s">
        <v>10</v>
      </c>
      <c r="B188" s="12"/>
      <c r="C188" s="28" t="s">
        <v>21</v>
      </c>
      <c r="D188" s="68">
        <v>182</v>
      </c>
      <c r="E188" s="37">
        <f t="shared" si="72"/>
        <v>182</v>
      </c>
      <c r="F188" s="51">
        <f t="shared" si="71"/>
        <v>51</v>
      </c>
      <c r="G188" s="37">
        <v>51</v>
      </c>
      <c r="H188" s="37">
        <v>35</v>
      </c>
      <c r="I188" s="17">
        <v>38</v>
      </c>
      <c r="J188" s="18">
        <v>58</v>
      </c>
      <c r="K188" s="18">
        <v>7.9</v>
      </c>
      <c r="L188" s="20" t="e">
        <f>K188/#REF!*100</f>
        <v>#REF!</v>
      </c>
      <c r="M188" s="20">
        <f>K188/I188*100</f>
        <v>20.789473684210527</v>
      </c>
      <c r="N188" s="48"/>
      <c r="O188" s="48"/>
      <c r="P188" s="17">
        <f t="shared" si="61"/>
        <v>13.620689655172415</v>
      </c>
      <c r="Q188" s="20">
        <f t="shared" si="59"/>
        <v>15.490196078431373</v>
      </c>
      <c r="R188" s="18">
        <f t="shared" si="60"/>
        <v>4.34065934065934</v>
      </c>
      <c r="S188" s="18">
        <f t="shared" si="53"/>
        <v>4.34065934065934</v>
      </c>
    </row>
    <row r="189" spans="1:19" ht="22.5">
      <c r="A189" s="13" t="s">
        <v>11</v>
      </c>
      <c r="B189" s="13"/>
      <c r="C189" s="28" t="s">
        <v>17</v>
      </c>
      <c r="D189" s="68">
        <v>760</v>
      </c>
      <c r="E189" s="37">
        <f t="shared" si="72"/>
        <v>760</v>
      </c>
      <c r="F189" s="51">
        <f t="shared" si="71"/>
        <v>241</v>
      </c>
      <c r="G189" s="37">
        <v>241</v>
      </c>
      <c r="H189" s="37">
        <v>221</v>
      </c>
      <c r="I189" s="17">
        <v>123</v>
      </c>
      <c r="J189" s="18">
        <v>175</v>
      </c>
      <c r="K189" s="18"/>
      <c r="L189" s="20" t="e">
        <f>K189/#REF!*100</f>
        <v>#REF!</v>
      </c>
      <c r="M189" s="20">
        <f>K189/I189*100</f>
        <v>0</v>
      </c>
      <c r="N189" s="48"/>
      <c r="O189" s="48"/>
      <c r="P189" s="17">
        <f t="shared" si="61"/>
        <v>0</v>
      </c>
      <c r="Q189" s="20">
        <f t="shared" si="59"/>
        <v>0</v>
      </c>
      <c r="R189" s="18">
        <f t="shared" si="60"/>
        <v>0</v>
      </c>
      <c r="S189" s="18">
        <f t="shared" si="53"/>
        <v>0</v>
      </c>
    </row>
    <row r="190" spans="1:19" ht="22.5">
      <c r="A190" s="29" t="s">
        <v>42</v>
      </c>
      <c r="B190" s="30"/>
      <c r="C190" s="28" t="s">
        <v>43</v>
      </c>
      <c r="D190" s="68">
        <v>165</v>
      </c>
      <c r="E190" s="37">
        <f t="shared" si="72"/>
        <v>165</v>
      </c>
      <c r="F190" s="51">
        <f t="shared" si="71"/>
        <v>45</v>
      </c>
      <c r="G190" s="37">
        <v>45</v>
      </c>
      <c r="H190" s="37">
        <v>15</v>
      </c>
      <c r="I190" s="17">
        <v>30</v>
      </c>
      <c r="J190" s="18">
        <v>75</v>
      </c>
      <c r="K190" s="18"/>
      <c r="L190" s="20" t="e">
        <f>K190/#REF!*100</f>
        <v>#REF!</v>
      </c>
      <c r="M190" s="20">
        <f>K190/I190*100</f>
        <v>0</v>
      </c>
      <c r="N190" s="48"/>
      <c r="O190" s="48"/>
      <c r="P190" s="17">
        <f t="shared" si="61"/>
        <v>0</v>
      </c>
      <c r="Q190" s="20">
        <f t="shared" si="59"/>
        <v>0</v>
      </c>
      <c r="R190" s="18">
        <f t="shared" si="60"/>
        <v>0</v>
      </c>
      <c r="S190" s="18">
        <f t="shared" si="53"/>
        <v>0</v>
      </c>
    </row>
    <row r="191" spans="1:19" ht="28.5" customHeight="1">
      <c r="A191" s="29" t="s">
        <v>18</v>
      </c>
      <c r="B191" s="30"/>
      <c r="C191" s="28" t="s">
        <v>15</v>
      </c>
      <c r="D191" s="68"/>
      <c r="E191" s="37">
        <f t="shared" si="72"/>
        <v>1.3</v>
      </c>
      <c r="F191" s="51">
        <f t="shared" si="71"/>
        <v>1.3</v>
      </c>
      <c r="G191" s="37">
        <v>1.3</v>
      </c>
      <c r="H191" s="37"/>
      <c r="I191" s="17"/>
      <c r="J191" s="18"/>
      <c r="K191" s="18"/>
      <c r="L191" s="20" t="e">
        <f>K191/#REF!*100</f>
        <v>#REF!</v>
      </c>
      <c r="M191" s="20" t="e">
        <f>K191/I191*100</f>
        <v>#DIV/0!</v>
      </c>
      <c r="N191" s="48"/>
      <c r="O191" s="48"/>
      <c r="P191" s="17" t="e">
        <f t="shared" si="61"/>
        <v>#DIV/0!</v>
      </c>
      <c r="Q191" s="20"/>
      <c r="R191" s="18"/>
      <c r="S191" s="18"/>
    </row>
    <row r="192" spans="1:19" ht="19.5" customHeight="1" hidden="1">
      <c r="A192" s="21" t="s">
        <v>12</v>
      </c>
      <c r="B192" s="21"/>
      <c r="C192" s="28" t="s">
        <v>7</v>
      </c>
      <c r="D192" s="68"/>
      <c r="E192" s="37">
        <f t="shared" si="72"/>
        <v>0</v>
      </c>
      <c r="F192" s="51">
        <f t="shared" si="71"/>
        <v>0</v>
      </c>
      <c r="G192" s="37"/>
      <c r="H192" s="37"/>
      <c r="I192" s="17"/>
      <c r="J192" s="18"/>
      <c r="K192" s="18"/>
      <c r="L192" s="20" t="e">
        <f>K192/#REF!*100</f>
        <v>#REF!</v>
      </c>
      <c r="M192" s="20"/>
      <c r="N192" s="48"/>
      <c r="O192" s="48"/>
      <c r="P192" s="17" t="e">
        <f t="shared" si="61"/>
        <v>#DIV/0!</v>
      </c>
      <c r="Q192" s="20"/>
      <c r="R192" s="18"/>
      <c r="S192" s="18"/>
    </row>
    <row r="193" spans="1:19" ht="15" customHeight="1">
      <c r="A193" s="53" t="s">
        <v>39</v>
      </c>
      <c r="B193" s="52"/>
      <c r="C193" s="16" t="s">
        <v>40</v>
      </c>
      <c r="D193" s="68"/>
      <c r="E193" s="37">
        <f t="shared" si="72"/>
        <v>0</v>
      </c>
      <c r="F193" s="51">
        <f t="shared" si="71"/>
        <v>0</v>
      </c>
      <c r="G193" s="85"/>
      <c r="H193" s="85"/>
      <c r="I193" s="17"/>
      <c r="J193" s="18"/>
      <c r="K193" s="18"/>
      <c r="L193" s="20" t="e">
        <f>K193/#REF!*100</f>
        <v>#REF!</v>
      </c>
      <c r="M193" s="20"/>
      <c r="N193" s="48"/>
      <c r="O193" s="48"/>
      <c r="P193" s="17" t="e">
        <f t="shared" si="61"/>
        <v>#DIV/0!</v>
      </c>
      <c r="Q193" s="27"/>
      <c r="R193" s="24"/>
      <c r="S193" s="18"/>
    </row>
    <row r="194" spans="1:19" ht="12.75">
      <c r="A194" s="63" t="s">
        <v>1</v>
      </c>
      <c r="B194" s="25"/>
      <c r="C194" s="32" t="s">
        <v>0</v>
      </c>
      <c r="D194" s="36">
        <f aca="true" t="shared" si="73" ref="D194:K194">D195</f>
        <v>25429.7</v>
      </c>
      <c r="E194" s="36">
        <f t="shared" si="73"/>
        <v>25775.8</v>
      </c>
      <c r="F194" s="36">
        <f t="shared" si="73"/>
        <v>7250.5</v>
      </c>
      <c r="G194" s="36">
        <f t="shared" si="73"/>
        <v>7250.5</v>
      </c>
      <c r="H194" s="36">
        <f t="shared" si="73"/>
        <v>6190.2</v>
      </c>
      <c r="I194" s="36">
        <f t="shared" si="73"/>
        <v>6173.3</v>
      </c>
      <c r="J194" s="36">
        <f t="shared" si="73"/>
        <v>6161.8</v>
      </c>
      <c r="K194" s="36">
        <f t="shared" si="73"/>
        <v>643.7</v>
      </c>
      <c r="L194" s="27" t="e">
        <f>K194/#REF!*100</f>
        <v>#REF!</v>
      </c>
      <c r="M194" s="27">
        <f>K194/I194*100</f>
        <v>10.427162133704826</v>
      </c>
      <c r="N194" s="48"/>
      <c r="O194" s="48"/>
      <c r="P194" s="36">
        <f t="shared" si="61"/>
        <v>10.446622740108412</v>
      </c>
      <c r="Q194" s="27">
        <f t="shared" si="59"/>
        <v>8.878008413212882</v>
      </c>
      <c r="R194" s="24">
        <f t="shared" si="60"/>
        <v>2.4973036724369373</v>
      </c>
      <c r="S194" s="24">
        <f t="shared" si="53"/>
        <v>2.5312921505169155</v>
      </c>
    </row>
    <row r="195" spans="1:19" ht="22.5">
      <c r="A195" s="86" t="s">
        <v>67</v>
      </c>
      <c r="B195" s="12"/>
      <c r="C195" s="34" t="s">
        <v>20</v>
      </c>
      <c r="D195" s="37">
        <v>25429.7</v>
      </c>
      <c r="E195" s="37">
        <f t="shared" si="72"/>
        <v>25775.8</v>
      </c>
      <c r="F195" s="51">
        <f t="shared" si="71"/>
        <v>7250.5</v>
      </c>
      <c r="G195" s="37">
        <f>6950.5+300</f>
        <v>7250.5</v>
      </c>
      <c r="H195" s="37">
        <v>6190.2</v>
      </c>
      <c r="I195" s="17">
        <v>6173.3</v>
      </c>
      <c r="J195" s="18">
        <v>6161.8</v>
      </c>
      <c r="K195" s="18">
        <v>643.7</v>
      </c>
      <c r="L195" s="20" t="e">
        <f>K195/#REF!*100</f>
        <v>#REF!</v>
      </c>
      <c r="M195" s="20">
        <f>K195/I195*100</f>
        <v>10.427162133704826</v>
      </c>
      <c r="N195" s="48"/>
      <c r="O195" s="48"/>
      <c r="P195" s="17">
        <f t="shared" si="61"/>
        <v>10.446622740108412</v>
      </c>
      <c r="Q195" s="20">
        <f t="shared" si="59"/>
        <v>8.878008413212882</v>
      </c>
      <c r="R195" s="18">
        <f t="shared" si="60"/>
        <v>2.4973036724369373</v>
      </c>
      <c r="S195" s="18">
        <f t="shared" si="53"/>
        <v>2.5312921505169155</v>
      </c>
    </row>
    <row r="196" spans="1:19" ht="12.75">
      <c r="A196" s="21"/>
      <c r="B196" s="22"/>
      <c r="C196" s="23" t="s">
        <v>4</v>
      </c>
      <c r="D196" s="24">
        <f aca="true" t="shared" si="74" ref="D196:K196">D194+D183</f>
        <v>50401.8</v>
      </c>
      <c r="E196" s="24">
        <f t="shared" si="74"/>
        <v>50749.2</v>
      </c>
      <c r="F196" s="24">
        <f t="shared" si="74"/>
        <v>13182.1</v>
      </c>
      <c r="G196" s="24">
        <f t="shared" si="74"/>
        <v>13182.1</v>
      </c>
      <c r="H196" s="24">
        <f t="shared" si="74"/>
        <v>11989.5</v>
      </c>
      <c r="I196" s="24">
        <f t="shared" si="74"/>
        <v>11892.6</v>
      </c>
      <c r="J196" s="24">
        <f t="shared" si="74"/>
        <v>13685</v>
      </c>
      <c r="K196" s="24">
        <f t="shared" si="74"/>
        <v>2871.4000000000005</v>
      </c>
      <c r="L196" s="27" t="e">
        <f>K196/#REF!*100</f>
        <v>#REF!</v>
      </c>
      <c r="M196" s="27">
        <f>K196/I196*100</f>
        <v>24.144425945545976</v>
      </c>
      <c r="N196" s="48"/>
      <c r="O196" s="49" t="e">
        <f>J196+#REF!+#REF!</f>
        <v>#REF!</v>
      </c>
      <c r="P196" s="36">
        <f t="shared" si="61"/>
        <v>20.98209718670077</v>
      </c>
      <c r="Q196" s="27">
        <f t="shared" si="59"/>
        <v>21.78256878646043</v>
      </c>
      <c r="R196" s="24">
        <f t="shared" si="60"/>
        <v>5.65802022494936</v>
      </c>
      <c r="S196" s="24">
        <f t="shared" si="53"/>
        <v>5.697018757266607</v>
      </c>
    </row>
    <row r="197" spans="1:19" ht="12.75">
      <c r="A197" s="88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90"/>
      <c r="N197" s="48"/>
      <c r="O197" s="48"/>
      <c r="P197" s="47"/>
      <c r="Q197" s="27"/>
      <c r="R197" s="24"/>
      <c r="S197" s="18"/>
    </row>
    <row r="198" spans="1:19" ht="12.75">
      <c r="A198" s="93" t="s">
        <v>35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6"/>
    </row>
    <row r="199" spans="1:19" ht="12.75">
      <c r="A199" s="25" t="s">
        <v>3</v>
      </c>
      <c r="B199" s="25"/>
      <c r="C199" s="26" t="s">
        <v>68</v>
      </c>
      <c r="D199" s="27">
        <f>D200+D203+D205+D206+D204+D207+D208+D202+D201</f>
        <v>5052.299999999999</v>
      </c>
      <c r="E199" s="27">
        <f>E200+E203+E205+E206+E204+E207+E208+E202+E201</f>
        <v>5052.3</v>
      </c>
      <c r="F199" s="27">
        <f>F200+F203+F205+F206+F204+F207+F208+F202+F201</f>
        <v>1197.9</v>
      </c>
      <c r="G199" s="27">
        <f aca="true" t="shared" si="75" ref="G199:P199">G200+G203+G205+G206+G204+G207+G208+G202+G201</f>
        <v>1197.9</v>
      </c>
      <c r="H199" s="27">
        <f t="shared" si="75"/>
        <v>1279.9</v>
      </c>
      <c r="I199" s="27">
        <f t="shared" si="75"/>
        <v>1197.1</v>
      </c>
      <c r="J199" s="27">
        <f t="shared" si="75"/>
        <v>1377.4</v>
      </c>
      <c r="K199" s="27">
        <f t="shared" si="75"/>
        <v>460.2</v>
      </c>
      <c r="L199" s="27" t="e">
        <f t="shared" si="75"/>
        <v>#REF!</v>
      </c>
      <c r="M199" s="27" t="e">
        <f t="shared" si="75"/>
        <v>#DIV/0!</v>
      </c>
      <c r="N199" s="27">
        <f t="shared" si="75"/>
        <v>0</v>
      </c>
      <c r="O199" s="27">
        <f t="shared" si="75"/>
        <v>0</v>
      </c>
      <c r="P199" s="27" t="e">
        <f t="shared" si="75"/>
        <v>#DIV/0!</v>
      </c>
      <c r="Q199" s="27">
        <f t="shared" si="59"/>
        <v>38.41723015276734</v>
      </c>
      <c r="R199" s="24">
        <f t="shared" si="60"/>
        <v>9.108722759931121</v>
      </c>
      <c r="S199" s="24">
        <f t="shared" si="53"/>
        <v>9.108722759931121</v>
      </c>
    </row>
    <row r="200" spans="1:19" ht="12.75">
      <c r="A200" s="21" t="s">
        <v>23</v>
      </c>
      <c r="B200" s="21"/>
      <c r="C200" s="28" t="s">
        <v>22</v>
      </c>
      <c r="D200" s="68">
        <v>1250</v>
      </c>
      <c r="E200" s="37">
        <f>G200+H200+I200+J200</f>
        <v>1250</v>
      </c>
      <c r="F200" s="51">
        <f aca="true" t="shared" si="76" ref="F200:F210">G200</f>
        <v>250</v>
      </c>
      <c r="G200" s="37">
        <v>250</v>
      </c>
      <c r="H200" s="37">
        <v>340</v>
      </c>
      <c r="I200" s="17">
        <v>270</v>
      </c>
      <c r="J200" s="17">
        <v>390</v>
      </c>
      <c r="K200" s="18">
        <v>24.6</v>
      </c>
      <c r="L200" s="20" t="e">
        <f>K200/#REF!*100</f>
        <v>#REF!</v>
      </c>
      <c r="M200" s="20">
        <f aca="true" t="shared" si="77" ref="M200:M206">K200/I200*100</f>
        <v>9.11111111111111</v>
      </c>
      <c r="N200" s="48"/>
      <c r="O200" s="48"/>
      <c r="P200" s="17">
        <f t="shared" si="61"/>
        <v>6.3076923076923075</v>
      </c>
      <c r="Q200" s="20">
        <f t="shared" si="59"/>
        <v>9.84</v>
      </c>
      <c r="R200" s="18">
        <f t="shared" si="60"/>
        <v>1.968</v>
      </c>
      <c r="S200" s="18">
        <f t="shared" si="53"/>
        <v>1.968</v>
      </c>
    </row>
    <row r="201" spans="1:19" ht="12.75">
      <c r="A201" s="12" t="s">
        <v>70</v>
      </c>
      <c r="B201" s="12"/>
      <c r="C201" s="28" t="s">
        <v>71</v>
      </c>
      <c r="D201" s="68">
        <v>3417.2</v>
      </c>
      <c r="E201" s="37">
        <f>G201+H201+I201+J201</f>
        <v>3417.2000000000003</v>
      </c>
      <c r="F201" s="51">
        <f t="shared" si="76"/>
        <v>854.4</v>
      </c>
      <c r="G201" s="37">
        <v>854.4</v>
      </c>
      <c r="H201" s="37">
        <v>854.1</v>
      </c>
      <c r="I201" s="17">
        <v>854.3</v>
      </c>
      <c r="J201" s="17">
        <v>854.4</v>
      </c>
      <c r="K201" s="18">
        <v>353.3</v>
      </c>
      <c r="L201" s="20"/>
      <c r="M201" s="20"/>
      <c r="N201" s="48"/>
      <c r="O201" s="48"/>
      <c r="P201" s="17"/>
      <c r="Q201" s="20">
        <f>K201*100/F201</f>
        <v>41.35065543071161</v>
      </c>
      <c r="R201" s="18">
        <f>K201*100/E201</f>
        <v>10.338873931874048</v>
      </c>
      <c r="S201" s="18">
        <f t="shared" si="53"/>
        <v>10.33887393187405</v>
      </c>
    </row>
    <row r="202" spans="1:19" ht="12.75">
      <c r="A202" s="12" t="s">
        <v>8</v>
      </c>
      <c r="B202" s="38" t="s">
        <v>55</v>
      </c>
      <c r="C202" s="28" t="s">
        <v>5</v>
      </c>
      <c r="D202" s="68">
        <v>7</v>
      </c>
      <c r="E202" s="37">
        <f aca="true" t="shared" si="78" ref="E202:E210">G202+H202+I202+J202</f>
        <v>7</v>
      </c>
      <c r="F202" s="51">
        <f t="shared" si="76"/>
        <v>0</v>
      </c>
      <c r="G202" s="37"/>
      <c r="H202" s="37">
        <v>7</v>
      </c>
      <c r="I202" s="17"/>
      <c r="J202" s="17"/>
      <c r="K202" s="18"/>
      <c r="L202" s="20" t="e">
        <f>K202/#REF!*100</f>
        <v>#REF!</v>
      </c>
      <c r="M202" s="20"/>
      <c r="N202" s="48"/>
      <c r="O202" s="48"/>
      <c r="P202" s="17" t="e">
        <f t="shared" si="61"/>
        <v>#DIV/0!</v>
      </c>
      <c r="Q202" s="20"/>
      <c r="R202" s="18">
        <f t="shared" si="60"/>
        <v>0</v>
      </c>
      <c r="S202" s="18">
        <f t="shared" si="53"/>
        <v>0</v>
      </c>
    </row>
    <row r="203" spans="1:19" ht="12.75">
      <c r="A203" s="12" t="s">
        <v>9</v>
      </c>
      <c r="B203" s="12"/>
      <c r="C203" s="28" t="s">
        <v>6</v>
      </c>
      <c r="D203" s="68">
        <v>225</v>
      </c>
      <c r="E203" s="37">
        <f t="shared" si="78"/>
        <v>225</v>
      </c>
      <c r="F203" s="51">
        <f t="shared" si="76"/>
        <v>49</v>
      </c>
      <c r="G203" s="37">
        <v>49</v>
      </c>
      <c r="H203" s="37">
        <v>43</v>
      </c>
      <c r="I203" s="17">
        <v>38</v>
      </c>
      <c r="J203" s="17">
        <v>95</v>
      </c>
      <c r="K203" s="18">
        <v>57.5</v>
      </c>
      <c r="L203" s="20" t="e">
        <f>K203/#REF!*100</f>
        <v>#REF!</v>
      </c>
      <c r="M203" s="20">
        <f t="shared" si="77"/>
        <v>151.3157894736842</v>
      </c>
      <c r="N203" s="48"/>
      <c r="O203" s="48"/>
      <c r="P203" s="17">
        <f t="shared" si="61"/>
        <v>60.526315789473685</v>
      </c>
      <c r="Q203" s="20">
        <f t="shared" si="59"/>
        <v>117.34693877551021</v>
      </c>
      <c r="R203" s="18">
        <f t="shared" si="60"/>
        <v>25.555555555555557</v>
      </c>
      <c r="S203" s="18">
        <f aca="true" t="shared" si="79" ref="S203:S232">K203*100/D203</f>
        <v>25.555555555555557</v>
      </c>
    </row>
    <row r="204" spans="1:19" ht="12.75">
      <c r="A204" s="12" t="s">
        <v>10</v>
      </c>
      <c r="B204" s="12"/>
      <c r="C204" s="28" t="s">
        <v>21</v>
      </c>
      <c r="D204" s="68">
        <v>18</v>
      </c>
      <c r="E204" s="37">
        <f t="shared" si="78"/>
        <v>18</v>
      </c>
      <c r="F204" s="51">
        <f t="shared" si="76"/>
        <v>3</v>
      </c>
      <c r="G204" s="37">
        <v>3</v>
      </c>
      <c r="H204" s="37">
        <v>6</v>
      </c>
      <c r="I204" s="17">
        <v>5</v>
      </c>
      <c r="J204" s="17">
        <v>4</v>
      </c>
      <c r="K204" s="18">
        <v>0.7</v>
      </c>
      <c r="L204" s="20" t="e">
        <f>K204/#REF!*100</f>
        <v>#REF!</v>
      </c>
      <c r="M204" s="20">
        <f t="shared" si="77"/>
        <v>13.999999999999998</v>
      </c>
      <c r="N204" s="48"/>
      <c r="O204" s="48"/>
      <c r="P204" s="17">
        <f t="shared" si="61"/>
        <v>17.5</v>
      </c>
      <c r="Q204" s="20">
        <f t="shared" si="59"/>
        <v>23.333333333333332</v>
      </c>
      <c r="R204" s="18">
        <f t="shared" si="60"/>
        <v>3.888888888888889</v>
      </c>
      <c r="S204" s="18">
        <f t="shared" si="79"/>
        <v>3.888888888888889</v>
      </c>
    </row>
    <row r="205" spans="1:19" ht="22.5">
      <c r="A205" s="13" t="s">
        <v>11</v>
      </c>
      <c r="B205" s="13"/>
      <c r="C205" s="28" t="s">
        <v>17</v>
      </c>
      <c r="D205" s="68">
        <v>135.1</v>
      </c>
      <c r="E205" s="37">
        <f t="shared" si="78"/>
        <v>135.1</v>
      </c>
      <c r="F205" s="51">
        <f t="shared" si="76"/>
        <v>41.5</v>
      </c>
      <c r="G205" s="37">
        <v>41.5</v>
      </c>
      <c r="H205" s="37">
        <v>29.8</v>
      </c>
      <c r="I205" s="17">
        <v>29.8</v>
      </c>
      <c r="J205" s="17">
        <v>34</v>
      </c>
      <c r="K205" s="18">
        <v>24.1</v>
      </c>
      <c r="L205" s="20" t="e">
        <f>K205/#REF!*100</f>
        <v>#REF!</v>
      </c>
      <c r="M205" s="20">
        <f t="shared" si="77"/>
        <v>80.87248322147651</v>
      </c>
      <c r="N205" s="48"/>
      <c r="O205" s="48"/>
      <c r="P205" s="17">
        <f t="shared" si="61"/>
        <v>70.88235294117646</v>
      </c>
      <c r="Q205" s="20">
        <f t="shared" si="59"/>
        <v>58.0722891566265</v>
      </c>
      <c r="R205" s="18">
        <f t="shared" si="60"/>
        <v>17.838638045891933</v>
      </c>
      <c r="S205" s="18">
        <f t="shared" si="79"/>
        <v>17.838638045891933</v>
      </c>
    </row>
    <row r="206" spans="1:19" ht="22.5" hidden="1">
      <c r="A206" s="29" t="s">
        <v>18</v>
      </c>
      <c r="B206" s="29"/>
      <c r="C206" s="28" t="s">
        <v>15</v>
      </c>
      <c r="D206" s="68"/>
      <c r="E206" s="37">
        <f t="shared" si="78"/>
        <v>0</v>
      </c>
      <c r="F206" s="51">
        <f t="shared" si="76"/>
        <v>0</v>
      </c>
      <c r="G206" s="37"/>
      <c r="H206" s="37"/>
      <c r="I206" s="17"/>
      <c r="J206" s="17"/>
      <c r="K206" s="18"/>
      <c r="L206" s="20" t="e">
        <f>K206/#REF!*100</f>
        <v>#REF!</v>
      </c>
      <c r="M206" s="20" t="e">
        <f t="shared" si="77"/>
        <v>#DIV/0!</v>
      </c>
      <c r="N206" s="48"/>
      <c r="O206" s="48"/>
      <c r="P206" s="17" t="e">
        <f t="shared" si="61"/>
        <v>#DIV/0!</v>
      </c>
      <c r="Q206" s="20"/>
      <c r="R206" s="18"/>
      <c r="S206" s="18" t="e">
        <f t="shared" si="79"/>
        <v>#DIV/0!</v>
      </c>
    </row>
    <row r="207" spans="1:19" ht="15.75" customHeight="1" hidden="1">
      <c r="A207" s="29" t="s">
        <v>12</v>
      </c>
      <c r="B207" s="54"/>
      <c r="C207" s="28" t="s">
        <v>7</v>
      </c>
      <c r="D207" s="68"/>
      <c r="E207" s="37">
        <f t="shared" si="78"/>
        <v>0</v>
      </c>
      <c r="F207" s="51">
        <f t="shared" si="76"/>
        <v>0</v>
      </c>
      <c r="G207" s="37"/>
      <c r="H207" s="37"/>
      <c r="I207" s="17"/>
      <c r="J207" s="17"/>
      <c r="K207" s="18"/>
      <c r="L207" s="20" t="e">
        <f>K207/#REF!*100</f>
        <v>#REF!</v>
      </c>
      <c r="M207" s="20"/>
      <c r="N207" s="48"/>
      <c r="O207" s="48"/>
      <c r="P207" s="17" t="e">
        <f t="shared" si="61"/>
        <v>#DIV/0!</v>
      </c>
      <c r="Q207" s="20"/>
      <c r="R207" s="18"/>
      <c r="S207" s="18" t="e">
        <f t="shared" si="79"/>
        <v>#DIV/0!</v>
      </c>
    </row>
    <row r="208" spans="1:19" ht="13.5" customHeight="1">
      <c r="A208" s="53" t="s">
        <v>39</v>
      </c>
      <c r="B208" s="52"/>
      <c r="C208" s="16" t="s">
        <v>40</v>
      </c>
      <c r="D208" s="68"/>
      <c r="E208" s="37">
        <f t="shared" si="78"/>
        <v>0</v>
      </c>
      <c r="F208" s="51">
        <f t="shared" si="76"/>
        <v>0</v>
      </c>
      <c r="G208" s="37"/>
      <c r="H208" s="37"/>
      <c r="I208" s="17"/>
      <c r="J208" s="17"/>
      <c r="K208" s="18"/>
      <c r="L208" s="20" t="e">
        <f>K208/#REF!*100</f>
        <v>#REF!</v>
      </c>
      <c r="M208" s="20"/>
      <c r="N208" s="48"/>
      <c r="O208" s="48"/>
      <c r="P208" s="17"/>
      <c r="Q208" s="20"/>
      <c r="R208" s="18"/>
      <c r="S208" s="18"/>
    </row>
    <row r="209" spans="1:19" ht="12.75">
      <c r="A209" s="25" t="s">
        <v>1</v>
      </c>
      <c r="B209" s="25"/>
      <c r="C209" s="32" t="s">
        <v>0</v>
      </c>
      <c r="D209" s="33">
        <f aca="true" t="shared" si="80" ref="D209:K209">D210</f>
        <v>25551.8</v>
      </c>
      <c r="E209" s="33">
        <f t="shared" si="80"/>
        <v>25561.7</v>
      </c>
      <c r="F209" s="33">
        <f t="shared" si="80"/>
        <v>6179.1</v>
      </c>
      <c r="G209" s="33">
        <f t="shared" si="80"/>
        <v>6179.1</v>
      </c>
      <c r="H209" s="33">
        <f t="shared" si="80"/>
        <v>7018.9</v>
      </c>
      <c r="I209" s="33">
        <f t="shared" si="80"/>
        <v>6169.4</v>
      </c>
      <c r="J209" s="33">
        <f t="shared" si="80"/>
        <v>6194.3</v>
      </c>
      <c r="K209" s="33">
        <f t="shared" si="80"/>
        <v>709.9</v>
      </c>
      <c r="L209" s="27" t="e">
        <f>K209/#REF!*100</f>
        <v>#REF!</v>
      </c>
      <c r="M209" s="27">
        <f>K209/I209*100</f>
        <v>11.506791584270756</v>
      </c>
      <c r="N209" s="48"/>
      <c r="O209" s="48"/>
      <c r="P209" s="36">
        <f t="shared" si="61"/>
        <v>11.460536299501154</v>
      </c>
      <c r="Q209" s="27">
        <f t="shared" si="59"/>
        <v>11.488728131928598</v>
      </c>
      <c r="R209" s="24">
        <f t="shared" si="60"/>
        <v>2.7772018292993033</v>
      </c>
      <c r="S209" s="24">
        <f t="shared" si="79"/>
        <v>2.7782778512668385</v>
      </c>
    </row>
    <row r="210" spans="1:19" ht="22.5">
      <c r="A210" s="14" t="s">
        <v>67</v>
      </c>
      <c r="B210" s="12"/>
      <c r="C210" s="34" t="s">
        <v>20</v>
      </c>
      <c r="D210" s="37">
        <v>25551.8</v>
      </c>
      <c r="E210" s="37">
        <f t="shared" si="78"/>
        <v>25561.7</v>
      </c>
      <c r="F210" s="51">
        <f t="shared" si="76"/>
        <v>6179.1</v>
      </c>
      <c r="G210" s="37">
        <v>6179.1</v>
      </c>
      <c r="H210" s="37">
        <v>7018.9</v>
      </c>
      <c r="I210" s="17">
        <v>6169.4</v>
      </c>
      <c r="J210" s="17">
        <v>6194.3</v>
      </c>
      <c r="K210" s="18">
        <v>709.9</v>
      </c>
      <c r="L210" s="20" t="e">
        <f>K210/#REF!*100</f>
        <v>#REF!</v>
      </c>
      <c r="M210" s="20">
        <f>K210/I210*100</f>
        <v>11.506791584270756</v>
      </c>
      <c r="N210" s="48"/>
      <c r="O210" s="48"/>
      <c r="P210" s="17">
        <f t="shared" si="61"/>
        <v>11.460536299501154</v>
      </c>
      <c r="Q210" s="20">
        <f t="shared" si="59"/>
        <v>11.488728131928598</v>
      </c>
      <c r="R210" s="18">
        <f t="shared" si="60"/>
        <v>2.7772018292993033</v>
      </c>
      <c r="S210" s="18">
        <f t="shared" si="79"/>
        <v>2.7782778512668385</v>
      </c>
    </row>
    <row r="211" spans="1:19" ht="12.75">
      <c r="A211" s="21"/>
      <c r="B211" s="22"/>
      <c r="C211" s="23" t="s">
        <v>4</v>
      </c>
      <c r="D211" s="24">
        <f aca="true" t="shared" si="81" ref="D211:K211">D209+D199</f>
        <v>30604.1</v>
      </c>
      <c r="E211" s="24">
        <f t="shared" si="81"/>
        <v>30614</v>
      </c>
      <c r="F211" s="24">
        <f t="shared" si="81"/>
        <v>7377</v>
      </c>
      <c r="G211" s="36">
        <f t="shared" si="81"/>
        <v>7377</v>
      </c>
      <c r="H211" s="36">
        <f t="shared" si="81"/>
        <v>8298.8</v>
      </c>
      <c r="I211" s="36">
        <f t="shared" si="81"/>
        <v>7366.5</v>
      </c>
      <c r="J211" s="36">
        <f t="shared" si="81"/>
        <v>7571.700000000001</v>
      </c>
      <c r="K211" s="24">
        <f t="shared" si="81"/>
        <v>1170.1</v>
      </c>
      <c r="L211" s="27" t="e">
        <f>K211/#REF!*100</f>
        <v>#REF!</v>
      </c>
      <c r="M211" s="27">
        <f>K211/I211*100</f>
        <v>15.884069775334284</v>
      </c>
      <c r="N211" s="48"/>
      <c r="O211" s="49" t="e">
        <f>J211+#REF!+#REF!</f>
        <v>#REF!</v>
      </c>
      <c r="P211" s="36">
        <f t="shared" si="61"/>
        <v>15.453596946524556</v>
      </c>
      <c r="Q211" s="27">
        <f t="shared" si="59"/>
        <v>15.861461298630879</v>
      </c>
      <c r="R211" s="24">
        <f t="shared" si="60"/>
        <v>3.8221075325014695</v>
      </c>
      <c r="S211" s="24">
        <f t="shared" si="79"/>
        <v>3.823343931041919</v>
      </c>
    </row>
    <row r="212" spans="1:19" ht="12.75">
      <c r="A212" s="88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90"/>
      <c r="N212" s="48"/>
      <c r="O212" s="48"/>
      <c r="P212" s="47"/>
      <c r="Q212" s="27"/>
      <c r="R212" s="24"/>
      <c r="S212" s="18"/>
    </row>
    <row r="213" spans="1:19" ht="12.75">
      <c r="A213" s="93" t="s">
        <v>36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6"/>
    </row>
    <row r="214" spans="1:19" ht="12.75">
      <c r="A214" s="25" t="s">
        <v>3</v>
      </c>
      <c r="B214" s="39"/>
      <c r="C214" s="26" t="s">
        <v>68</v>
      </c>
      <c r="D214" s="27">
        <f aca="true" t="shared" si="82" ref="D214:K214">D215+D217+D218+D219+D221+D222+D224+D226+D223+D220+D227+D225+D216</f>
        <v>978570.1</v>
      </c>
      <c r="E214" s="27">
        <f t="shared" si="82"/>
        <v>978571.4</v>
      </c>
      <c r="F214" s="27">
        <f t="shared" si="82"/>
        <v>228399.10000000003</v>
      </c>
      <c r="G214" s="27">
        <f t="shared" si="82"/>
        <v>228399.10000000003</v>
      </c>
      <c r="H214" s="27">
        <f t="shared" si="82"/>
        <v>255557.49999999997</v>
      </c>
      <c r="I214" s="27">
        <f t="shared" si="82"/>
        <v>228003.4</v>
      </c>
      <c r="J214" s="27">
        <f t="shared" si="82"/>
        <v>266611.4</v>
      </c>
      <c r="K214" s="27">
        <f t="shared" si="82"/>
        <v>82416.70000000001</v>
      </c>
      <c r="L214" s="27" t="e">
        <f>K214/#REF!*100</f>
        <v>#REF!</v>
      </c>
      <c r="M214" s="27">
        <f aca="true" t="shared" si="83" ref="M214:M225">K214/I214*100</f>
        <v>36.1471364023519</v>
      </c>
      <c r="N214" s="48"/>
      <c r="O214" s="48"/>
      <c r="P214" s="27">
        <f t="shared" si="61"/>
        <v>30.91266915068148</v>
      </c>
      <c r="Q214" s="27">
        <f t="shared" si="59"/>
        <v>36.0845117165523</v>
      </c>
      <c r="R214" s="24">
        <f t="shared" si="60"/>
        <v>8.422144771449483</v>
      </c>
      <c r="S214" s="24">
        <f t="shared" si="79"/>
        <v>8.422155960007363</v>
      </c>
    </row>
    <row r="215" spans="1:19" ht="12.75">
      <c r="A215" s="21" t="s">
        <v>23</v>
      </c>
      <c r="B215" s="40" t="s">
        <v>54</v>
      </c>
      <c r="C215" s="28" t="s">
        <v>22</v>
      </c>
      <c r="D215" s="18">
        <f>D9+D31+D47+D65+D82+D100+D116+D133+D150+D167+D184+D200</f>
        <v>706575.5</v>
      </c>
      <c r="E215" s="37">
        <f>G215+H215+I215+J215</f>
        <v>706575.5</v>
      </c>
      <c r="F215" s="51">
        <f aca="true" t="shared" si="84" ref="F215:F231">G215</f>
        <v>165753.6</v>
      </c>
      <c r="G215" s="18">
        <f>G9+G31+G47+G65+G82+G100+G116+G133+G150+G167+G184+G200</f>
        <v>165753.6</v>
      </c>
      <c r="H215" s="18">
        <f>H9+H31+H47+H65+H82+H100+H116+H133+H150+H167+H184+H200</f>
        <v>185869.6</v>
      </c>
      <c r="I215" s="18">
        <f>I9+I31+I47+I65+I82+I100+I116+I133+I150+I167+I184+I200</f>
        <v>163126.30000000002</v>
      </c>
      <c r="J215" s="18">
        <f>J9+J31+J47+J65+J82+J100+J116+J133+J150+J167+J184+J200</f>
        <v>191826</v>
      </c>
      <c r="K215" s="18">
        <f>K9+K31+K47+K65+K82+K100+K116+K133+K150+K167+K184+K200-0.2</f>
        <v>64268.600000000006</v>
      </c>
      <c r="L215" s="20" t="e">
        <f>K215/#REF!*100</f>
        <v>#REF!</v>
      </c>
      <c r="M215" s="20">
        <f t="shared" si="83"/>
        <v>39.39806150203861</v>
      </c>
      <c r="N215" s="48"/>
      <c r="O215" s="48"/>
      <c r="P215" s="17">
        <f t="shared" si="61"/>
        <v>33.50359179673246</v>
      </c>
      <c r="Q215" s="20">
        <f t="shared" si="59"/>
        <v>38.77357716514152</v>
      </c>
      <c r="R215" s="18">
        <f t="shared" si="60"/>
        <v>9.095786649834308</v>
      </c>
      <c r="S215" s="18">
        <f t="shared" si="79"/>
        <v>9.095786649834308</v>
      </c>
    </row>
    <row r="216" spans="1:19" ht="12.75">
      <c r="A216" s="12" t="s">
        <v>70</v>
      </c>
      <c r="B216" s="12"/>
      <c r="C216" s="28" t="s">
        <v>71</v>
      </c>
      <c r="D216" s="18">
        <f>D10+D32+D48+D66+D83+D101+D118+D134+D151+D168+D185+D201</f>
        <v>46940.7</v>
      </c>
      <c r="E216" s="37">
        <f aca="true" t="shared" si="85" ref="E216:E231">G216+H216+I216+J216</f>
        <v>46940.7</v>
      </c>
      <c r="F216" s="51">
        <f t="shared" si="84"/>
        <v>11248.7</v>
      </c>
      <c r="G216" s="18">
        <f>G10+G32+G48+G66+G83+G101+G118+G134+G151+G168+G185+G201</f>
        <v>11248.7</v>
      </c>
      <c r="H216" s="18">
        <f>H10+H32+H48+H66+H83+H101+H118+H134+H151+H168+H185+H201</f>
        <v>12135.400000000001</v>
      </c>
      <c r="I216" s="18">
        <f>I10+I32+I48+I66+I83+I101+I118+I134+I151+I168+I185+I201</f>
        <v>11950.599999999999</v>
      </c>
      <c r="J216" s="18">
        <f>J10+J32+J48+J66+J83+J101+J118+J134+J151+J168+J185+J201</f>
        <v>11606</v>
      </c>
      <c r="K216" s="18">
        <f>K10+K32+K48+K66+K83+K101+K118+K134+K151+K168+K185+K201+0.1</f>
        <v>4853.600000000001</v>
      </c>
      <c r="L216" s="18">
        <f>L10</f>
        <v>0</v>
      </c>
      <c r="M216" s="18">
        <f>M10</f>
        <v>0</v>
      </c>
      <c r="N216" s="18">
        <f>N10</f>
        <v>0</v>
      </c>
      <c r="O216" s="18">
        <f>O10</f>
        <v>0</v>
      </c>
      <c r="P216" s="18">
        <f>P10</f>
        <v>0</v>
      </c>
      <c r="Q216" s="20">
        <f t="shared" si="59"/>
        <v>43.14809711344423</v>
      </c>
      <c r="R216" s="18">
        <f t="shared" si="60"/>
        <v>10.339854326842168</v>
      </c>
      <c r="S216" s="18">
        <f t="shared" si="79"/>
        <v>10.339854326842168</v>
      </c>
    </row>
    <row r="217" spans="1:19" ht="12.75">
      <c r="A217" s="12" t="s">
        <v>8</v>
      </c>
      <c r="B217" s="38" t="s">
        <v>55</v>
      </c>
      <c r="C217" s="28" t="s">
        <v>5</v>
      </c>
      <c r="D217" s="18">
        <f>D11+D49+D67+D202+D152+D117+D186+D84+D102+D169+D119</f>
        <v>45460</v>
      </c>
      <c r="E217" s="37">
        <f>G217+H217+I217+J217</f>
        <v>45460</v>
      </c>
      <c r="F217" s="51">
        <f t="shared" si="84"/>
        <v>11181</v>
      </c>
      <c r="G217" s="18">
        <f>G11+G49+G67+G202+G152+G117+G186+G84+G102+G169</f>
        <v>11181</v>
      </c>
      <c r="H217" s="18">
        <f>H11+H49+H67+H202+H152+H117+H186+H84+H102+H169</f>
        <v>13529</v>
      </c>
      <c r="I217" s="18">
        <f>I11+I49+I67+I202+I152+I117+I186+I84+I102+I169</f>
        <v>10620.3</v>
      </c>
      <c r="J217" s="18">
        <f>J11+J49+J67+J202+J152+J117+J186+J84+J102+J169</f>
        <v>10129.7</v>
      </c>
      <c r="K217" s="18">
        <f>K11+K49+K67+K202+K152+K117+K186+K84+K102+K169+K119</f>
        <v>3820.3</v>
      </c>
      <c r="L217" s="20" t="e">
        <f>K217/#REF!*100</f>
        <v>#REF!</v>
      </c>
      <c r="M217" s="20">
        <f t="shared" si="83"/>
        <v>35.97167688295058</v>
      </c>
      <c r="N217" s="48"/>
      <c r="O217" s="48"/>
      <c r="P217" s="17">
        <f t="shared" si="61"/>
        <v>37.71385134801623</v>
      </c>
      <c r="Q217" s="20">
        <f t="shared" si="59"/>
        <v>34.167784634648065</v>
      </c>
      <c r="R217" s="18">
        <f t="shared" si="60"/>
        <v>8.403651561812582</v>
      </c>
      <c r="S217" s="18">
        <f t="shared" si="79"/>
        <v>8.403651561812582</v>
      </c>
    </row>
    <row r="218" spans="1:19" ht="12.75">
      <c r="A218" s="12" t="s">
        <v>9</v>
      </c>
      <c r="B218" s="38" t="s">
        <v>56</v>
      </c>
      <c r="C218" s="28" t="s">
        <v>6</v>
      </c>
      <c r="D218" s="18">
        <f>D12+D33+D50+D68+D85+D103+D120+D135+D153+D170+D187+D203</f>
        <v>21147.7</v>
      </c>
      <c r="E218" s="37">
        <f t="shared" si="85"/>
        <v>21147.7</v>
      </c>
      <c r="F218" s="51">
        <f t="shared" si="84"/>
        <v>3783.2</v>
      </c>
      <c r="G218" s="18">
        <f>G12+G33+G50+G68+G85+G103+G120+G135+G153+G170+G187+G203</f>
        <v>3783.2</v>
      </c>
      <c r="H218" s="18">
        <f>H12+H33+H50+H68+H85+H103+H120+H135+H153+H170+H187+H203</f>
        <v>3298.8999999999996</v>
      </c>
      <c r="I218" s="18">
        <f>I12+I33+I50+I68+I85+I103+I120+I135+I153+I170+I187+I203</f>
        <v>3329.9000000000005</v>
      </c>
      <c r="J218" s="18">
        <f>J12+J33+J50+J68+J85+J103+J120+J135+J153+J170+J187+J203</f>
        <v>10735.7</v>
      </c>
      <c r="K218" s="18">
        <f>K12+K33+K50+K68+K85+K103+K120+K135+K153+K170+K187+K203+0.2</f>
        <v>3382.8</v>
      </c>
      <c r="L218" s="20" t="e">
        <f>K218/#REF!*100</f>
        <v>#REF!</v>
      </c>
      <c r="M218" s="20">
        <f t="shared" si="83"/>
        <v>101.58863629538423</v>
      </c>
      <c r="N218" s="48"/>
      <c r="O218" s="48"/>
      <c r="P218" s="17">
        <f t="shared" si="61"/>
        <v>31.50982236835977</v>
      </c>
      <c r="Q218" s="20">
        <f t="shared" si="59"/>
        <v>89.41636709663777</v>
      </c>
      <c r="R218" s="18">
        <f t="shared" si="60"/>
        <v>15.996065766017107</v>
      </c>
      <c r="S218" s="18">
        <f t="shared" si="79"/>
        <v>15.996065766017107</v>
      </c>
    </row>
    <row r="219" spans="1:19" ht="12.75">
      <c r="A219" s="12" t="s">
        <v>10</v>
      </c>
      <c r="B219" s="38" t="s">
        <v>49</v>
      </c>
      <c r="C219" s="28" t="s">
        <v>21</v>
      </c>
      <c r="D219" s="18">
        <f>D13+D34+D51+D69+D86+D104+D121+D136+D154+D171+D188+D204</f>
        <v>3579.3999999999996</v>
      </c>
      <c r="E219" s="37">
        <f t="shared" si="85"/>
        <v>3579.4</v>
      </c>
      <c r="F219" s="51">
        <f t="shared" si="84"/>
        <v>871.4</v>
      </c>
      <c r="G219" s="18">
        <f>G13+G34+G69+G86+G104+G121+G136+G154+G171+G188+G204</f>
        <v>871.4</v>
      </c>
      <c r="H219" s="18">
        <f>H13+H34+H69+H86+H104+H121+H136+H154+H171+H188+H204</f>
        <v>861.1</v>
      </c>
      <c r="I219" s="18">
        <f>I13+I34+I69+I86+I104+I121+I136+I154+I171+I188+I204</f>
        <v>868.4</v>
      </c>
      <c r="J219" s="18">
        <f>J13+J34+J69+J86+J104+J121+J136+J154+J171+J188+J204</f>
        <v>978.5</v>
      </c>
      <c r="K219" s="18">
        <f>K13+K34+K51+K69+K86+K104+K121+K136+K154+K171+K188+K204+0.1</f>
        <v>258.3</v>
      </c>
      <c r="L219" s="20" t="e">
        <f>K219/#REF!*100</f>
        <v>#REF!</v>
      </c>
      <c r="M219" s="20">
        <f t="shared" si="83"/>
        <v>29.744357438968223</v>
      </c>
      <c r="N219" s="48"/>
      <c r="O219" s="48"/>
      <c r="P219" s="17">
        <f t="shared" si="61"/>
        <v>26.39754726622381</v>
      </c>
      <c r="Q219" s="20">
        <f t="shared" si="59"/>
        <v>29.641955473949967</v>
      </c>
      <c r="R219" s="18">
        <f t="shared" si="60"/>
        <v>7.216293233502822</v>
      </c>
      <c r="S219" s="18">
        <f t="shared" si="79"/>
        <v>7.216293233502823</v>
      </c>
    </row>
    <row r="220" spans="1:19" ht="22.5" hidden="1">
      <c r="A220" s="12" t="s">
        <v>37</v>
      </c>
      <c r="B220" s="38" t="s">
        <v>57</v>
      </c>
      <c r="C220" s="28" t="s">
        <v>38</v>
      </c>
      <c r="D220" s="41">
        <f>D14</f>
        <v>0</v>
      </c>
      <c r="E220" s="37">
        <f t="shared" si="85"/>
        <v>0</v>
      </c>
      <c r="F220" s="51">
        <f t="shared" si="84"/>
        <v>0</v>
      </c>
      <c r="G220" s="41">
        <f>G14</f>
        <v>0</v>
      </c>
      <c r="H220" s="41">
        <f>H14</f>
        <v>0</v>
      </c>
      <c r="I220" s="41">
        <f>I14</f>
        <v>0</v>
      </c>
      <c r="J220" s="41">
        <f>J14</f>
        <v>0</v>
      </c>
      <c r="K220" s="41">
        <f>K14</f>
        <v>0</v>
      </c>
      <c r="L220" s="20" t="e">
        <f>K220/#REF!*100</f>
        <v>#REF!</v>
      </c>
      <c r="M220" s="20"/>
      <c r="N220" s="48"/>
      <c r="O220" s="48"/>
      <c r="P220" s="17" t="e">
        <f t="shared" si="61"/>
        <v>#DIV/0!</v>
      </c>
      <c r="Q220" s="20"/>
      <c r="R220" s="18"/>
      <c r="S220" s="18" t="e">
        <f t="shared" si="79"/>
        <v>#DIV/0!</v>
      </c>
    </row>
    <row r="221" spans="1:19" ht="22.5">
      <c r="A221" s="13" t="s">
        <v>11</v>
      </c>
      <c r="B221" s="42" t="s">
        <v>48</v>
      </c>
      <c r="C221" s="28" t="s">
        <v>17</v>
      </c>
      <c r="D221" s="18">
        <f>D15+D35+D52+D70+D87+D105+D122+D137+D155+D172+D189+D205</f>
        <v>116967.7</v>
      </c>
      <c r="E221" s="37">
        <f t="shared" si="85"/>
        <v>116967.7</v>
      </c>
      <c r="F221" s="51">
        <f t="shared" si="84"/>
        <v>26841.399999999994</v>
      </c>
      <c r="G221" s="18">
        <f>G15+G35+G52+G70+G87+G105+G122+G137+G155+G172+G189+G205</f>
        <v>26841.399999999994</v>
      </c>
      <c r="H221" s="18">
        <f>H15+H35+H52+H70+H87+H105+H122+H137+H155+H172+H189+H205</f>
        <v>29092.3</v>
      </c>
      <c r="I221" s="18">
        <f>I15+I35+I52+I70+I87+I105+I122+I137+I155+I172+I189+I205</f>
        <v>29451.499999999996</v>
      </c>
      <c r="J221" s="18">
        <f>J15+J35+J52+J70+J87+J105+J122+J137+J155+J172+J189+J205</f>
        <v>31582.5</v>
      </c>
      <c r="K221" s="18">
        <f>K15+K35+K52+K70+K87+K105+K122+K137+K155+K172+K189+K205-0.1</f>
        <v>1364.6999999999998</v>
      </c>
      <c r="L221" s="20" t="e">
        <f>K221/#REF!*100</f>
        <v>#REF!</v>
      </c>
      <c r="M221" s="20">
        <f t="shared" si="83"/>
        <v>4.633719844490094</v>
      </c>
      <c r="N221" s="48"/>
      <c r="O221" s="48"/>
      <c r="P221" s="17">
        <f t="shared" si="61"/>
        <v>4.321063880313464</v>
      </c>
      <c r="Q221" s="20">
        <f aca="true" t="shared" si="86" ref="Q221:Q232">K221*100/F221</f>
        <v>5.08431005834271</v>
      </c>
      <c r="R221" s="18">
        <f aca="true" t="shared" si="87" ref="R221:R232">K221*100/E221</f>
        <v>1.1667323543166188</v>
      </c>
      <c r="S221" s="18">
        <f t="shared" si="79"/>
        <v>1.1667323543166188</v>
      </c>
    </row>
    <row r="222" spans="1:19" ht="12.75">
      <c r="A222" s="29" t="s">
        <v>14</v>
      </c>
      <c r="B222" s="43" t="s">
        <v>47</v>
      </c>
      <c r="C222" s="28" t="s">
        <v>13</v>
      </c>
      <c r="D222" s="18">
        <f>D16</f>
        <v>4251.8</v>
      </c>
      <c r="E222" s="37">
        <f t="shared" si="85"/>
        <v>4251.8</v>
      </c>
      <c r="F222" s="51">
        <f t="shared" si="84"/>
        <v>1063</v>
      </c>
      <c r="G222" s="18">
        <f>G16</f>
        <v>1063</v>
      </c>
      <c r="H222" s="18">
        <f>H16</f>
        <v>1062.9</v>
      </c>
      <c r="I222" s="18">
        <f>I16</f>
        <v>1063</v>
      </c>
      <c r="J222" s="18">
        <f>J16</f>
        <v>1062.9</v>
      </c>
      <c r="K222" s="18">
        <f>K16</f>
        <v>-102</v>
      </c>
      <c r="L222" s="20" t="e">
        <f>K222/#REF!*100</f>
        <v>#REF!</v>
      </c>
      <c r="M222" s="20">
        <f t="shared" si="83"/>
        <v>-9.595484477892755</v>
      </c>
      <c r="N222" s="48"/>
      <c r="O222" s="48"/>
      <c r="P222" s="17">
        <f t="shared" si="61"/>
        <v>-9.5963872424499</v>
      </c>
      <c r="Q222" s="20">
        <f t="shared" si="86"/>
        <v>-9.595484477892755</v>
      </c>
      <c r="R222" s="18">
        <f t="shared" si="87"/>
        <v>-2.3989839597347005</v>
      </c>
      <c r="S222" s="18">
        <f t="shared" si="79"/>
        <v>-2.3989839597347005</v>
      </c>
    </row>
    <row r="223" spans="1:19" ht="22.5">
      <c r="A223" s="30" t="s">
        <v>42</v>
      </c>
      <c r="B223" s="44" t="s">
        <v>58</v>
      </c>
      <c r="C223" s="28" t="s">
        <v>43</v>
      </c>
      <c r="D223" s="45">
        <f>D17+D88+D53+D106+D138+D156+D173+D190+D123+D71+D36</f>
        <v>15872.999999999998</v>
      </c>
      <c r="E223" s="37">
        <f t="shared" si="85"/>
        <v>15873</v>
      </c>
      <c r="F223" s="51">
        <f t="shared" si="84"/>
        <v>3960.2000000000003</v>
      </c>
      <c r="G223" s="45">
        <f aca="true" t="shared" si="88" ref="G223:P223">G17+G88+G53+G106+G138+G156+G173+G190+G123+G71+G36</f>
        <v>3960.2000000000003</v>
      </c>
      <c r="H223" s="45">
        <f t="shared" si="88"/>
        <v>3971.1</v>
      </c>
      <c r="I223" s="45">
        <f t="shared" si="88"/>
        <v>3858.1</v>
      </c>
      <c r="J223" s="45">
        <f t="shared" si="88"/>
        <v>4083.6000000000004</v>
      </c>
      <c r="K223" s="45">
        <f t="shared" si="88"/>
        <v>837.4</v>
      </c>
      <c r="L223" s="45" t="e">
        <f t="shared" si="88"/>
        <v>#REF!</v>
      </c>
      <c r="M223" s="45" t="e">
        <f t="shared" si="88"/>
        <v>#DIV/0!</v>
      </c>
      <c r="N223" s="45">
        <f t="shared" si="88"/>
        <v>0</v>
      </c>
      <c r="O223" s="45">
        <f t="shared" si="88"/>
        <v>0</v>
      </c>
      <c r="P223" s="45" t="e">
        <f t="shared" si="88"/>
        <v>#DIV/0!</v>
      </c>
      <c r="Q223" s="20">
        <f t="shared" si="86"/>
        <v>21.14539669713651</v>
      </c>
      <c r="R223" s="18">
        <f t="shared" si="87"/>
        <v>5.275625275625275</v>
      </c>
      <c r="S223" s="18">
        <f t="shared" si="79"/>
        <v>5.275625275625276</v>
      </c>
    </row>
    <row r="224" spans="1:19" ht="22.5">
      <c r="A224" s="30" t="s">
        <v>18</v>
      </c>
      <c r="B224" s="44" t="s">
        <v>53</v>
      </c>
      <c r="C224" s="28" t="s">
        <v>15</v>
      </c>
      <c r="D224" s="18">
        <f>D18+D37+D54+D72+D89+D124+D157+D174+D191+D206+D139</f>
        <v>17538</v>
      </c>
      <c r="E224" s="37">
        <f>G224+H224+I224+J224</f>
        <v>17539.3</v>
      </c>
      <c r="F224" s="51">
        <f t="shared" si="84"/>
        <v>3638.7000000000003</v>
      </c>
      <c r="G224" s="18">
        <f>G18+G37+G54+G72+G89+G107+G124+G157+G174+G191+G206+G139</f>
        <v>3638.7000000000003</v>
      </c>
      <c r="H224" s="18">
        <f>H18+H37+H54+H72+H89+H107+H124+H157+H174+H191+H206+H139</f>
        <v>5678.400000000001</v>
      </c>
      <c r="I224" s="18">
        <f>I18+I37+I54+I72+I89+I107+I124+I157+I174+I191+I206+I139</f>
        <v>3677.4</v>
      </c>
      <c r="J224" s="18">
        <f>J18+J37+J54+J72+J89+J107+J124+J157+J174+J191+J206+J139</f>
        <v>4544.8</v>
      </c>
      <c r="K224" s="18">
        <f>K18+K37+K54+K72+K89+K124+K157+K174+K191+K206+K139-0.1</f>
        <v>1298.8000000000002</v>
      </c>
      <c r="L224" s="20" t="e">
        <f>K224/#REF!*100</f>
        <v>#REF!</v>
      </c>
      <c r="M224" s="20">
        <f t="shared" si="83"/>
        <v>35.318431500516674</v>
      </c>
      <c r="N224" s="48"/>
      <c r="O224" s="48"/>
      <c r="P224" s="17">
        <f aca="true" t="shared" si="89" ref="P224:P232">K224*100/J224</f>
        <v>28.577715190987504</v>
      </c>
      <c r="Q224" s="20">
        <f t="shared" si="86"/>
        <v>35.694066562233765</v>
      </c>
      <c r="R224" s="18">
        <f t="shared" si="87"/>
        <v>7.405084581482728</v>
      </c>
      <c r="S224" s="18">
        <f t="shared" si="79"/>
        <v>7.405633481582849</v>
      </c>
    </row>
    <row r="225" spans="1:19" ht="12.75">
      <c r="A225" s="30" t="s">
        <v>60</v>
      </c>
      <c r="B225" s="30"/>
      <c r="C225" s="28" t="s">
        <v>61</v>
      </c>
      <c r="D225" s="18">
        <f>D19</f>
        <v>6</v>
      </c>
      <c r="E225" s="37">
        <f t="shared" si="85"/>
        <v>6</v>
      </c>
      <c r="F225" s="51">
        <f t="shared" si="84"/>
        <v>1</v>
      </c>
      <c r="G225" s="18">
        <f>G19</f>
        <v>1</v>
      </c>
      <c r="H225" s="18">
        <f>H19</f>
        <v>2</v>
      </c>
      <c r="I225" s="18">
        <f>I19</f>
        <v>1</v>
      </c>
      <c r="J225" s="18">
        <f>J19</f>
        <v>2</v>
      </c>
      <c r="K225" s="18">
        <f>K19</f>
        <v>0</v>
      </c>
      <c r="L225" s="20" t="e">
        <f>K225/#REF!*100</f>
        <v>#REF!</v>
      </c>
      <c r="M225" s="20">
        <f t="shared" si="83"/>
        <v>0</v>
      </c>
      <c r="N225" s="48"/>
      <c r="O225" s="48"/>
      <c r="P225" s="17">
        <f t="shared" si="89"/>
        <v>0</v>
      </c>
      <c r="Q225" s="20">
        <f t="shared" si="86"/>
        <v>0</v>
      </c>
      <c r="R225" s="18">
        <f t="shared" si="87"/>
        <v>0</v>
      </c>
      <c r="S225" s="18">
        <f t="shared" si="79"/>
        <v>0</v>
      </c>
    </row>
    <row r="226" spans="1:19" ht="12.75">
      <c r="A226" s="21" t="s">
        <v>12</v>
      </c>
      <c r="B226" s="40" t="s">
        <v>50</v>
      </c>
      <c r="C226" s="28" t="s">
        <v>7</v>
      </c>
      <c r="D226" s="18">
        <f>D20+D192+D207+D73+D140+D55+D158+D90+D175+D107</f>
        <v>230.29999999999998</v>
      </c>
      <c r="E226" s="37">
        <f t="shared" si="85"/>
        <v>230.3</v>
      </c>
      <c r="F226" s="51">
        <f t="shared" si="84"/>
        <v>56.9</v>
      </c>
      <c r="G226" s="18">
        <f>G20+G192+G207+G73+G140+G55+G158+G90+G175</f>
        <v>56.9</v>
      </c>
      <c r="H226" s="18">
        <f>H20+H192+H207+H73+H140+H55+H158+H90+H175</f>
        <v>56.8</v>
      </c>
      <c r="I226" s="18">
        <f>I20+I192+I207+I73+I140+I55+I158+I90+I175</f>
        <v>56.9</v>
      </c>
      <c r="J226" s="18">
        <f>J20+J192+J207+J73+J140+J55+J158+J90+J175</f>
        <v>59.7</v>
      </c>
      <c r="K226" s="18">
        <f>K20+K192+K207+K73+K140+K55+K158+K90+K175+K107+K38</f>
        <v>1460.7</v>
      </c>
      <c r="L226" s="18" t="e">
        <f>L20+L192+L207+L73+L140+L55+L158+L90</f>
        <v>#REF!</v>
      </c>
      <c r="M226" s="18">
        <f>M20+M192+M207+M73+M140+M55+M158+M90</f>
        <v>2567.13532513181</v>
      </c>
      <c r="N226" s="18">
        <f>N20+N192+N207+N73+N140+N55+N158+N90</f>
        <v>0</v>
      </c>
      <c r="O226" s="18">
        <f>O20+O192+O207+O73+O140+O55+O158+O90</f>
        <v>0</v>
      </c>
      <c r="P226" s="18" t="e">
        <f>P20+P192+P207+P73+P140+P55+P158+P90</f>
        <v>#DIV/0!</v>
      </c>
      <c r="Q226" s="20">
        <f t="shared" si="86"/>
        <v>2567.13532513181</v>
      </c>
      <c r="R226" s="18">
        <f t="shared" si="87"/>
        <v>634.259661311333</v>
      </c>
      <c r="S226" s="18">
        <f t="shared" si="79"/>
        <v>634.259661311333</v>
      </c>
    </row>
    <row r="227" spans="1:19" ht="12.75">
      <c r="A227" s="31" t="s">
        <v>39</v>
      </c>
      <c r="B227" s="46" t="s">
        <v>57</v>
      </c>
      <c r="C227" s="16" t="s">
        <v>40</v>
      </c>
      <c r="D227" s="18">
        <f>D21+D39+D56+D74+D91+D108+D126+D141+D159+D176+D193+D208</f>
        <v>0</v>
      </c>
      <c r="E227" s="37">
        <f t="shared" si="85"/>
        <v>0</v>
      </c>
      <c r="F227" s="51">
        <f t="shared" si="84"/>
        <v>0</v>
      </c>
      <c r="G227" s="18">
        <v>0</v>
      </c>
      <c r="H227" s="18">
        <f>H21+H39+H56+H74+H91+H108+H126+H141+H159+H176+H193+H208</f>
        <v>0</v>
      </c>
      <c r="I227" s="18">
        <f>I21+I39+I56+I74+I91+I108+I126+I141+I159+I176+I193+I208</f>
        <v>0</v>
      </c>
      <c r="J227" s="18">
        <f>J21+J39+J56+J74+J91+J108+J126+J141+J159+J176+J193+J208</f>
        <v>0</v>
      </c>
      <c r="K227" s="18">
        <f>K21+K39+K56+K74+K91+K108+K126+K141+K159+K176+K193+K208</f>
        <v>973.5</v>
      </c>
      <c r="L227" s="20"/>
      <c r="M227" s="20"/>
      <c r="N227" s="48"/>
      <c r="O227" s="48"/>
      <c r="P227" s="17" t="e">
        <f t="shared" si="89"/>
        <v>#DIV/0!</v>
      </c>
      <c r="Q227" s="20"/>
      <c r="R227" s="18"/>
      <c r="S227" s="18"/>
    </row>
    <row r="228" spans="1:19" ht="12.75">
      <c r="A228" s="25" t="s">
        <v>1</v>
      </c>
      <c r="B228" s="39"/>
      <c r="C228" s="32" t="s">
        <v>0</v>
      </c>
      <c r="D228" s="33">
        <f aca="true" t="shared" si="90" ref="D228:J228">D229+D230+D231</f>
        <v>2676706.5</v>
      </c>
      <c r="E228" s="33">
        <f t="shared" si="90"/>
        <v>2682063.1</v>
      </c>
      <c r="F228" s="33">
        <f t="shared" si="90"/>
        <v>654338.9</v>
      </c>
      <c r="G228" s="33">
        <f t="shared" si="90"/>
        <v>654338.9</v>
      </c>
      <c r="H228" s="33">
        <f t="shared" si="90"/>
        <v>670354.6</v>
      </c>
      <c r="I228" s="33">
        <f t="shared" si="90"/>
        <v>667651.3</v>
      </c>
      <c r="J228" s="33">
        <f t="shared" si="90"/>
        <v>689718.3</v>
      </c>
      <c r="K228" s="33">
        <f>K229+K230+K231</f>
        <v>166666.6</v>
      </c>
      <c r="L228" s="27" t="e">
        <f>K228/#REF!*100</f>
        <v>#REF!</v>
      </c>
      <c r="M228" s="27">
        <f>K228/I228*100</f>
        <v>24.963120718854288</v>
      </c>
      <c r="N228" s="48"/>
      <c r="O228" s="48"/>
      <c r="P228" s="36">
        <f t="shared" si="89"/>
        <v>24.164445107517082</v>
      </c>
      <c r="Q228" s="27">
        <f t="shared" si="86"/>
        <v>25.4709906441448</v>
      </c>
      <c r="R228" s="24">
        <f>K228*100/E228</f>
        <v>6.2141192725853465</v>
      </c>
      <c r="S228" s="24">
        <f t="shared" si="79"/>
        <v>6.226554909923819</v>
      </c>
    </row>
    <row r="229" spans="1:19" ht="22.5">
      <c r="A229" s="14" t="s">
        <v>67</v>
      </c>
      <c r="B229" s="38" t="s">
        <v>51</v>
      </c>
      <c r="C229" s="34" t="s">
        <v>20</v>
      </c>
      <c r="D229" s="17">
        <f>D23-16095.4</f>
        <v>2676706.5</v>
      </c>
      <c r="E229" s="37">
        <f t="shared" si="85"/>
        <v>2682063.1</v>
      </c>
      <c r="F229" s="51">
        <f t="shared" si="84"/>
        <v>654338.9</v>
      </c>
      <c r="G229" s="17">
        <f>G23-1609.6</f>
        <v>654338.9</v>
      </c>
      <c r="H229" s="17">
        <f>H23-4828.6</f>
        <v>670354.6</v>
      </c>
      <c r="I229" s="17">
        <f>I23-4828.6</f>
        <v>667651.3</v>
      </c>
      <c r="J229" s="17">
        <f>J23-4828.6</f>
        <v>689718.3</v>
      </c>
      <c r="K229" s="17">
        <f>K23</f>
        <v>172602.6</v>
      </c>
      <c r="L229" s="20" t="e">
        <f>K229/#REF!*100</f>
        <v>#REF!</v>
      </c>
      <c r="M229" s="20">
        <f>K229/I229*100</f>
        <v>25.85220758201175</v>
      </c>
      <c r="N229" s="48"/>
      <c r="O229" s="48"/>
      <c r="P229" s="17">
        <f t="shared" si="89"/>
        <v>25.0250863287229</v>
      </c>
      <c r="Q229" s="20">
        <f t="shared" si="86"/>
        <v>26.378165809796727</v>
      </c>
      <c r="R229" s="18">
        <f t="shared" si="87"/>
        <v>6.43544143312661</v>
      </c>
      <c r="S229" s="18">
        <f t="shared" si="79"/>
        <v>6.448319978301693</v>
      </c>
    </row>
    <row r="230" spans="1:19" ht="12.75">
      <c r="A230" s="14" t="s">
        <v>2</v>
      </c>
      <c r="B230" s="14" t="s">
        <v>52</v>
      </c>
      <c r="C230" s="35" t="s">
        <v>19</v>
      </c>
      <c r="D230" s="18">
        <f>D24+D95+D179+D77</f>
        <v>0</v>
      </c>
      <c r="E230" s="18">
        <f>E24+E95+E179+E77+E144</f>
        <v>0</v>
      </c>
      <c r="F230" s="51">
        <f t="shared" si="84"/>
        <v>0</v>
      </c>
      <c r="G230" s="18">
        <f>G24+G95+G179+G77</f>
        <v>0</v>
      </c>
      <c r="H230" s="18">
        <f>H24+H95+H179+H77</f>
        <v>0</v>
      </c>
      <c r="I230" s="18">
        <f>I24+I95+I179+I77</f>
        <v>0</v>
      </c>
      <c r="J230" s="18">
        <f>J24+J95+J179+J77</f>
        <v>0</v>
      </c>
      <c r="K230" s="18">
        <f>K24+K95+K179+K77+K144</f>
        <v>91.6</v>
      </c>
      <c r="L230" s="20" t="e">
        <f>K230/#REF!*100</f>
        <v>#REF!</v>
      </c>
      <c r="M230" s="20" t="e">
        <f>K230/I230*100</f>
        <v>#DIV/0!</v>
      </c>
      <c r="N230" s="48"/>
      <c r="O230" s="48"/>
      <c r="P230" s="17" t="e">
        <f t="shared" si="89"/>
        <v>#DIV/0!</v>
      </c>
      <c r="Q230" s="20"/>
      <c r="R230" s="18"/>
      <c r="S230" s="18"/>
    </row>
    <row r="231" spans="1:19" ht="33.75">
      <c r="A231" s="14" t="s">
        <v>66</v>
      </c>
      <c r="B231" s="15"/>
      <c r="C231" s="19" t="s">
        <v>63</v>
      </c>
      <c r="D231" s="18">
        <f>D26</f>
        <v>0</v>
      </c>
      <c r="E231" s="37">
        <f t="shared" si="85"/>
        <v>0</v>
      </c>
      <c r="F231" s="51">
        <f t="shared" si="84"/>
        <v>0</v>
      </c>
      <c r="G231" s="18">
        <f>G26</f>
        <v>0</v>
      </c>
      <c r="H231" s="18">
        <f>H26</f>
        <v>0</v>
      </c>
      <c r="I231" s="18">
        <f>I26</f>
        <v>0</v>
      </c>
      <c r="J231" s="18">
        <f>J26</f>
        <v>0</v>
      </c>
      <c r="K231" s="18">
        <f>K26</f>
        <v>-6027.6</v>
      </c>
      <c r="L231" s="20" t="e">
        <f>K231/#REF!*100</f>
        <v>#REF!</v>
      </c>
      <c r="M231" s="20"/>
      <c r="N231" s="48"/>
      <c r="O231" s="48"/>
      <c r="P231" s="17" t="e">
        <f t="shared" si="89"/>
        <v>#DIV/0!</v>
      </c>
      <c r="Q231" s="20"/>
      <c r="R231" s="18"/>
      <c r="S231" s="18"/>
    </row>
    <row r="232" spans="1:19" ht="12.75">
      <c r="A232" s="21"/>
      <c r="B232" s="22"/>
      <c r="C232" s="23" t="s">
        <v>4</v>
      </c>
      <c r="D232" s="24">
        <f>D228+D214</f>
        <v>3655276.6</v>
      </c>
      <c r="E232" s="24">
        <f>E228+E214</f>
        <v>3660634.5</v>
      </c>
      <c r="F232" s="24">
        <f aca="true" t="shared" si="91" ref="F232:K232">F228+F214</f>
        <v>882738</v>
      </c>
      <c r="G232" s="24">
        <f t="shared" si="91"/>
        <v>882738</v>
      </c>
      <c r="H232" s="24">
        <f t="shared" si="91"/>
        <v>925912.1</v>
      </c>
      <c r="I232" s="24">
        <f t="shared" si="91"/>
        <v>895654.7000000001</v>
      </c>
      <c r="J232" s="24">
        <f t="shared" si="91"/>
        <v>956329.7000000001</v>
      </c>
      <c r="K232" s="24">
        <f t="shared" si="91"/>
        <v>249083.30000000002</v>
      </c>
      <c r="L232" s="27" t="e">
        <f>K232/#REF!*100</f>
        <v>#REF!</v>
      </c>
      <c r="M232" s="27">
        <f>K232/I232*100</f>
        <v>27.810192923679182</v>
      </c>
      <c r="N232" s="48"/>
      <c r="O232" s="49" t="e">
        <f>J232+#REF!+#REF!</f>
        <v>#REF!</v>
      </c>
      <c r="P232" s="36">
        <f t="shared" si="89"/>
        <v>26.04575597725345</v>
      </c>
      <c r="Q232" s="27">
        <f t="shared" si="86"/>
        <v>28.2171267125693</v>
      </c>
      <c r="R232" s="24">
        <f t="shared" si="87"/>
        <v>6.804375033890983</v>
      </c>
      <c r="S232" s="24">
        <f t="shared" si="79"/>
        <v>6.814348878549985</v>
      </c>
    </row>
    <row r="233" spans="3:9" ht="12.75">
      <c r="C233" s="8"/>
      <c r="D233" s="8"/>
      <c r="E233" s="8"/>
      <c r="F233" s="8"/>
      <c r="G233" s="8"/>
      <c r="H233" s="8"/>
      <c r="I233" s="2"/>
    </row>
    <row r="234" spans="3:12" ht="12.75">
      <c r="C234" s="9" t="s">
        <v>59</v>
      </c>
      <c r="D234" s="9"/>
      <c r="E234" s="9"/>
      <c r="F234" s="9"/>
      <c r="G234" s="9"/>
      <c r="H234" s="9"/>
      <c r="I234" s="3"/>
      <c r="J234" s="3"/>
      <c r="K234" s="5"/>
      <c r="L234" s="5"/>
    </row>
    <row r="235" spans="3:13" ht="12.75" hidden="1">
      <c r="C235" s="9"/>
      <c r="D235" s="9"/>
      <c r="E235" s="9"/>
      <c r="F235" s="9"/>
      <c r="G235" s="9"/>
      <c r="H235" s="9"/>
      <c r="I235" s="3" t="s">
        <v>62</v>
      </c>
      <c r="J235" s="3">
        <f>J234-J214</f>
        <v>-266611.4</v>
      </c>
      <c r="K235" s="4"/>
      <c r="L235" s="5"/>
      <c r="M235" s="2" t="e">
        <f>O27+O43+O61+O78+O96+O112+O129+O146+O163+O180+O196+O211-#REF!-#REF!-#REF!-#REF!-#REF!-#REF!-#REF!-#REF!-#REF!-#REF!-#REF!-#REF!-5301.3-7951.9-535.1-7243.1</f>
        <v>#REF!</v>
      </c>
    </row>
    <row r="236" spans="1:13" ht="12.75" hidden="1">
      <c r="A236" s="2"/>
      <c r="C236" s="9"/>
      <c r="D236" s="9"/>
      <c r="E236" s="9"/>
      <c r="F236" s="9"/>
      <c r="G236" s="9"/>
      <c r="H236" s="9"/>
      <c r="I236" s="6"/>
      <c r="J236" s="3"/>
      <c r="K236" s="5"/>
      <c r="L236" s="5"/>
      <c r="M236" s="2" t="e">
        <f>O232-M235</f>
        <v>#REF!</v>
      </c>
    </row>
    <row r="237" spans="3:12" ht="12.75" hidden="1">
      <c r="C237" s="10"/>
      <c r="D237" s="10"/>
      <c r="E237" s="10"/>
      <c r="F237" s="10"/>
      <c r="G237" s="10"/>
      <c r="H237" s="10"/>
      <c r="I237" s="3"/>
      <c r="J237" s="3">
        <f>J236-J228</f>
        <v>-689718.3</v>
      </c>
      <c r="K237" s="5"/>
      <c r="L237" s="5"/>
    </row>
    <row r="238" spans="3:12" ht="12.75" hidden="1">
      <c r="C238" s="10"/>
      <c r="D238" s="10"/>
      <c r="E238" s="10"/>
      <c r="F238" s="10"/>
      <c r="G238" s="10"/>
      <c r="H238" s="10"/>
      <c r="I238" s="6"/>
      <c r="J238" s="3" t="e">
        <f>#REF!+#REF!+#REF!+#REF!+#REF!+#REF!+#REF!+#REF!+#REF!+#REF!</f>
        <v>#REF!</v>
      </c>
      <c r="K238" s="5"/>
      <c r="L238" s="5"/>
    </row>
    <row r="239" spans="1:12" ht="12.75" hidden="1">
      <c r="A239" s="2">
        <f>J214+J228</f>
        <v>956329.7000000001</v>
      </c>
      <c r="C239" s="11"/>
      <c r="D239" s="11"/>
      <c r="E239" s="11"/>
      <c r="F239" s="11"/>
      <c r="G239" s="11"/>
      <c r="H239" s="11"/>
      <c r="I239" s="6"/>
      <c r="J239" s="3" t="e">
        <f>J238-#REF!</f>
        <v>#REF!</v>
      </c>
      <c r="K239" s="5"/>
      <c r="L239" s="5"/>
    </row>
    <row r="240" spans="1:12" ht="12.75" hidden="1">
      <c r="A240" s="2" t="e">
        <f>#REF!+#REF!</f>
        <v>#REF!</v>
      </c>
      <c r="C240" s="10"/>
      <c r="D240" s="10"/>
      <c r="E240" s="10"/>
      <c r="F240" s="10"/>
      <c r="G240" s="10"/>
      <c r="H240" s="10"/>
      <c r="I240" s="6"/>
      <c r="J240" s="3" t="e">
        <f>J234+J236+J238</f>
        <v>#REF!</v>
      </c>
      <c r="K240" s="5"/>
      <c r="L240" s="5"/>
    </row>
    <row r="241" spans="1:12" ht="12.75" hidden="1">
      <c r="A241" s="2" t="e">
        <f>J214+#REF!</f>
        <v>#REF!</v>
      </c>
      <c r="C241" s="9"/>
      <c r="D241" s="9"/>
      <c r="E241" s="9"/>
      <c r="F241" s="9"/>
      <c r="G241" s="9"/>
      <c r="H241" s="9"/>
      <c r="I241" s="6"/>
      <c r="J241" s="3">
        <f>J27+J43+J61+J78+J96+J112+J129+J146+J163+J180+J196+J211-J209-J194-J177-J160-J142-J127-J109-J93-J75-J40-J57</f>
        <v>961158.2999999998</v>
      </c>
      <c r="K241" s="5"/>
      <c r="L241" s="5"/>
    </row>
    <row r="242" spans="1:12" ht="12.75" hidden="1">
      <c r="A242" s="2" t="e">
        <f>J228+#REF!</f>
        <v>#REF!</v>
      </c>
      <c r="C242" s="9"/>
      <c r="D242" s="9"/>
      <c r="E242" s="9"/>
      <c r="F242" s="9"/>
      <c r="G242" s="9"/>
      <c r="H242" s="9"/>
      <c r="I242" s="6"/>
      <c r="J242" s="3">
        <f>J241-J232</f>
        <v>4828.599999999744</v>
      </c>
      <c r="K242" s="5"/>
      <c r="L242" s="5"/>
    </row>
    <row r="243" spans="3:12" ht="12.75" hidden="1">
      <c r="C243" s="9"/>
      <c r="D243" s="9"/>
      <c r="E243" s="9"/>
      <c r="F243" s="9"/>
      <c r="G243" s="9"/>
      <c r="H243" s="9"/>
      <c r="I243" s="6"/>
      <c r="J243" s="3"/>
      <c r="K243" s="5"/>
      <c r="L243" s="5"/>
    </row>
    <row r="244" spans="3:12" ht="12.75" hidden="1">
      <c r="C244" s="8"/>
      <c r="D244" s="8"/>
      <c r="E244" s="8"/>
      <c r="F244" s="8"/>
      <c r="G244" s="8"/>
      <c r="H244" s="8"/>
      <c r="I244" s="5"/>
      <c r="J244" s="4"/>
      <c r="K244" s="5"/>
      <c r="L244" s="5"/>
    </row>
    <row r="245" spans="3:12" ht="12.75">
      <c r="C245" s="8"/>
      <c r="D245" s="8"/>
      <c r="E245" s="8"/>
      <c r="F245" s="50"/>
      <c r="G245" s="50"/>
      <c r="H245" s="50"/>
      <c r="I245" s="50"/>
      <c r="J245" s="50"/>
      <c r="K245" s="50"/>
      <c r="L245" s="5"/>
    </row>
    <row r="246" spans="3:12" ht="12.75">
      <c r="C246" s="8"/>
      <c r="D246" s="8"/>
      <c r="E246" s="8"/>
      <c r="F246" s="8"/>
      <c r="G246" s="8"/>
      <c r="H246" s="8"/>
      <c r="I246" s="5"/>
      <c r="J246" s="4"/>
      <c r="K246" s="5"/>
      <c r="L246" s="5"/>
    </row>
    <row r="247" spans="3:12" ht="12.75">
      <c r="C247" s="8"/>
      <c r="D247" s="50"/>
      <c r="E247" s="50"/>
      <c r="F247" s="8"/>
      <c r="G247" s="50"/>
      <c r="H247" s="50"/>
      <c r="I247" s="50"/>
      <c r="J247" s="50"/>
      <c r="K247" s="50"/>
      <c r="L247" s="5"/>
    </row>
    <row r="248" spans="4:12" ht="12.75">
      <c r="D248" s="2"/>
      <c r="E248" s="2"/>
      <c r="F248" s="2"/>
      <c r="G248" s="2"/>
      <c r="H248" s="2"/>
      <c r="I248" s="2"/>
      <c r="J248" s="2"/>
      <c r="K248" s="2"/>
      <c r="L248" s="5"/>
    </row>
    <row r="249" spans="9:12" ht="12.75">
      <c r="I249" s="5"/>
      <c r="J249" s="4"/>
      <c r="K249" s="5"/>
      <c r="L249" s="5"/>
    </row>
    <row r="250" spans="9:12" ht="12.75"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4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4"/>
      <c r="J255" s="4"/>
      <c r="K255" s="4"/>
      <c r="L255" s="5"/>
    </row>
    <row r="256" spans="3:12" ht="12.75">
      <c r="C256" s="8"/>
      <c r="D256" s="8"/>
      <c r="E256" s="8"/>
      <c r="F256" s="8"/>
      <c r="G256" s="8"/>
      <c r="H256" s="8"/>
      <c r="I256" s="5"/>
      <c r="J256" s="5"/>
      <c r="K256" s="5"/>
      <c r="L256" s="5"/>
    </row>
    <row r="257" spans="3:12" ht="12.75">
      <c r="C257" s="8"/>
      <c r="D257" s="8"/>
      <c r="E257" s="8"/>
      <c r="F257" s="8"/>
      <c r="G257" s="8"/>
      <c r="H257" s="8"/>
      <c r="I257" s="7"/>
      <c r="J257" s="4"/>
      <c r="K257" s="5"/>
      <c r="L257" s="5"/>
    </row>
  </sheetData>
  <sheetProtection password="CF7A" sheet="1"/>
  <mergeCells count="43">
    <mergeCell ref="O4:O6"/>
    <mergeCell ref="Q4:Q6"/>
    <mergeCell ref="A130:M130"/>
    <mergeCell ref="I4:I6"/>
    <mergeCell ref="J4:J6"/>
    <mergeCell ref="G4:G6"/>
    <mergeCell ref="P4:P6"/>
    <mergeCell ref="A181:M181"/>
    <mergeCell ref="A147:M147"/>
    <mergeCell ref="A63:S63"/>
    <mergeCell ref="A114:S114"/>
    <mergeCell ref="A79:M79"/>
    <mergeCell ref="N4:N6"/>
    <mergeCell ref="A212:M212"/>
    <mergeCell ref="A197:M197"/>
    <mergeCell ref="A164:M164"/>
    <mergeCell ref="K4:K6"/>
    <mergeCell ref="H4:H6"/>
    <mergeCell ref="L4:L6"/>
    <mergeCell ref="M4:M6"/>
    <mergeCell ref="A98:S98"/>
    <mergeCell ref="A80:S80"/>
    <mergeCell ref="E4:E6"/>
    <mergeCell ref="A1:S1"/>
    <mergeCell ref="A213:S213"/>
    <mergeCell ref="A198:S198"/>
    <mergeCell ref="A182:S182"/>
    <mergeCell ref="A165:S165"/>
    <mergeCell ref="A148:S148"/>
    <mergeCell ref="A131:S131"/>
    <mergeCell ref="D4:D6"/>
    <mergeCell ref="S4:S6"/>
    <mergeCell ref="F4:F6"/>
    <mergeCell ref="A2:M2"/>
    <mergeCell ref="A97:M97"/>
    <mergeCell ref="A113:M113"/>
    <mergeCell ref="C44:M44"/>
    <mergeCell ref="A28:M28"/>
    <mergeCell ref="A7:S7"/>
    <mergeCell ref="A62:M62"/>
    <mergeCell ref="R4:R6"/>
    <mergeCell ref="A45:S45"/>
    <mergeCell ref="A29:S29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48.75390625" style="0" customWidth="1"/>
    <col min="3" max="3" width="13.50390625" style="0" customWidth="1"/>
    <col min="4" max="4" width="12.875" style="0" customWidth="1"/>
    <col min="6" max="6" width="13.625" style="0" customWidth="1"/>
    <col min="7" max="7" width="13.875" style="0" customWidth="1"/>
    <col min="9" max="9" width="13.375" style="0" customWidth="1"/>
    <col min="10" max="10" width="12.75390625" style="0" customWidth="1"/>
  </cols>
  <sheetData>
    <row r="1" spans="1:11" ht="25.5" customHeight="1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3.5">
      <c r="A3" s="116" t="s">
        <v>89</v>
      </c>
      <c r="B3" s="117" t="s">
        <v>90</v>
      </c>
      <c r="C3" s="118" t="s">
        <v>91</v>
      </c>
      <c r="D3" s="118"/>
      <c r="E3" s="118"/>
      <c r="F3" s="119" t="s">
        <v>92</v>
      </c>
      <c r="G3" s="119"/>
      <c r="H3" s="119"/>
      <c r="I3" s="120" t="s">
        <v>93</v>
      </c>
      <c r="J3" s="120"/>
      <c r="K3" s="121"/>
    </row>
    <row r="4" spans="1:11" ht="12.75">
      <c r="A4" s="122"/>
      <c r="B4" s="123"/>
      <c r="C4" s="124" t="s">
        <v>94</v>
      </c>
      <c r="D4" s="124" t="s">
        <v>95</v>
      </c>
      <c r="E4" s="124" t="s">
        <v>96</v>
      </c>
      <c r="F4" s="124" t="s">
        <v>94</v>
      </c>
      <c r="G4" s="125" t="s">
        <v>95</v>
      </c>
      <c r="H4" s="125" t="s">
        <v>96</v>
      </c>
      <c r="I4" s="126" t="s">
        <v>94</v>
      </c>
      <c r="J4" s="127" t="s">
        <v>97</v>
      </c>
      <c r="K4" s="128" t="s">
        <v>96</v>
      </c>
    </row>
    <row r="5" spans="1:11" ht="12.75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98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3.5">
      <c r="A9" s="135" t="s">
        <v>99</v>
      </c>
      <c r="B9" s="136" t="s">
        <v>100</v>
      </c>
      <c r="C9" s="137">
        <f>SUM(C10:C17)</f>
        <v>402234.8</v>
      </c>
      <c r="D9" s="137">
        <f>SUM(D10:D17)</f>
        <v>25035</v>
      </c>
      <c r="E9" s="137">
        <f>D9/C9*100</f>
        <v>6.223976642498362</v>
      </c>
      <c r="F9" s="137">
        <f>F10+F11+F12+F13+F14+F16+F17+F15</f>
        <v>192088.7</v>
      </c>
      <c r="G9" s="137">
        <f>SUM(G10:G17)</f>
        <v>21381.000000000004</v>
      </c>
      <c r="H9" s="138">
        <f>G9/F9*100</f>
        <v>11.130795304460909</v>
      </c>
      <c r="I9" s="137">
        <f>SUM(I10:I17)</f>
        <v>585573.9</v>
      </c>
      <c r="J9" s="137">
        <f>SUM(J10:J17)</f>
        <v>46416</v>
      </c>
      <c r="K9" s="139">
        <f>J9/I9*100</f>
        <v>7.926582793392943</v>
      </c>
    </row>
    <row r="10" spans="1:11" ht="13.5">
      <c r="A10" s="140" t="s">
        <v>101</v>
      </c>
      <c r="B10" s="141" t="s">
        <v>102</v>
      </c>
      <c r="C10" s="142">
        <v>4507.4</v>
      </c>
      <c r="D10" s="142">
        <v>413.2</v>
      </c>
      <c r="E10" s="142">
        <f>D10/C10*100</f>
        <v>9.167147357678484</v>
      </c>
      <c r="F10" s="143">
        <v>43033.1</v>
      </c>
      <c r="G10" s="143">
        <v>5876.6</v>
      </c>
      <c r="H10" s="143">
        <f>G10/F10*100</f>
        <v>13.655999683964207</v>
      </c>
      <c r="I10" s="144">
        <f>C10+F10</f>
        <v>47540.5</v>
      </c>
      <c r="J10" s="145">
        <f>D10+G10</f>
        <v>6289.8</v>
      </c>
      <c r="K10" s="146">
        <f aca="true" t="shared" si="0" ref="K10:K75">J10/I10*100</f>
        <v>13.230403550656808</v>
      </c>
    </row>
    <row r="11" spans="1:11" ht="27">
      <c r="A11" s="140" t="s">
        <v>103</v>
      </c>
      <c r="B11" s="141" t="s">
        <v>104</v>
      </c>
      <c r="C11" s="142">
        <v>7228.5</v>
      </c>
      <c r="D11" s="142">
        <v>600.8</v>
      </c>
      <c r="E11" s="142">
        <f aca="true" t="shared" si="1" ref="E11:E19">D11/C11*100</f>
        <v>8.311544580480042</v>
      </c>
      <c r="F11" s="143">
        <v>0</v>
      </c>
      <c r="G11" s="143"/>
      <c r="H11" s="143">
        <v>0</v>
      </c>
      <c r="I11" s="144">
        <f>C11+F11</f>
        <v>7228.5</v>
      </c>
      <c r="J11" s="145">
        <f>D11+G11</f>
        <v>600.8</v>
      </c>
      <c r="K11" s="146">
        <f t="shared" si="0"/>
        <v>8.311544580480042</v>
      </c>
    </row>
    <row r="12" spans="1:11" ht="27">
      <c r="A12" s="140" t="s">
        <v>105</v>
      </c>
      <c r="B12" s="141" t="s">
        <v>106</v>
      </c>
      <c r="C12" s="142">
        <v>160413.2</v>
      </c>
      <c r="D12" s="142">
        <v>15334.2</v>
      </c>
      <c r="E12" s="142">
        <f t="shared" si="1"/>
        <v>9.559188395967414</v>
      </c>
      <c r="F12" s="143">
        <v>115119.6</v>
      </c>
      <c r="G12" s="143">
        <v>14659.2</v>
      </c>
      <c r="H12" s="143">
        <f>G12/F12*100</f>
        <v>12.733887192102822</v>
      </c>
      <c r="I12" s="144">
        <f>C12+F12</f>
        <v>275532.80000000005</v>
      </c>
      <c r="J12" s="145">
        <f>D12+G12</f>
        <v>29993.4</v>
      </c>
      <c r="K12" s="146">
        <f t="shared" si="0"/>
        <v>10.885600552819845</v>
      </c>
    </row>
    <row r="13" spans="1:11" ht="13.5">
      <c r="A13" s="140" t="s">
        <v>107</v>
      </c>
      <c r="B13" s="141" t="s">
        <v>108</v>
      </c>
      <c r="C13" s="142">
        <v>11.3</v>
      </c>
      <c r="D13" s="142"/>
      <c r="E13" s="142">
        <f t="shared" si="1"/>
        <v>0</v>
      </c>
      <c r="F13" s="143">
        <v>0</v>
      </c>
      <c r="G13" s="143"/>
      <c r="H13" s="143">
        <v>0</v>
      </c>
      <c r="I13" s="144">
        <f>C13+F13</f>
        <v>11.3</v>
      </c>
      <c r="J13" s="145">
        <f>D13+G13</f>
        <v>0</v>
      </c>
      <c r="K13" s="146">
        <f t="shared" si="0"/>
        <v>0</v>
      </c>
    </row>
    <row r="14" spans="1:11" ht="13.5">
      <c r="A14" s="140" t="s">
        <v>109</v>
      </c>
      <c r="B14" s="141" t="s">
        <v>110</v>
      </c>
      <c r="C14" s="142">
        <v>29472</v>
      </c>
      <c r="D14" s="142">
        <v>3867.5</v>
      </c>
      <c r="E14" s="142">
        <f t="shared" si="1"/>
        <v>13.12262486427796</v>
      </c>
      <c r="F14" s="143">
        <v>0</v>
      </c>
      <c r="G14" s="143"/>
      <c r="H14" s="143">
        <v>0</v>
      </c>
      <c r="I14" s="144">
        <f>C14+F14</f>
        <v>29472</v>
      </c>
      <c r="J14" s="145">
        <f>D14+G14</f>
        <v>3867.5</v>
      </c>
      <c r="K14" s="146">
        <f t="shared" si="0"/>
        <v>13.12262486427796</v>
      </c>
    </row>
    <row r="15" spans="1:11" ht="13.5">
      <c r="A15" s="140" t="s">
        <v>111</v>
      </c>
      <c r="B15" s="141" t="s">
        <v>112</v>
      </c>
      <c r="C15" s="142"/>
      <c r="D15" s="142"/>
      <c r="E15" s="142"/>
      <c r="F15" s="143">
        <v>232</v>
      </c>
      <c r="G15" s="143"/>
      <c r="H15" s="143">
        <f>G15/F15*100</f>
        <v>0</v>
      </c>
      <c r="I15" s="144">
        <f>C15+F15</f>
        <v>232</v>
      </c>
      <c r="J15" s="145">
        <f>D15+G15</f>
        <v>0</v>
      </c>
      <c r="K15" s="146">
        <f t="shared" si="0"/>
        <v>0</v>
      </c>
    </row>
    <row r="16" spans="1:11" ht="13.5">
      <c r="A16" s="147" t="s">
        <v>113</v>
      </c>
      <c r="B16" s="141" t="s">
        <v>114</v>
      </c>
      <c r="C16" s="142">
        <v>15000</v>
      </c>
      <c r="D16" s="142"/>
      <c r="E16" s="142">
        <f t="shared" si="1"/>
        <v>0</v>
      </c>
      <c r="F16" s="143">
        <v>950</v>
      </c>
      <c r="G16" s="143"/>
      <c r="H16" s="143">
        <f>G16/F16*100</f>
        <v>0</v>
      </c>
      <c r="I16" s="144">
        <f>C16+F16</f>
        <v>15950</v>
      </c>
      <c r="J16" s="145">
        <f>D16+G16</f>
        <v>0</v>
      </c>
      <c r="K16" s="146">
        <f t="shared" si="0"/>
        <v>0</v>
      </c>
    </row>
    <row r="17" spans="1:11" ht="13.5">
      <c r="A17" s="140" t="s">
        <v>115</v>
      </c>
      <c r="B17" s="141" t="s">
        <v>116</v>
      </c>
      <c r="C17" s="142">
        <v>185602.4</v>
      </c>
      <c r="D17" s="142">
        <v>4819.3</v>
      </c>
      <c r="E17" s="142">
        <f t="shared" si="1"/>
        <v>2.5965720270858568</v>
      </c>
      <c r="F17" s="143">
        <v>32754</v>
      </c>
      <c r="G17" s="143">
        <v>845.2</v>
      </c>
      <c r="H17" s="143">
        <f>G17/F17*100</f>
        <v>2.5804481895341027</v>
      </c>
      <c r="I17" s="144">
        <f>C17+F17-8749.6</f>
        <v>209606.8</v>
      </c>
      <c r="J17" s="145">
        <f>D17+G17</f>
        <v>5664.5</v>
      </c>
      <c r="K17" s="146">
        <f t="shared" si="0"/>
        <v>2.7024409513431817</v>
      </c>
    </row>
    <row r="18" spans="1:11" ht="13.5">
      <c r="A18" s="135" t="s">
        <v>117</v>
      </c>
      <c r="B18" s="136" t="s">
        <v>118</v>
      </c>
      <c r="C18" s="137">
        <f aca="true" t="shared" si="2" ref="C18:J18">C19</f>
        <v>3702</v>
      </c>
      <c r="D18" s="137">
        <f t="shared" si="2"/>
        <v>0</v>
      </c>
      <c r="E18" s="137">
        <f t="shared" si="2"/>
        <v>0</v>
      </c>
      <c r="F18" s="137">
        <f t="shared" si="2"/>
        <v>3702</v>
      </c>
      <c r="G18" s="137">
        <f t="shared" si="2"/>
        <v>0</v>
      </c>
      <c r="H18" s="148">
        <f t="shared" si="2"/>
        <v>0</v>
      </c>
      <c r="I18" s="137">
        <f t="shared" si="2"/>
        <v>3702</v>
      </c>
      <c r="J18" s="137">
        <f t="shared" si="2"/>
        <v>0</v>
      </c>
      <c r="K18" s="149">
        <f t="shared" si="0"/>
        <v>0</v>
      </c>
    </row>
    <row r="19" spans="1:11" ht="13.5">
      <c r="A19" s="140" t="s">
        <v>119</v>
      </c>
      <c r="B19" s="141" t="s">
        <v>120</v>
      </c>
      <c r="C19" s="142">
        <v>3702</v>
      </c>
      <c r="D19" s="150"/>
      <c r="E19" s="142">
        <f t="shared" si="1"/>
        <v>0</v>
      </c>
      <c r="F19" s="143">
        <v>3702</v>
      </c>
      <c r="G19" s="143"/>
      <c r="H19" s="143">
        <f>G19/F19*100</f>
        <v>0</v>
      </c>
      <c r="I19" s="144">
        <f>C19+F19-3702</f>
        <v>3702</v>
      </c>
      <c r="J19" s="145">
        <f>D19+G19</f>
        <v>0</v>
      </c>
      <c r="K19" s="146">
        <f t="shared" si="0"/>
        <v>0</v>
      </c>
    </row>
    <row r="20" spans="1:11" ht="12.75">
      <c r="A20" s="151" t="s">
        <v>121</v>
      </c>
      <c r="B20" s="152" t="s">
        <v>122</v>
      </c>
      <c r="C20" s="153">
        <f>C23+C24+C22</f>
        <v>13691.400000000001</v>
      </c>
      <c r="D20" s="153">
        <f>D23+D24+D22</f>
        <v>159.5</v>
      </c>
      <c r="E20" s="153">
        <f>D20/C20*100</f>
        <v>1.1649648684575717</v>
      </c>
      <c r="F20" s="153">
        <f>F23+F24+F22</f>
        <v>4524.299999999999</v>
      </c>
      <c r="G20" s="153">
        <f>G23+G24+G22</f>
        <v>19.7</v>
      </c>
      <c r="H20" s="153">
        <f>G20/F20*100</f>
        <v>0.4354264748137834</v>
      </c>
      <c r="I20" s="153">
        <f>I23+I24+I22</f>
        <v>16547.1</v>
      </c>
      <c r="J20" s="153">
        <f>SUM(J22:J24)</f>
        <v>179.2</v>
      </c>
      <c r="K20" s="153">
        <f>J20/I20*100</f>
        <v>1.0829692211928375</v>
      </c>
    </row>
    <row r="21" spans="1:11" ht="12.75">
      <c r="A21" s="151"/>
      <c r="B21" s="15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3.5">
      <c r="A22" s="147" t="s">
        <v>123</v>
      </c>
      <c r="B22" s="141" t="s">
        <v>124</v>
      </c>
      <c r="C22" s="142">
        <v>6524.6</v>
      </c>
      <c r="D22" s="142"/>
      <c r="E22" s="142">
        <f aca="true" t="shared" si="3" ref="E22:E85">D22/C22*100</f>
        <v>0</v>
      </c>
      <c r="F22" s="143">
        <v>874</v>
      </c>
      <c r="G22" s="143"/>
      <c r="H22" s="143">
        <f>G22/F22*100</f>
        <v>0</v>
      </c>
      <c r="I22" s="144">
        <f>C22+F22-874</f>
        <v>6524.6</v>
      </c>
      <c r="J22" s="145">
        <f>D22+G22</f>
        <v>0</v>
      </c>
      <c r="K22" s="146">
        <f>J22/I22*100</f>
        <v>0</v>
      </c>
    </row>
    <row r="23" spans="1:11" ht="13.5">
      <c r="A23" s="140" t="s">
        <v>125</v>
      </c>
      <c r="B23" s="141" t="s">
        <v>126</v>
      </c>
      <c r="C23" s="142">
        <v>6545.7</v>
      </c>
      <c r="D23" s="142">
        <v>159.5</v>
      </c>
      <c r="E23" s="142">
        <f t="shared" si="3"/>
        <v>2.4367141787738515</v>
      </c>
      <c r="F23" s="143">
        <v>3288.2</v>
      </c>
      <c r="G23" s="143">
        <v>19.7</v>
      </c>
      <c r="H23" s="143">
        <f>G23/F23*100</f>
        <v>0.599111976157168</v>
      </c>
      <c r="I23" s="144">
        <f>C23+F23-545.7</f>
        <v>9288.199999999999</v>
      </c>
      <c r="J23" s="145">
        <f>D23+G23</f>
        <v>179.2</v>
      </c>
      <c r="K23" s="146">
        <f>J23/I23*100</f>
        <v>1.9293296871299068</v>
      </c>
    </row>
    <row r="24" spans="1:11" ht="27">
      <c r="A24" s="147" t="s">
        <v>127</v>
      </c>
      <c r="B24" s="141" t="s">
        <v>128</v>
      </c>
      <c r="C24" s="142">
        <v>621.1</v>
      </c>
      <c r="D24" s="142"/>
      <c r="E24" s="142">
        <f t="shared" si="3"/>
        <v>0</v>
      </c>
      <c r="F24" s="143">
        <v>362.1</v>
      </c>
      <c r="G24" s="143"/>
      <c r="H24" s="143">
        <f>G24/F24*100</f>
        <v>0</v>
      </c>
      <c r="I24" s="144">
        <f>C24+F24-248.9</f>
        <v>734.3000000000001</v>
      </c>
      <c r="J24" s="144">
        <f>D24+G24</f>
        <v>0</v>
      </c>
      <c r="K24" s="146">
        <f>J24/I24*100</f>
        <v>0</v>
      </c>
    </row>
    <row r="25" spans="1:11" ht="13.5">
      <c r="A25" s="135" t="s">
        <v>129</v>
      </c>
      <c r="B25" s="136" t="s">
        <v>130</v>
      </c>
      <c r="C25" s="137">
        <f>SUM(C26:C43)</f>
        <v>148916.40000000002</v>
      </c>
      <c r="D25" s="137">
        <f>SUM(D26:D42)</f>
        <v>7427.900000000001</v>
      </c>
      <c r="E25" s="137">
        <f>D25/C25*100</f>
        <v>4.9879664026259025</v>
      </c>
      <c r="F25" s="137">
        <f>SUM(F26:F43)</f>
        <v>76368</v>
      </c>
      <c r="G25" s="137">
        <f>SUM(G26:G43)</f>
        <v>1122.3000000000002</v>
      </c>
      <c r="H25" s="138">
        <f>G25/F25*100</f>
        <v>1.4695945945945947</v>
      </c>
      <c r="I25" s="137">
        <f>SUM(I26:I43)</f>
        <v>206808.00000000003</v>
      </c>
      <c r="J25" s="137">
        <f>SUM(J26:J43)</f>
        <v>8550.2</v>
      </c>
      <c r="K25" s="139">
        <f t="shared" si="0"/>
        <v>4.134366175389733</v>
      </c>
    </row>
    <row r="26" spans="1:11" ht="41.25">
      <c r="A26" s="147" t="s">
        <v>131</v>
      </c>
      <c r="B26" s="154" t="s">
        <v>132</v>
      </c>
      <c r="C26" s="142">
        <v>17588.5</v>
      </c>
      <c r="D26" s="142"/>
      <c r="E26" s="142">
        <f t="shared" si="3"/>
        <v>0</v>
      </c>
      <c r="F26" s="142">
        <v>50</v>
      </c>
      <c r="G26" s="143"/>
      <c r="H26" s="143">
        <f>G26/F26*100</f>
        <v>0</v>
      </c>
      <c r="I26" s="144">
        <f>C26+F26</f>
        <v>17638.5</v>
      </c>
      <c r="J26" s="144">
        <f>D26+G26</f>
        <v>0</v>
      </c>
      <c r="K26" s="146">
        <f t="shared" si="0"/>
        <v>0</v>
      </c>
    </row>
    <row r="27" spans="1:11" ht="13.5">
      <c r="A27" s="140" t="s">
        <v>133</v>
      </c>
      <c r="B27" s="141" t="s">
        <v>134</v>
      </c>
      <c r="C27" s="142">
        <v>39735.6</v>
      </c>
      <c r="D27" s="142">
        <v>5043.8</v>
      </c>
      <c r="E27" s="142">
        <f t="shared" si="3"/>
        <v>12.69340339645054</v>
      </c>
      <c r="F27" s="143">
        <v>0</v>
      </c>
      <c r="G27" s="143"/>
      <c r="H27" s="143">
        <v>0</v>
      </c>
      <c r="I27" s="155">
        <f>C27+F27</f>
        <v>39735.6</v>
      </c>
      <c r="J27" s="145">
        <f>D27+G27</f>
        <v>5043.8</v>
      </c>
      <c r="K27" s="146">
        <f t="shared" si="0"/>
        <v>12.69340339645054</v>
      </c>
    </row>
    <row r="28" spans="1:11" ht="13.5">
      <c r="A28" s="140" t="s">
        <v>135</v>
      </c>
      <c r="B28" s="141" t="s">
        <v>136</v>
      </c>
      <c r="C28" s="142">
        <v>7000</v>
      </c>
      <c r="D28" s="142"/>
      <c r="E28" s="142">
        <f t="shared" si="3"/>
        <v>0</v>
      </c>
      <c r="F28" s="143">
        <v>0</v>
      </c>
      <c r="G28" s="143"/>
      <c r="H28" s="143">
        <v>0</v>
      </c>
      <c r="I28" s="144">
        <f>C28+F28</f>
        <v>7000</v>
      </c>
      <c r="J28" s="145">
        <f>D28+G28</f>
        <v>0</v>
      </c>
      <c r="K28" s="146">
        <f t="shared" si="0"/>
        <v>0</v>
      </c>
    </row>
    <row r="29" spans="1:11" ht="27">
      <c r="A29" s="140" t="s">
        <v>135</v>
      </c>
      <c r="B29" s="141" t="s">
        <v>137</v>
      </c>
      <c r="C29" s="142">
        <v>18607</v>
      </c>
      <c r="D29" s="142"/>
      <c r="E29" s="142">
        <f t="shared" si="3"/>
        <v>0</v>
      </c>
      <c r="F29" s="143">
        <v>12993</v>
      </c>
      <c r="G29" s="143"/>
      <c r="H29" s="143">
        <f>G29/F29*100</f>
        <v>0</v>
      </c>
      <c r="I29" s="144">
        <f>C29+F29-2107</f>
        <v>29493</v>
      </c>
      <c r="J29" s="145">
        <f>D29+G29</f>
        <v>0</v>
      </c>
      <c r="K29" s="146">
        <f t="shared" si="0"/>
        <v>0</v>
      </c>
    </row>
    <row r="30" spans="1:11" ht="13.5">
      <c r="A30" s="140" t="s">
        <v>135</v>
      </c>
      <c r="B30" s="141" t="s">
        <v>138</v>
      </c>
      <c r="C30" s="142">
        <v>16500</v>
      </c>
      <c r="D30" s="142"/>
      <c r="E30" s="142">
        <f t="shared" si="3"/>
        <v>0</v>
      </c>
      <c r="F30" s="143">
        <v>0</v>
      </c>
      <c r="G30" s="143"/>
      <c r="H30" s="143">
        <v>0</v>
      </c>
      <c r="I30" s="144">
        <f>C30+F30</f>
        <v>16500</v>
      </c>
      <c r="J30" s="145">
        <f>D30+G30</f>
        <v>0</v>
      </c>
      <c r="K30" s="146">
        <f t="shared" si="0"/>
        <v>0</v>
      </c>
    </row>
    <row r="31" spans="1:11" ht="41.25">
      <c r="A31" s="140" t="s">
        <v>139</v>
      </c>
      <c r="B31" s="156" t="s">
        <v>140</v>
      </c>
      <c r="C31" s="150">
        <v>2064.2</v>
      </c>
      <c r="D31" s="150">
        <v>2000</v>
      </c>
      <c r="E31" s="142">
        <f t="shared" si="3"/>
        <v>96.88983625617674</v>
      </c>
      <c r="F31" s="143">
        <v>478.5</v>
      </c>
      <c r="G31" s="143"/>
      <c r="H31" s="143">
        <f aca="true" t="shared" si="4" ref="H31:H37">G31/F31*100</f>
        <v>0</v>
      </c>
      <c r="I31" s="144">
        <f>C31+F31</f>
        <v>2542.7</v>
      </c>
      <c r="J31" s="145">
        <f>D31+G31</f>
        <v>2000</v>
      </c>
      <c r="K31" s="146">
        <f t="shared" si="0"/>
        <v>78.65654619105675</v>
      </c>
    </row>
    <row r="32" spans="1:11" ht="41.25">
      <c r="A32" s="147" t="s">
        <v>139</v>
      </c>
      <c r="B32" s="156" t="s">
        <v>141</v>
      </c>
      <c r="C32" s="142">
        <v>10608.3</v>
      </c>
      <c r="D32" s="142"/>
      <c r="E32" s="142">
        <f t="shared" si="3"/>
        <v>0</v>
      </c>
      <c r="F32" s="143">
        <v>9388.4</v>
      </c>
      <c r="G32" s="143"/>
      <c r="H32" s="143">
        <f t="shared" si="4"/>
        <v>0</v>
      </c>
      <c r="I32" s="144">
        <f>C32+F32-9388.4</f>
        <v>10608.299999999997</v>
      </c>
      <c r="J32" s="145">
        <f>D32+G32</f>
        <v>0</v>
      </c>
      <c r="K32" s="146">
        <f>J32/I32*100</f>
        <v>0</v>
      </c>
    </row>
    <row r="33" spans="1:11" ht="27">
      <c r="A33" s="147" t="s">
        <v>139</v>
      </c>
      <c r="B33" s="141" t="s">
        <v>142</v>
      </c>
      <c r="C33" s="142">
        <v>3380.3</v>
      </c>
      <c r="D33" s="142"/>
      <c r="E33" s="142">
        <f t="shared" si="3"/>
        <v>0</v>
      </c>
      <c r="F33" s="143">
        <v>2300</v>
      </c>
      <c r="G33" s="143"/>
      <c r="H33" s="143">
        <f t="shared" si="4"/>
        <v>0</v>
      </c>
      <c r="I33" s="144">
        <f>C33+F33-2300</f>
        <v>3380.3</v>
      </c>
      <c r="J33" s="145">
        <f>D33+G33</f>
        <v>0</v>
      </c>
      <c r="K33" s="146">
        <f>J33/I33*100</f>
        <v>0</v>
      </c>
    </row>
    <row r="34" spans="1:11" ht="69">
      <c r="A34" s="147" t="s">
        <v>139</v>
      </c>
      <c r="B34" s="141" t="s">
        <v>143</v>
      </c>
      <c r="C34" s="142">
        <v>3500</v>
      </c>
      <c r="D34" s="142"/>
      <c r="E34" s="142">
        <f t="shared" si="3"/>
        <v>0</v>
      </c>
      <c r="F34" s="143">
        <v>3500</v>
      </c>
      <c r="G34" s="143"/>
      <c r="H34" s="143">
        <f t="shared" si="4"/>
        <v>0</v>
      </c>
      <c r="I34" s="144">
        <f>C34+F34-3500</f>
        <v>3500</v>
      </c>
      <c r="J34" s="144">
        <f>D34+G34</f>
        <v>0</v>
      </c>
      <c r="K34" s="146">
        <f>J34/I34*100</f>
        <v>0</v>
      </c>
    </row>
    <row r="35" spans="1:11" ht="41.25">
      <c r="A35" s="147" t="s">
        <v>139</v>
      </c>
      <c r="B35" s="141" t="s">
        <v>144</v>
      </c>
      <c r="C35" s="142"/>
      <c r="D35" s="142"/>
      <c r="E35" s="142"/>
      <c r="F35" s="143">
        <v>43315.9</v>
      </c>
      <c r="G35" s="143">
        <v>673.7</v>
      </c>
      <c r="H35" s="143">
        <f t="shared" si="4"/>
        <v>1.555318024097387</v>
      </c>
      <c r="I35" s="144">
        <f>C35+F35</f>
        <v>43315.9</v>
      </c>
      <c r="J35" s="145">
        <f>D35+G35</f>
        <v>673.7</v>
      </c>
      <c r="K35" s="146">
        <f t="shared" si="0"/>
        <v>1.555318024097387</v>
      </c>
    </row>
    <row r="36" spans="1:11" ht="13.5">
      <c r="A36" s="140" t="s">
        <v>145</v>
      </c>
      <c r="B36" s="141" t="s">
        <v>146</v>
      </c>
      <c r="C36" s="142">
        <v>4355.8</v>
      </c>
      <c r="D36" s="142">
        <v>280.1</v>
      </c>
      <c r="E36" s="142">
        <f t="shared" si="3"/>
        <v>6.430506451168558</v>
      </c>
      <c r="F36" s="143">
        <v>3161.2</v>
      </c>
      <c r="G36" s="143">
        <v>448.6</v>
      </c>
      <c r="H36" s="157">
        <f t="shared" si="4"/>
        <v>14.190813615082881</v>
      </c>
      <c r="I36" s="144">
        <f>C36+F36</f>
        <v>7517</v>
      </c>
      <c r="J36" s="145">
        <f>D36+G36</f>
        <v>728.7</v>
      </c>
      <c r="K36" s="146">
        <f t="shared" si="0"/>
        <v>9.694026872422508</v>
      </c>
    </row>
    <row r="37" spans="1:11" ht="41.25">
      <c r="A37" s="140" t="s">
        <v>147</v>
      </c>
      <c r="B37" s="156" t="s">
        <v>148</v>
      </c>
      <c r="C37" s="142">
        <v>3500</v>
      </c>
      <c r="D37" s="142">
        <v>66.5</v>
      </c>
      <c r="E37" s="150">
        <f t="shared" si="3"/>
        <v>1.9</v>
      </c>
      <c r="F37" s="143">
        <v>1181</v>
      </c>
      <c r="G37" s="143"/>
      <c r="H37" s="157">
        <f t="shared" si="4"/>
        <v>0</v>
      </c>
      <c r="I37" s="144">
        <f>C37+F37-1181</f>
        <v>3500</v>
      </c>
      <c r="J37" s="145">
        <f>D37+G37</f>
        <v>66.5</v>
      </c>
      <c r="K37" s="146">
        <f t="shared" si="0"/>
        <v>1.9</v>
      </c>
    </row>
    <row r="38" spans="1:11" ht="27">
      <c r="A38" s="140" t="s">
        <v>147</v>
      </c>
      <c r="B38" s="156" t="s">
        <v>149</v>
      </c>
      <c r="C38" s="142">
        <f>10687.6+562.5</f>
        <v>11250.1</v>
      </c>
      <c r="D38" s="142"/>
      <c r="E38" s="150">
        <f t="shared" si="3"/>
        <v>0</v>
      </c>
      <c r="F38" s="143"/>
      <c r="G38" s="143"/>
      <c r="H38" s="157"/>
      <c r="I38" s="144">
        <f>C38+F38</f>
        <v>11250.1</v>
      </c>
      <c r="J38" s="145">
        <f>D38+G38</f>
        <v>0</v>
      </c>
      <c r="K38" s="146">
        <f t="shared" si="0"/>
        <v>0</v>
      </c>
    </row>
    <row r="39" spans="1:11" ht="54.75">
      <c r="A39" s="140" t="s">
        <v>147</v>
      </c>
      <c r="B39" s="156" t="s">
        <v>150</v>
      </c>
      <c r="C39" s="142">
        <v>4000</v>
      </c>
      <c r="D39" s="143"/>
      <c r="E39" s="142">
        <f t="shared" si="3"/>
        <v>0</v>
      </c>
      <c r="F39" s="143">
        <v>0</v>
      </c>
      <c r="G39" s="143"/>
      <c r="H39" s="157">
        <v>0</v>
      </c>
      <c r="I39" s="144">
        <f>C39+F39</f>
        <v>4000</v>
      </c>
      <c r="J39" s="145">
        <f>D39+G39</f>
        <v>0</v>
      </c>
      <c r="K39" s="146">
        <f t="shared" si="0"/>
        <v>0</v>
      </c>
    </row>
    <row r="40" spans="1:11" ht="69">
      <c r="A40" s="147" t="s">
        <v>147</v>
      </c>
      <c r="B40" s="156" t="s">
        <v>151</v>
      </c>
      <c r="C40" s="142">
        <v>4956.9</v>
      </c>
      <c r="D40" s="143"/>
      <c r="E40" s="150">
        <f t="shared" si="3"/>
        <v>0</v>
      </c>
      <c r="F40" s="143"/>
      <c r="G40" s="143"/>
      <c r="H40" s="157"/>
      <c r="I40" s="144">
        <f>C40+F40</f>
        <v>4956.9</v>
      </c>
      <c r="J40" s="145">
        <f>D40+G40</f>
        <v>0</v>
      </c>
      <c r="K40" s="146">
        <f t="shared" si="0"/>
        <v>0</v>
      </c>
    </row>
    <row r="41" spans="1:11" ht="27">
      <c r="A41" s="147" t="s">
        <v>147</v>
      </c>
      <c r="B41" s="156" t="s">
        <v>152</v>
      </c>
      <c r="C41" s="142">
        <v>1651.2</v>
      </c>
      <c r="D41" s="143">
        <v>37.5</v>
      </c>
      <c r="E41" s="150">
        <f t="shared" si="3"/>
        <v>2.2710755813953485</v>
      </c>
      <c r="F41" s="143">
        <v>0</v>
      </c>
      <c r="G41" s="143"/>
      <c r="H41" s="157">
        <v>0</v>
      </c>
      <c r="I41" s="144">
        <f>C41+F41</f>
        <v>1651.2</v>
      </c>
      <c r="J41" s="145">
        <f>D41+G41</f>
        <v>37.5</v>
      </c>
      <c r="K41" s="146">
        <f t="shared" si="0"/>
        <v>2.2710755813953485</v>
      </c>
    </row>
    <row r="42" spans="1:11" ht="41.25">
      <c r="A42" s="147" t="s">
        <v>147</v>
      </c>
      <c r="B42" s="156" t="s">
        <v>153</v>
      </c>
      <c r="C42" s="142">
        <v>218.5</v>
      </c>
      <c r="D42" s="143"/>
      <c r="E42" s="150">
        <f t="shared" si="3"/>
        <v>0</v>
      </c>
      <c r="F42" s="143"/>
      <c r="G42" s="143"/>
      <c r="H42" s="157">
        <v>0</v>
      </c>
      <c r="I42" s="144">
        <f>C42+F42</f>
        <v>218.5</v>
      </c>
      <c r="J42" s="145">
        <f>D42+G42</f>
        <v>0</v>
      </c>
      <c r="K42" s="146">
        <f t="shared" si="0"/>
        <v>0</v>
      </c>
    </row>
    <row r="43" spans="1:11" ht="13.5">
      <c r="A43" s="147" t="s">
        <v>147</v>
      </c>
      <c r="B43" s="156" t="s">
        <v>154</v>
      </c>
      <c r="C43" s="142"/>
      <c r="D43" s="143"/>
      <c r="E43" s="150"/>
      <c r="F43" s="143"/>
      <c r="G43" s="143"/>
      <c r="H43" s="157"/>
      <c r="I43" s="144">
        <f>C43+F43</f>
        <v>0</v>
      </c>
      <c r="J43" s="145">
        <f>D43+G43</f>
        <v>0</v>
      </c>
      <c r="K43" s="146"/>
    </row>
    <row r="44" spans="1:11" ht="13.5">
      <c r="A44" s="135" t="s">
        <v>155</v>
      </c>
      <c r="B44" s="136" t="s">
        <v>156</v>
      </c>
      <c r="C44" s="158">
        <f>SUM(C45:C62)</f>
        <v>226903.30000000002</v>
      </c>
      <c r="D44" s="158">
        <f>SUM(D45:D62)</f>
        <v>147.7</v>
      </c>
      <c r="E44" s="137">
        <f t="shared" si="3"/>
        <v>0.06509380868413989</v>
      </c>
      <c r="F44" s="159">
        <f>SUM(F45:F62)</f>
        <v>76556.3</v>
      </c>
      <c r="G44" s="159">
        <f>SUM(G45:G62)</f>
        <v>1214.1000000000001</v>
      </c>
      <c r="H44" s="159">
        <f>G44/F44*100</f>
        <v>1.5858916901678894</v>
      </c>
      <c r="I44" s="158">
        <f>SUM(I45:I62)</f>
        <v>281729.6</v>
      </c>
      <c r="J44" s="158">
        <f>SUM(J45:J62)</f>
        <v>1361.8</v>
      </c>
      <c r="K44" s="139">
        <f t="shared" si="0"/>
        <v>0.48337128934978796</v>
      </c>
    </row>
    <row r="45" spans="1:11" ht="82.5">
      <c r="A45" s="140" t="s">
        <v>157</v>
      </c>
      <c r="B45" s="141" t="s">
        <v>158</v>
      </c>
      <c r="C45" s="142">
        <f>43547+2291.9</f>
        <v>45838.9</v>
      </c>
      <c r="D45" s="142"/>
      <c r="E45" s="142">
        <f t="shared" si="3"/>
        <v>0</v>
      </c>
      <c r="F45" s="143">
        <v>0</v>
      </c>
      <c r="G45" s="143">
        <v>0</v>
      </c>
      <c r="H45" s="143">
        <v>0</v>
      </c>
      <c r="I45" s="144">
        <f>C45+F45</f>
        <v>45838.9</v>
      </c>
      <c r="J45" s="145">
        <f>D45+G45</f>
        <v>0</v>
      </c>
      <c r="K45" s="146">
        <f t="shared" si="0"/>
        <v>0</v>
      </c>
    </row>
    <row r="46" spans="1:11" ht="41.25">
      <c r="A46" s="140" t="s">
        <v>157</v>
      </c>
      <c r="B46" s="141" t="s">
        <v>159</v>
      </c>
      <c r="C46" s="142">
        <v>147.7</v>
      </c>
      <c r="D46" s="150">
        <v>147.7</v>
      </c>
      <c r="E46" s="142">
        <f t="shared" si="3"/>
        <v>100</v>
      </c>
      <c r="F46" s="143"/>
      <c r="G46" s="143"/>
      <c r="H46" s="143"/>
      <c r="I46" s="144">
        <f>C46+F46</f>
        <v>147.7</v>
      </c>
      <c r="J46" s="145">
        <f>D46+G46</f>
        <v>147.7</v>
      </c>
      <c r="K46" s="146">
        <f t="shared" si="0"/>
        <v>100</v>
      </c>
    </row>
    <row r="47" spans="1:11" ht="41.25">
      <c r="A47" s="147" t="s">
        <v>157</v>
      </c>
      <c r="B47" s="141" t="s">
        <v>160</v>
      </c>
      <c r="C47" s="142"/>
      <c r="D47" s="142"/>
      <c r="E47" s="142"/>
      <c r="F47" s="143">
        <v>20605</v>
      </c>
      <c r="G47" s="143">
        <v>-140.6</v>
      </c>
      <c r="H47" s="143">
        <f>G47/F47*100</f>
        <v>-0.6823586508129095</v>
      </c>
      <c r="I47" s="144">
        <f>C47+F47-480</f>
        <v>20125</v>
      </c>
      <c r="J47" s="145">
        <f>D47+G47</f>
        <v>-140.6</v>
      </c>
      <c r="K47" s="146">
        <f t="shared" si="0"/>
        <v>-0.6986335403726708</v>
      </c>
    </row>
    <row r="48" spans="1:11" ht="123.75">
      <c r="A48" s="140" t="s">
        <v>161</v>
      </c>
      <c r="B48" s="141" t="s">
        <v>162</v>
      </c>
      <c r="C48" s="142">
        <v>29181</v>
      </c>
      <c r="D48" s="142"/>
      <c r="E48" s="142">
        <f t="shared" si="3"/>
        <v>0</v>
      </c>
      <c r="F48" s="143"/>
      <c r="G48" s="143"/>
      <c r="H48" s="143"/>
      <c r="I48" s="144">
        <f>C48+F48</f>
        <v>29181</v>
      </c>
      <c r="J48" s="145">
        <f>D48+G48</f>
        <v>0</v>
      </c>
      <c r="K48" s="146">
        <f t="shared" si="0"/>
        <v>0</v>
      </c>
    </row>
    <row r="49" spans="1:11" ht="123.75">
      <c r="A49" s="140" t="s">
        <v>161</v>
      </c>
      <c r="B49" s="141" t="s">
        <v>163</v>
      </c>
      <c r="C49" s="142">
        <v>12217</v>
      </c>
      <c r="D49" s="142"/>
      <c r="E49" s="142">
        <f t="shared" si="3"/>
        <v>0</v>
      </c>
      <c r="F49" s="143"/>
      <c r="G49" s="143"/>
      <c r="H49" s="143"/>
      <c r="I49" s="144">
        <f>C49+F49</f>
        <v>12217</v>
      </c>
      <c r="J49" s="145">
        <f>D49+G49</f>
        <v>0</v>
      </c>
      <c r="K49" s="146">
        <f t="shared" si="0"/>
        <v>0</v>
      </c>
    </row>
    <row r="50" spans="1:11" ht="96">
      <c r="A50" s="147" t="s">
        <v>161</v>
      </c>
      <c r="B50" s="141" t="s">
        <v>164</v>
      </c>
      <c r="C50" s="142">
        <v>5190.3</v>
      </c>
      <c r="D50" s="142"/>
      <c r="E50" s="142">
        <f t="shared" si="3"/>
        <v>0</v>
      </c>
      <c r="F50" s="143"/>
      <c r="G50" s="143"/>
      <c r="H50" s="143"/>
      <c r="I50" s="144">
        <f>C50+F50</f>
        <v>5190.3</v>
      </c>
      <c r="J50" s="145">
        <f>D50+G50</f>
        <v>0</v>
      </c>
      <c r="K50" s="146">
        <f t="shared" si="0"/>
        <v>0</v>
      </c>
    </row>
    <row r="51" spans="1:11" ht="96">
      <c r="A51" s="147" t="s">
        <v>161</v>
      </c>
      <c r="B51" s="141" t="s">
        <v>165</v>
      </c>
      <c r="C51" s="142">
        <v>7785.4</v>
      </c>
      <c r="D51" s="142"/>
      <c r="E51" s="142">
        <f t="shared" si="3"/>
        <v>0</v>
      </c>
      <c r="F51" s="143"/>
      <c r="G51" s="143"/>
      <c r="H51" s="143"/>
      <c r="I51" s="144">
        <f>C51+F51</f>
        <v>7785.4</v>
      </c>
      <c r="J51" s="145">
        <f>D51+G51</f>
        <v>0</v>
      </c>
      <c r="K51" s="146">
        <f t="shared" si="0"/>
        <v>0</v>
      </c>
    </row>
    <row r="52" spans="1:11" ht="158.25">
      <c r="A52" s="140" t="s">
        <v>161</v>
      </c>
      <c r="B52" s="160" t="s">
        <v>166</v>
      </c>
      <c r="C52" s="142">
        <v>39708.3</v>
      </c>
      <c r="D52" s="142"/>
      <c r="E52" s="142">
        <f>D52/C52*100</f>
        <v>0</v>
      </c>
      <c r="F52" s="143"/>
      <c r="G52" s="143"/>
      <c r="H52" s="143"/>
      <c r="I52" s="144">
        <f>C52+F52</f>
        <v>39708.3</v>
      </c>
      <c r="J52" s="145">
        <f>D52+G52</f>
        <v>0</v>
      </c>
      <c r="K52" s="146">
        <f>J52/I52*100</f>
        <v>0</v>
      </c>
    </row>
    <row r="53" spans="1:11" ht="138">
      <c r="A53" s="147" t="s">
        <v>161</v>
      </c>
      <c r="B53" s="156" t="s">
        <v>167</v>
      </c>
      <c r="C53" s="142">
        <f>35261+3917.9+20000</f>
        <v>59178.9</v>
      </c>
      <c r="D53" s="142"/>
      <c r="E53" s="142">
        <f t="shared" si="3"/>
        <v>0</v>
      </c>
      <c r="F53" s="143">
        <v>17120</v>
      </c>
      <c r="G53" s="143"/>
      <c r="H53" s="143">
        <f>G53/F53*100</f>
        <v>0</v>
      </c>
      <c r="I53" s="144">
        <f>C53+F53-17120-3630</f>
        <v>55548.899999999994</v>
      </c>
      <c r="J53" s="145">
        <f aca="true" t="shared" si="5" ref="J53:J62">D53+G53</f>
        <v>0</v>
      </c>
      <c r="K53" s="146">
        <f t="shared" si="0"/>
        <v>0</v>
      </c>
    </row>
    <row r="54" spans="1:11" ht="54.75">
      <c r="A54" s="147" t="s">
        <v>161</v>
      </c>
      <c r="B54" s="156" t="s">
        <v>168</v>
      </c>
      <c r="C54" s="142"/>
      <c r="D54" s="142"/>
      <c r="E54" s="142"/>
      <c r="F54" s="143">
        <v>4770</v>
      </c>
      <c r="G54" s="143"/>
      <c r="H54" s="143">
        <f aca="true" t="shared" si="6" ref="H54:H61">G54/F54*100</f>
        <v>0</v>
      </c>
      <c r="I54" s="144">
        <f>C54+F54</f>
        <v>4770</v>
      </c>
      <c r="J54" s="145">
        <f t="shared" si="5"/>
        <v>0</v>
      </c>
      <c r="K54" s="161">
        <f t="shared" si="0"/>
        <v>0</v>
      </c>
    </row>
    <row r="55" spans="1:11" ht="13.5">
      <c r="A55" s="147" t="s">
        <v>161</v>
      </c>
      <c r="B55" s="156" t="s">
        <v>169</v>
      </c>
      <c r="C55" s="142"/>
      <c r="D55" s="142"/>
      <c r="E55" s="142"/>
      <c r="F55" s="143">
        <v>4073.6</v>
      </c>
      <c r="G55" s="143"/>
      <c r="H55" s="143">
        <f t="shared" si="6"/>
        <v>0</v>
      </c>
      <c r="I55" s="144">
        <f>C55+F55</f>
        <v>4073.6</v>
      </c>
      <c r="J55" s="145">
        <f t="shared" si="5"/>
        <v>0</v>
      </c>
      <c r="K55" s="146">
        <f t="shared" si="0"/>
        <v>0</v>
      </c>
    </row>
    <row r="56" spans="1:11" ht="69">
      <c r="A56" s="147" t="s">
        <v>170</v>
      </c>
      <c r="B56" s="141" t="s">
        <v>171</v>
      </c>
      <c r="C56" s="150">
        <v>500</v>
      </c>
      <c r="D56" s="150"/>
      <c r="E56" s="142">
        <f t="shared" si="3"/>
        <v>0</v>
      </c>
      <c r="F56" s="142">
        <v>500</v>
      </c>
      <c r="G56" s="143"/>
      <c r="H56" s="143">
        <f t="shared" si="6"/>
        <v>0</v>
      </c>
      <c r="I56" s="144">
        <f>C56+F56-500</f>
        <v>500</v>
      </c>
      <c r="J56" s="145">
        <f t="shared" si="5"/>
        <v>0</v>
      </c>
      <c r="K56" s="146">
        <f t="shared" si="0"/>
        <v>0</v>
      </c>
    </row>
    <row r="57" spans="1:11" ht="41.25">
      <c r="A57" s="147" t="s">
        <v>170</v>
      </c>
      <c r="B57" s="141" t="s">
        <v>172</v>
      </c>
      <c r="C57" s="142"/>
      <c r="D57" s="142"/>
      <c r="E57" s="142" t="e">
        <f t="shared" si="3"/>
        <v>#DIV/0!</v>
      </c>
      <c r="F57" s="142"/>
      <c r="G57" s="143"/>
      <c r="H57" s="143" t="e">
        <f t="shared" si="6"/>
        <v>#DIV/0!</v>
      </c>
      <c r="I57" s="144">
        <f aca="true" t="shared" si="7" ref="I57:I62">C57+F57</f>
        <v>0</v>
      </c>
      <c r="J57" s="144">
        <f t="shared" si="5"/>
        <v>0</v>
      </c>
      <c r="K57" s="146" t="e">
        <f t="shared" si="0"/>
        <v>#DIV/0!</v>
      </c>
    </row>
    <row r="58" spans="1:11" ht="54.75">
      <c r="A58" s="147" t="s">
        <v>170</v>
      </c>
      <c r="B58" s="141" t="s">
        <v>173</v>
      </c>
      <c r="C58" s="142">
        <v>3157</v>
      </c>
      <c r="D58" s="142"/>
      <c r="E58" s="142">
        <f t="shared" si="3"/>
        <v>0</v>
      </c>
      <c r="F58" s="142"/>
      <c r="G58" s="143"/>
      <c r="H58" s="143"/>
      <c r="I58" s="144">
        <f t="shared" si="7"/>
        <v>3157</v>
      </c>
      <c r="J58" s="144">
        <f t="shared" si="5"/>
        <v>0</v>
      </c>
      <c r="K58" s="146">
        <f t="shared" si="0"/>
        <v>0</v>
      </c>
    </row>
    <row r="59" spans="1:11" ht="27">
      <c r="A59" s="147" t="s">
        <v>170</v>
      </c>
      <c r="B59" s="141" t="s">
        <v>174</v>
      </c>
      <c r="C59" s="142">
        <v>13952.2</v>
      </c>
      <c r="D59" s="142"/>
      <c r="E59" s="142">
        <f t="shared" si="3"/>
        <v>0</v>
      </c>
      <c r="F59" s="142"/>
      <c r="G59" s="143"/>
      <c r="H59" s="143" t="e">
        <f t="shared" si="6"/>
        <v>#DIV/0!</v>
      </c>
      <c r="I59" s="144">
        <f t="shared" si="7"/>
        <v>13952.2</v>
      </c>
      <c r="J59" s="145">
        <f t="shared" si="5"/>
        <v>0</v>
      </c>
      <c r="K59" s="146">
        <f t="shared" si="0"/>
        <v>0</v>
      </c>
    </row>
    <row r="60" spans="1:11" ht="27">
      <c r="A60" s="147" t="s">
        <v>170</v>
      </c>
      <c r="B60" s="162" t="s">
        <v>175</v>
      </c>
      <c r="C60" s="142">
        <v>10000</v>
      </c>
      <c r="D60" s="142"/>
      <c r="E60" s="142">
        <f t="shared" si="3"/>
        <v>0</v>
      </c>
      <c r="F60" s="142"/>
      <c r="G60" s="143"/>
      <c r="H60" s="143" t="e">
        <f t="shared" si="6"/>
        <v>#DIV/0!</v>
      </c>
      <c r="I60" s="144">
        <f t="shared" si="7"/>
        <v>10000</v>
      </c>
      <c r="J60" s="145">
        <f t="shared" si="5"/>
        <v>0</v>
      </c>
      <c r="K60" s="146">
        <f t="shared" si="0"/>
        <v>0</v>
      </c>
    </row>
    <row r="61" spans="1:11" ht="13.5">
      <c r="A61" s="140" t="s">
        <v>170</v>
      </c>
      <c r="B61" s="141" t="s">
        <v>176</v>
      </c>
      <c r="C61" s="142"/>
      <c r="D61" s="142"/>
      <c r="E61" s="142"/>
      <c r="F61" s="142">
        <v>29487.7</v>
      </c>
      <c r="G61" s="143">
        <v>1354.7</v>
      </c>
      <c r="H61" s="143">
        <f t="shared" si="6"/>
        <v>4.594118903814133</v>
      </c>
      <c r="I61" s="144">
        <f t="shared" si="7"/>
        <v>29487.7</v>
      </c>
      <c r="J61" s="145">
        <f t="shared" si="5"/>
        <v>1354.7</v>
      </c>
      <c r="K61" s="146">
        <f t="shared" si="0"/>
        <v>4.594118903814133</v>
      </c>
    </row>
    <row r="62" spans="1:11" ht="13.5">
      <c r="A62" s="147" t="s">
        <v>177</v>
      </c>
      <c r="B62" s="141" t="s">
        <v>178</v>
      </c>
      <c r="C62" s="142">
        <v>46.6</v>
      </c>
      <c r="D62" s="150"/>
      <c r="E62" s="142">
        <f>D62/C62*100</f>
        <v>0</v>
      </c>
      <c r="F62" s="142">
        <v>0</v>
      </c>
      <c r="G62" s="143"/>
      <c r="H62" s="143">
        <v>0</v>
      </c>
      <c r="I62" s="144">
        <f t="shared" si="7"/>
        <v>46.6</v>
      </c>
      <c r="J62" s="145">
        <f t="shared" si="5"/>
        <v>0</v>
      </c>
      <c r="K62" s="163">
        <f t="shared" si="0"/>
        <v>0</v>
      </c>
    </row>
    <row r="63" spans="1:11" ht="13.5">
      <c r="A63" s="164" t="s">
        <v>179</v>
      </c>
      <c r="B63" s="165" t="s">
        <v>180</v>
      </c>
      <c r="C63" s="159">
        <f aca="true" t="shared" si="8" ref="C63:H63">C64</f>
        <v>108.1</v>
      </c>
      <c r="D63" s="159">
        <f t="shared" si="8"/>
        <v>0</v>
      </c>
      <c r="E63" s="166">
        <f t="shared" si="3"/>
        <v>0</v>
      </c>
      <c r="F63" s="159">
        <f t="shared" si="8"/>
        <v>0</v>
      </c>
      <c r="G63" s="159">
        <f t="shared" si="8"/>
        <v>0</v>
      </c>
      <c r="H63" s="138" t="e">
        <f t="shared" si="8"/>
        <v>#DIV/0!</v>
      </c>
      <c r="I63" s="159">
        <f>I64</f>
        <v>108.1</v>
      </c>
      <c r="J63" s="159">
        <f>J64</f>
        <v>0</v>
      </c>
      <c r="K63" s="167">
        <f t="shared" si="0"/>
        <v>0</v>
      </c>
    </row>
    <row r="64" spans="1:11" ht="27">
      <c r="A64" s="147" t="s">
        <v>181</v>
      </c>
      <c r="B64" s="168" t="s">
        <v>182</v>
      </c>
      <c r="C64" s="143">
        <v>108.1</v>
      </c>
      <c r="D64" s="143"/>
      <c r="E64" s="142">
        <f t="shared" si="3"/>
        <v>0</v>
      </c>
      <c r="F64" s="143"/>
      <c r="G64" s="143"/>
      <c r="H64" s="143" t="e">
        <f>G64/F64*100</f>
        <v>#DIV/0!</v>
      </c>
      <c r="I64" s="144">
        <f>C64+F64</f>
        <v>108.1</v>
      </c>
      <c r="J64" s="145">
        <f>D64+G64</f>
        <v>0</v>
      </c>
      <c r="K64" s="146">
        <f t="shared" si="0"/>
        <v>0</v>
      </c>
    </row>
    <row r="65" spans="1:11" ht="13.5">
      <c r="A65" s="135" t="s">
        <v>183</v>
      </c>
      <c r="B65" s="136" t="s">
        <v>184</v>
      </c>
      <c r="C65" s="137">
        <f>SUM(C66:C73)</f>
        <v>2093705.2</v>
      </c>
      <c r="D65" s="137">
        <f>SUM(D66:D73)</f>
        <v>138244.4</v>
      </c>
      <c r="E65" s="137">
        <f>D65/C65*100</f>
        <v>6.60285889341059</v>
      </c>
      <c r="F65" s="159">
        <f>F66+F68+F69+F72+F73</f>
        <v>0</v>
      </c>
      <c r="G65" s="159">
        <f>SUM(G66:G73)</f>
        <v>0</v>
      </c>
      <c r="H65" s="138">
        <v>0</v>
      </c>
      <c r="I65" s="137">
        <f>SUM(I66:I73)</f>
        <v>2093705.2</v>
      </c>
      <c r="J65" s="137">
        <f>SUM(J66:J73)</f>
        <v>138244.4</v>
      </c>
      <c r="K65" s="139">
        <f t="shared" si="0"/>
        <v>6.60285889341059</v>
      </c>
    </row>
    <row r="66" spans="1:11" ht="13.5">
      <c r="A66" s="140" t="s">
        <v>185</v>
      </c>
      <c r="B66" s="141" t="s">
        <v>186</v>
      </c>
      <c r="C66" s="142">
        <f>495015.4-C67</f>
        <v>420858.80000000005</v>
      </c>
      <c r="D66" s="142">
        <f>60246.1-D67</f>
        <v>60246.1</v>
      </c>
      <c r="E66" s="142">
        <f t="shared" si="3"/>
        <v>14.315038678055442</v>
      </c>
      <c r="F66" s="143">
        <v>0</v>
      </c>
      <c r="G66" s="143">
        <v>0</v>
      </c>
      <c r="H66" s="143">
        <v>0</v>
      </c>
      <c r="I66" s="144">
        <f>C66+F66</f>
        <v>420858.80000000005</v>
      </c>
      <c r="J66" s="145">
        <f>D66+G66</f>
        <v>60246.1</v>
      </c>
      <c r="K66" s="146">
        <f t="shared" si="0"/>
        <v>14.315038678055442</v>
      </c>
    </row>
    <row r="67" spans="1:11" ht="96">
      <c r="A67" s="140" t="s">
        <v>185</v>
      </c>
      <c r="B67" s="141" t="s">
        <v>187</v>
      </c>
      <c r="C67" s="142">
        <f>66740.9+7415.7</f>
        <v>74156.59999999999</v>
      </c>
      <c r="D67" s="142">
        <v>0</v>
      </c>
      <c r="E67" s="142">
        <f t="shared" si="3"/>
        <v>0</v>
      </c>
      <c r="F67" s="143"/>
      <c r="G67" s="143"/>
      <c r="H67" s="143"/>
      <c r="I67" s="144">
        <f>C67+F67</f>
        <v>74156.59999999999</v>
      </c>
      <c r="J67" s="145">
        <f>D67+G67</f>
        <v>0</v>
      </c>
      <c r="K67" s="146">
        <f t="shared" si="0"/>
        <v>0</v>
      </c>
    </row>
    <row r="68" spans="1:11" ht="13.5">
      <c r="A68" s="140" t="s">
        <v>188</v>
      </c>
      <c r="B68" s="141" t="s">
        <v>189</v>
      </c>
      <c r="C68" s="142">
        <f>1372777-C69-C70</f>
        <v>1142405.5</v>
      </c>
      <c r="D68" s="142">
        <f>54251-D69-D70</f>
        <v>53887.7</v>
      </c>
      <c r="E68" s="142">
        <f t="shared" si="3"/>
        <v>4.717037864401038</v>
      </c>
      <c r="F68" s="143">
        <v>0</v>
      </c>
      <c r="G68" s="143">
        <v>0</v>
      </c>
      <c r="H68" s="143">
        <v>0</v>
      </c>
      <c r="I68" s="144">
        <f>C68+F68</f>
        <v>1142405.5</v>
      </c>
      <c r="J68" s="145">
        <f>D68+G68</f>
        <v>53887.7</v>
      </c>
      <c r="K68" s="146">
        <f t="shared" si="0"/>
        <v>4.717037864401038</v>
      </c>
    </row>
    <row r="69" spans="1:11" ht="13.5">
      <c r="A69" s="140" t="s">
        <v>188</v>
      </c>
      <c r="B69" s="141" t="s">
        <v>190</v>
      </c>
      <c r="C69" s="142">
        <v>36889.6</v>
      </c>
      <c r="D69" s="142">
        <v>363.3</v>
      </c>
      <c r="E69" s="142">
        <f t="shared" si="3"/>
        <v>0.9848304129077031</v>
      </c>
      <c r="F69" s="143">
        <v>0</v>
      </c>
      <c r="G69" s="143">
        <v>0</v>
      </c>
      <c r="H69" s="143">
        <v>0</v>
      </c>
      <c r="I69" s="144">
        <f>C69+F69</f>
        <v>36889.6</v>
      </c>
      <c r="J69" s="145">
        <f>D69+G69</f>
        <v>363.3</v>
      </c>
      <c r="K69" s="146">
        <f t="shared" si="0"/>
        <v>0.9848304129077031</v>
      </c>
    </row>
    <row r="70" spans="1:11" ht="96">
      <c r="A70" s="140" t="s">
        <v>188</v>
      </c>
      <c r="B70" s="141" t="s">
        <v>191</v>
      </c>
      <c r="C70" s="142">
        <f>174133.7+19348.2</f>
        <v>193481.90000000002</v>
      </c>
      <c r="D70" s="142">
        <v>0</v>
      </c>
      <c r="E70" s="142">
        <f t="shared" si="3"/>
        <v>0</v>
      </c>
      <c r="F70" s="143">
        <v>0</v>
      </c>
      <c r="G70" s="143">
        <v>0</v>
      </c>
      <c r="H70" s="143">
        <v>0</v>
      </c>
      <c r="I70" s="144">
        <f>C70+F70</f>
        <v>193481.90000000002</v>
      </c>
      <c r="J70" s="145">
        <f>D70+G70</f>
        <v>0</v>
      </c>
      <c r="K70" s="146">
        <f t="shared" si="0"/>
        <v>0</v>
      </c>
    </row>
    <row r="71" spans="1:11" ht="13.5">
      <c r="A71" s="140" t="s">
        <v>192</v>
      </c>
      <c r="B71" s="141" t="s">
        <v>193</v>
      </c>
      <c r="C71" s="142">
        <v>143177.9</v>
      </c>
      <c r="D71" s="150">
        <v>17606.4</v>
      </c>
      <c r="E71" s="142">
        <f t="shared" si="3"/>
        <v>12.296869838152398</v>
      </c>
      <c r="F71" s="143"/>
      <c r="G71" s="143"/>
      <c r="H71" s="143"/>
      <c r="I71" s="144">
        <f>C71+F71</f>
        <v>143177.9</v>
      </c>
      <c r="J71" s="145">
        <f>D71+G71</f>
        <v>17606.4</v>
      </c>
      <c r="K71" s="146">
        <f t="shared" si="0"/>
        <v>12.296869838152398</v>
      </c>
    </row>
    <row r="72" spans="1:11" ht="13.5">
      <c r="A72" s="140" t="s">
        <v>194</v>
      </c>
      <c r="B72" s="141" t="s">
        <v>195</v>
      </c>
      <c r="C72" s="142">
        <v>31441.3</v>
      </c>
      <c r="D72" s="142">
        <v>787</v>
      </c>
      <c r="E72" s="142">
        <f t="shared" si="3"/>
        <v>2.503077162839959</v>
      </c>
      <c r="F72" s="143"/>
      <c r="G72" s="143"/>
      <c r="H72" s="143"/>
      <c r="I72" s="144">
        <f>C72+F72</f>
        <v>31441.3</v>
      </c>
      <c r="J72" s="145">
        <f>D72+G72</f>
        <v>787</v>
      </c>
      <c r="K72" s="146">
        <f t="shared" si="0"/>
        <v>2.503077162839959</v>
      </c>
    </row>
    <row r="73" spans="1:11" ht="13.5">
      <c r="A73" s="140" t="s">
        <v>196</v>
      </c>
      <c r="B73" s="141" t="s">
        <v>197</v>
      </c>
      <c r="C73" s="142">
        <v>51293.6</v>
      </c>
      <c r="D73" s="142">
        <v>5353.9</v>
      </c>
      <c r="E73" s="142">
        <f t="shared" si="3"/>
        <v>10.437754417705133</v>
      </c>
      <c r="F73" s="143">
        <v>0</v>
      </c>
      <c r="G73" s="143"/>
      <c r="H73" s="143">
        <v>0</v>
      </c>
      <c r="I73" s="144">
        <f>C73+F73</f>
        <v>51293.6</v>
      </c>
      <c r="J73" s="145">
        <f>D73+G73</f>
        <v>5353.9</v>
      </c>
      <c r="K73" s="146">
        <f t="shared" si="0"/>
        <v>10.437754417705133</v>
      </c>
    </row>
    <row r="74" spans="1:11" ht="13.5">
      <c r="A74" s="135" t="s">
        <v>198</v>
      </c>
      <c r="B74" s="136" t="s">
        <v>199</v>
      </c>
      <c r="C74" s="137">
        <f>SUM(C75:C78)</f>
        <v>75114.4</v>
      </c>
      <c r="D74" s="137">
        <f>SUM(D75:D78)</f>
        <v>2700</v>
      </c>
      <c r="E74" s="137">
        <f>D74/C74*100</f>
        <v>3.5945171631538027</v>
      </c>
      <c r="F74" s="159">
        <f>SUM(F75:F78)</f>
        <v>111677</v>
      </c>
      <c r="G74" s="159">
        <f>SUM(G75:G78)</f>
        <v>5104.9</v>
      </c>
      <c r="H74" s="138">
        <f>G74/F74*100</f>
        <v>4.571129238786859</v>
      </c>
      <c r="I74" s="159">
        <f>SUM(I75:I78)</f>
        <v>185103.6</v>
      </c>
      <c r="J74" s="159">
        <f>SUM(J75:J78)</f>
        <v>7804.9</v>
      </c>
      <c r="K74" s="139">
        <f t="shared" si="0"/>
        <v>4.216503622836076</v>
      </c>
    </row>
    <row r="75" spans="1:11" ht="13.5">
      <c r="A75" s="140" t="s">
        <v>200</v>
      </c>
      <c r="B75" s="141" t="s">
        <v>201</v>
      </c>
      <c r="C75" s="142">
        <f>71619-C76</f>
        <v>70513.1</v>
      </c>
      <c r="D75" s="142">
        <f>2690-D76</f>
        <v>2690</v>
      </c>
      <c r="E75" s="142">
        <f t="shared" si="3"/>
        <v>3.814893970056627</v>
      </c>
      <c r="F75" s="143">
        <f>111317-F76</f>
        <v>111120.8</v>
      </c>
      <c r="G75" s="143">
        <f>5104.9-G76</f>
        <v>5104.9</v>
      </c>
      <c r="H75" s="143">
        <f>G75/F75*100</f>
        <v>4.594009402380112</v>
      </c>
      <c r="I75" s="144">
        <f>C75+F75-983.7-520.1</f>
        <v>180130.1</v>
      </c>
      <c r="J75" s="145">
        <f>D75+G75</f>
        <v>7794.9</v>
      </c>
      <c r="K75" s="146">
        <f t="shared" si="0"/>
        <v>4.327372271485998</v>
      </c>
    </row>
    <row r="76" spans="1:11" ht="27">
      <c r="A76" s="169" t="s">
        <v>200</v>
      </c>
      <c r="B76" s="170" t="s">
        <v>202</v>
      </c>
      <c r="C76" s="142">
        <f>940+165.9</f>
        <v>1105.9</v>
      </c>
      <c r="D76" s="142">
        <v>0</v>
      </c>
      <c r="E76" s="142">
        <f t="shared" si="3"/>
        <v>0</v>
      </c>
      <c r="F76" s="143">
        <f>184+12.2</f>
        <v>196.2</v>
      </c>
      <c r="G76" s="143"/>
      <c r="H76" s="143">
        <f>G76/F76*100</f>
        <v>0</v>
      </c>
      <c r="I76" s="144">
        <f>C76+F76-184</f>
        <v>1118.1000000000001</v>
      </c>
      <c r="J76" s="145">
        <f>D76+G76</f>
        <v>0</v>
      </c>
      <c r="K76" s="146">
        <f>J76/I76*100</f>
        <v>0</v>
      </c>
    </row>
    <row r="77" spans="1:11" ht="13.5">
      <c r="A77" s="140" t="s">
        <v>203</v>
      </c>
      <c r="B77" s="141" t="s">
        <v>204</v>
      </c>
      <c r="C77" s="142">
        <v>150</v>
      </c>
      <c r="D77" s="142"/>
      <c r="E77" s="142">
        <f t="shared" si="3"/>
        <v>0</v>
      </c>
      <c r="F77" s="143">
        <v>360</v>
      </c>
      <c r="G77" s="143"/>
      <c r="H77" s="143">
        <f>G77/F77*100</f>
        <v>0</v>
      </c>
      <c r="I77" s="144">
        <f aca="true" t="shared" si="9" ref="I77:J89">C77+F77</f>
        <v>510</v>
      </c>
      <c r="J77" s="145">
        <f>D77+G77</f>
        <v>0</v>
      </c>
      <c r="K77" s="146">
        <f aca="true" t="shared" si="10" ref="K77:K101">J77/I77*100</f>
        <v>0</v>
      </c>
    </row>
    <row r="78" spans="1:11" ht="27">
      <c r="A78" s="140" t="s">
        <v>205</v>
      </c>
      <c r="B78" s="141" t="s">
        <v>206</v>
      </c>
      <c r="C78" s="142">
        <v>3345.4</v>
      </c>
      <c r="D78" s="142">
        <v>10</v>
      </c>
      <c r="E78" s="142">
        <f t="shared" si="3"/>
        <v>0.29891791713995336</v>
      </c>
      <c r="F78" s="143"/>
      <c r="G78" s="143"/>
      <c r="H78" s="143"/>
      <c r="I78" s="144">
        <f>C78+F78</f>
        <v>3345.4</v>
      </c>
      <c r="J78" s="145">
        <f>D78+G78</f>
        <v>10</v>
      </c>
      <c r="K78" s="146">
        <f t="shared" si="10"/>
        <v>0.29891791713995336</v>
      </c>
    </row>
    <row r="79" spans="1:11" ht="13.5">
      <c r="A79" s="135" t="s">
        <v>207</v>
      </c>
      <c r="B79" s="136" t="s">
        <v>208</v>
      </c>
      <c r="C79" s="137">
        <f>SUM(C80:C80)</f>
        <v>2307.7</v>
      </c>
      <c r="D79" s="137">
        <f>SUM(D80:D80)</f>
        <v>0</v>
      </c>
      <c r="E79" s="137">
        <f>SUM(E80:E80)</f>
        <v>0</v>
      </c>
      <c r="F79" s="159">
        <v>0</v>
      </c>
      <c r="G79" s="159">
        <v>0</v>
      </c>
      <c r="H79" s="138"/>
      <c r="I79" s="159">
        <f>C79+F79</f>
        <v>2307.7</v>
      </c>
      <c r="J79" s="159">
        <f t="shared" si="9"/>
        <v>0</v>
      </c>
      <c r="K79" s="139">
        <f t="shared" si="10"/>
        <v>0</v>
      </c>
    </row>
    <row r="80" spans="1:11" ht="41.25">
      <c r="A80" s="147" t="s">
        <v>209</v>
      </c>
      <c r="B80" s="170" t="s">
        <v>210</v>
      </c>
      <c r="C80" s="142">
        <v>2307.7</v>
      </c>
      <c r="D80" s="143"/>
      <c r="E80" s="142">
        <f t="shared" si="3"/>
        <v>0</v>
      </c>
      <c r="F80" s="143"/>
      <c r="G80" s="143"/>
      <c r="H80" s="143"/>
      <c r="I80" s="144">
        <f t="shared" si="9"/>
        <v>2307.7</v>
      </c>
      <c r="J80" s="145">
        <f t="shared" si="9"/>
        <v>0</v>
      </c>
      <c r="K80" s="146">
        <f t="shared" si="10"/>
        <v>0</v>
      </c>
    </row>
    <row r="81" spans="1:11" ht="13.5">
      <c r="A81" s="135">
        <v>10</v>
      </c>
      <c r="B81" s="136" t="s">
        <v>211</v>
      </c>
      <c r="C81" s="137">
        <f>SUM(C82:C89)</f>
        <v>137518.7</v>
      </c>
      <c r="D81" s="137">
        <f>SUM(D82:D89)</f>
        <v>1104.5</v>
      </c>
      <c r="E81" s="137">
        <f>D81/C81*100</f>
        <v>0.8031634970371302</v>
      </c>
      <c r="F81" s="137">
        <f>SUM(F82:F86)</f>
        <v>940.2</v>
      </c>
      <c r="G81" s="137">
        <f>SUM(G82:G86)</f>
        <v>45</v>
      </c>
      <c r="H81" s="138">
        <f>G81/F81*100</f>
        <v>4.786215698787491</v>
      </c>
      <c r="I81" s="137">
        <f>SUM(I82:I89)</f>
        <v>138458.9</v>
      </c>
      <c r="J81" s="137">
        <f>SUM(J82:J89)</f>
        <v>1149.5</v>
      </c>
      <c r="K81" s="139">
        <f t="shared" si="10"/>
        <v>0.8302102645622635</v>
      </c>
    </row>
    <row r="82" spans="1:11" ht="13.5">
      <c r="A82" s="147">
        <v>1001</v>
      </c>
      <c r="B82" s="141" t="s">
        <v>212</v>
      </c>
      <c r="C82" s="142">
        <v>4604.1</v>
      </c>
      <c r="D82" s="142">
        <v>406.2</v>
      </c>
      <c r="E82" s="142">
        <f t="shared" si="3"/>
        <v>8.822571186551116</v>
      </c>
      <c r="F82" s="143">
        <v>940.2</v>
      </c>
      <c r="G82" s="143">
        <v>45</v>
      </c>
      <c r="H82" s="143">
        <f>G82/F82*100</f>
        <v>4.786215698787491</v>
      </c>
      <c r="I82" s="144">
        <f t="shared" si="9"/>
        <v>5544.3</v>
      </c>
      <c r="J82" s="145">
        <f t="shared" si="9"/>
        <v>451.2</v>
      </c>
      <c r="K82" s="146">
        <f t="shared" si="10"/>
        <v>8.138087765813538</v>
      </c>
    </row>
    <row r="83" spans="1:11" ht="54.75">
      <c r="A83" s="147">
        <v>1003</v>
      </c>
      <c r="B83" s="141" t="s">
        <v>213</v>
      </c>
      <c r="C83" s="142">
        <v>2664.6</v>
      </c>
      <c r="D83" s="142"/>
      <c r="E83" s="142">
        <f t="shared" si="3"/>
        <v>0</v>
      </c>
      <c r="F83" s="143">
        <v>0</v>
      </c>
      <c r="G83" s="143">
        <v>0</v>
      </c>
      <c r="H83" s="143">
        <v>0</v>
      </c>
      <c r="I83" s="144">
        <f t="shared" si="9"/>
        <v>2664.6</v>
      </c>
      <c r="J83" s="145">
        <f t="shared" si="9"/>
        <v>0</v>
      </c>
      <c r="K83" s="146">
        <f t="shared" si="10"/>
        <v>0</v>
      </c>
    </row>
    <row r="84" spans="1:11" ht="54.75">
      <c r="A84" s="147" t="s">
        <v>214</v>
      </c>
      <c r="B84" s="141" t="s">
        <v>215</v>
      </c>
      <c r="C84" s="142">
        <v>888.2</v>
      </c>
      <c r="D84" s="142"/>
      <c r="E84" s="142">
        <f t="shared" si="3"/>
        <v>0</v>
      </c>
      <c r="F84" s="143"/>
      <c r="G84" s="143"/>
      <c r="H84" s="143"/>
      <c r="I84" s="144">
        <f t="shared" si="9"/>
        <v>888.2</v>
      </c>
      <c r="J84" s="145">
        <f t="shared" si="9"/>
        <v>0</v>
      </c>
      <c r="K84" s="146">
        <f t="shared" si="10"/>
        <v>0</v>
      </c>
    </row>
    <row r="85" spans="1:11" ht="69">
      <c r="A85" s="147">
        <v>1004</v>
      </c>
      <c r="B85" s="141" t="s">
        <v>216</v>
      </c>
      <c r="C85" s="142">
        <v>15640</v>
      </c>
      <c r="D85" s="142">
        <v>472.4</v>
      </c>
      <c r="E85" s="142">
        <f t="shared" si="3"/>
        <v>3.020460358056266</v>
      </c>
      <c r="F85" s="143">
        <v>0</v>
      </c>
      <c r="G85" s="143">
        <v>0</v>
      </c>
      <c r="H85" s="143">
        <v>0</v>
      </c>
      <c r="I85" s="144">
        <f t="shared" si="9"/>
        <v>15640</v>
      </c>
      <c r="J85" s="145">
        <f t="shared" si="9"/>
        <v>472.4</v>
      </c>
      <c r="K85" s="146">
        <f t="shared" si="10"/>
        <v>3.020460358056266</v>
      </c>
    </row>
    <row r="86" spans="1:11" ht="138">
      <c r="A86" s="147">
        <v>1004</v>
      </c>
      <c r="B86" s="141" t="s">
        <v>217</v>
      </c>
      <c r="C86" s="142">
        <v>73281.3</v>
      </c>
      <c r="D86" s="142"/>
      <c r="E86" s="142">
        <f aca="true" t="shared" si="11" ref="E86:E100">D86/C86*100</f>
        <v>0</v>
      </c>
      <c r="F86" s="143">
        <v>0</v>
      </c>
      <c r="G86" s="143">
        <v>0</v>
      </c>
      <c r="H86" s="143">
        <v>0</v>
      </c>
      <c r="I86" s="144">
        <f t="shared" si="9"/>
        <v>73281.3</v>
      </c>
      <c r="J86" s="145">
        <f t="shared" si="9"/>
        <v>0</v>
      </c>
      <c r="K86" s="146">
        <f t="shared" si="10"/>
        <v>0</v>
      </c>
    </row>
    <row r="87" spans="1:11" ht="123.75">
      <c r="A87" s="147" t="s">
        <v>218</v>
      </c>
      <c r="B87" s="141" t="s">
        <v>219</v>
      </c>
      <c r="C87" s="142">
        <v>18940.4</v>
      </c>
      <c r="D87" s="142"/>
      <c r="E87" s="142">
        <f>D87/C87*100</f>
        <v>0</v>
      </c>
      <c r="F87" s="143">
        <v>0</v>
      </c>
      <c r="G87" s="143">
        <v>0</v>
      </c>
      <c r="H87" s="143">
        <v>0</v>
      </c>
      <c r="I87" s="144">
        <f t="shared" si="9"/>
        <v>18940.4</v>
      </c>
      <c r="J87" s="145">
        <f t="shared" si="9"/>
        <v>0</v>
      </c>
      <c r="K87" s="146">
        <f>J87/I87*100</f>
        <v>0</v>
      </c>
    </row>
    <row r="88" spans="1:11" ht="27">
      <c r="A88" s="147" t="s">
        <v>218</v>
      </c>
      <c r="B88" s="141" t="s">
        <v>220</v>
      </c>
      <c r="C88" s="142">
        <v>2037.6</v>
      </c>
      <c r="D88" s="142"/>
      <c r="E88" s="142"/>
      <c r="F88" s="143"/>
      <c r="G88" s="143"/>
      <c r="H88" s="143"/>
      <c r="I88" s="144">
        <f t="shared" si="9"/>
        <v>2037.6</v>
      </c>
      <c r="J88" s="145">
        <f t="shared" si="9"/>
        <v>0</v>
      </c>
      <c r="K88" s="146">
        <f>J88/I88*100</f>
        <v>0</v>
      </c>
    </row>
    <row r="89" spans="1:11" ht="27">
      <c r="A89" s="147">
        <v>1006</v>
      </c>
      <c r="B89" s="141" t="s">
        <v>221</v>
      </c>
      <c r="C89" s="142">
        <v>19462.5</v>
      </c>
      <c r="D89" s="142">
        <v>225.9</v>
      </c>
      <c r="E89" s="142">
        <f t="shared" si="11"/>
        <v>1.1606936416184972</v>
      </c>
      <c r="F89" s="143"/>
      <c r="G89" s="143">
        <v>0</v>
      </c>
      <c r="H89" s="143">
        <v>0</v>
      </c>
      <c r="I89" s="144">
        <f t="shared" si="9"/>
        <v>19462.5</v>
      </c>
      <c r="J89" s="145">
        <f t="shared" si="9"/>
        <v>225.9</v>
      </c>
      <c r="K89" s="146">
        <f t="shared" si="10"/>
        <v>1.1606936416184972</v>
      </c>
    </row>
    <row r="90" spans="1:11" ht="13.5">
      <c r="A90" s="164">
        <v>1100</v>
      </c>
      <c r="B90" s="136" t="s">
        <v>222</v>
      </c>
      <c r="C90" s="137">
        <f>SUM(C91:C92)</f>
        <v>98786.1</v>
      </c>
      <c r="D90" s="137">
        <f>SUM(D91:D92)</f>
        <v>3693.6</v>
      </c>
      <c r="E90" s="137">
        <f>D90/C90*100</f>
        <v>3.738987570113609</v>
      </c>
      <c r="F90" s="159">
        <f>F91+F92</f>
        <v>42854</v>
      </c>
      <c r="G90" s="159">
        <f>G91+G92</f>
        <v>1542.3</v>
      </c>
      <c r="H90" s="138">
        <f>G90/F90*100</f>
        <v>3.5989639240210947</v>
      </c>
      <c r="I90" s="159">
        <f>SUM(I91:I92)</f>
        <v>141577.1</v>
      </c>
      <c r="J90" s="159">
        <f>SUM(J91:J92)</f>
        <v>5235.9</v>
      </c>
      <c r="K90" s="139">
        <f t="shared" si="10"/>
        <v>3.698267587060336</v>
      </c>
    </row>
    <row r="91" spans="1:11" ht="13.5">
      <c r="A91" s="147">
        <v>1101</v>
      </c>
      <c r="B91" s="141" t="s">
        <v>223</v>
      </c>
      <c r="C91" s="142">
        <v>98631.1</v>
      </c>
      <c r="D91" s="142">
        <v>3693.6</v>
      </c>
      <c r="E91" s="142">
        <f t="shared" si="11"/>
        <v>3.7448634355695107</v>
      </c>
      <c r="F91" s="143">
        <v>42854</v>
      </c>
      <c r="G91" s="143">
        <v>1542.3</v>
      </c>
      <c r="H91" s="143">
        <f>G91/F91*100</f>
        <v>3.5989639240210947</v>
      </c>
      <c r="I91" s="144">
        <f>C91+F91-63</f>
        <v>141422.1</v>
      </c>
      <c r="J91" s="144">
        <f>D91+G91</f>
        <v>5235.9</v>
      </c>
      <c r="K91" s="146">
        <f t="shared" si="10"/>
        <v>3.7023209243816915</v>
      </c>
    </row>
    <row r="92" spans="1:11" ht="13.5">
      <c r="A92" s="147">
        <v>1102</v>
      </c>
      <c r="B92" s="141" t="s">
        <v>224</v>
      </c>
      <c r="C92" s="142">
        <v>155</v>
      </c>
      <c r="D92" s="142"/>
      <c r="E92" s="142">
        <f t="shared" si="11"/>
        <v>0</v>
      </c>
      <c r="F92" s="143"/>
      <c r="G92" s="143">
        <v>0</v>
      </c>
      <c r="H92" s="143"/>
      <c r="I92" s="144">
        <f>C92+F92</f>
        <v>155</v>
      </c>
      <c r="J92" s="144">
        <f>D92+G92</f>
        <v>0</v>
      </c>
      <c r="K92" s="146">
        <f t="shared" si="10"/>
        <v>0</v>
      </c>
    </row>
    <row r="93" spans="1:11" ht="13.5">
      <c r="A93" s="164">
        <v>1200</v>
      </c>
      <c r="B93" s="136" t="s">
        <v>225</v>
      </c>
      <c r="C93" s="137">
        <f>SUM(C94:C94)</f>
        <v>6625</v>
      </c>
      <c r="D93" s="137">
        <f>SUM(D94:D94)</f>
        <v>420</v>
      </c>
      <c r="E93" s="166">
        <f>D93/C93*100</f>
        <v>6.339622641509433</v>
      </c>
      <c r="F93" s="137"/>
      <c r="G93" s="137"/>
      <c r="H93" s="171"/>
      <c r="I93" s="137">
        <f aca="true" t="shared" si="12" ref="I93:J96">C93+F93</f>
        <v>6625</v>
      </c>
      <c r="J93" s="137">
        <f t="shared" si="12"/>
        <v>420</v>
      </c>
      <c r="K93" s="149">
        <f t="shared" si="10"/>
        <v>6.339622641509433</v>
      </c>
    </row>
    <row r="94" spans="1:11" ht="13.5">
      <c r="A94" s="147" t="s">
        <v>226</v>
      </c>
      <c r="B94" s="141" t="s">
        <v>227</v>
      </c>
      <c r="C94" s="142">
        <v>6625</v>
      </c>
      <c r="D94" s="142">
        <v>420</v>
      </c>
      <c r="E94" s="142">
        <f>D94/C94*100</f>
        <v>6.339622641509433</v>
      </c>
      <c r="F94" s="143"/>
      <c r="G94" s="143"/>
      <c r="H94" s="143"/>
      <c r="I94" s="144">
        <f t="shared" si="12"/>
        <v>6625</v>
      </c>
      <c r="J94" s="144">
        <f t="shared" si="12"/>
        <v>420</v>
      </c>
      <c r="K94" s="146">
        <f>J94/I94*100</f>
        <v>6.339622641509433</v>
      </c>
    </row>
    <row r="95" spans="1:11" ht="27">
      <c r="A95" s="164">
        <v>1300</v>
      </c>
      <c r="B95" s="136" t="s">
        <v>228</v>
      </c>
      <c r="C95" s="137">
        <f aca="true" t="shared" si="13" ref="C95:H95">C96</f>
        <v>24</v>
      </c>
      <c r="D95" s="137">
        <f t="shared" si="13"/>
        <v>0</v>
      </c>
      <c r="E95" s="137">
        <f t="shared" si="13"/>
        <v>0</v>
      </c>
      <c r="F95" s="137">
        <f t="shared" si="13"/>
        <v>0</v>
      </c>
      <c r="G95" s="137">
        <f t="shared" si="13"/>
        <v>0</v>
      </c>
      <c r="H95" s="148">
        <f t="shared" si="13"/>
        <v>0</v>
      </c>
      <c r="I95" s="137">
        <f t="shared" si="12"/>
        <v>24</v>
      </c>
      <c r="J95" s="137">
        <f t="shared" si="12"/>
        <v>0</v>
      </c>
      <c r="K95" s="149">
        <f t="shared" si="10"/>
        <v>0</v>
      </c>
    </row>
    <row r="96" spans="1:11" ht="27">
      <c r="A96" s="147">
        <v>1301</v>
      </c>
      <c r="B96" s="141" t="s">
        <v>229</v>
      </c>
      <c r="C96" s="142">
        <v>24</v>
      </c>
      <c r="D96" s="142"/>
      <c r="E96" s="142">
        <f t="shared" si="11"/>
        <v>0</v>
      </c>
      <c r="F96" s="143"/>
      <c r="G96" s="143">
        <v>0</v>
      </c>
      <c r="H96" s="143">
        <v>0</v>
      </c>
      <c r="I96" s="144">
        <f t="shared" si="12"/>
        <v>24</v>
      </c>
      <c r="J96" s="144">
        <f t="shared" si="12"/>
        <v>0</v>
      </c>
      <c r="K96" s="146">
        <f t="shared" si="10"/>
        <v>0</v>
      </c>
    </row>
    <row r="97" spans="1:11" ht="13.5">
      <c r="A97" s="164">
        <v>1400</v>
      </c>
      <c r="B97" s="136" t="s">
        <v>230</v>
      </c>
      <c r="C97" s="137">
        <f>SUM(C98:C100)</f>
        <v>279464.9</v>
      </c>
      <c r="D97" s="137">
        <f>SUM(D98:D100)</f>
        <v>8547</v>
      </c>
      <c r="E97" s="137">
        <f>D97/C97*100</f>
        <v>3.0583447152039485</v>
      </c>
      <c r="F97" s="159">
        <f>F98+F99+F100</f>
        <v>0</v>
      </c>
      <c r="G97" s="159">
        <f>SUM(G98:G100)</f>
        <v>0</v>
      </c>
      <c r="H97" s="159"/>
      <c r="I97" s="159">
        <v>0</v>
      </c>
      <c r="J97" s="159">
        <v>0</v>
      </c>
      <c r="K97" s="139">
        <v>0</v>
      </c>
    </row>
    <row r="98" spans="1:11" ht="41.25">
      <c r="A98" s="147">
        <v>1401</v>
      </c>
      <c r="B98" s="141" t="s">
        <v>231</v>
      </c>
      <c r="C98" s="142">
        <v>128204.8</v>
      </c>
      <c r="D98" s="142">
        <v>8547</v>
      </c>
      <c r="E98" s="142">
        <f t="shared" si="11"/>
        <v>6.666677066693291</v>
      </c>
      <c r="F98" s="143">
        <v>0</v>
      </c>
      <c r="G98" s="143">
        <v>0</v>
      </c>
      <c r="H98" s="143">
        <v>0</v>
      </c>
      <c r="I98" s="144">
        <v>0</v>
      </c>
      <c r="J98" s="145">
        <v>0</v>
      </c>
      <c r="K98" s="146">
        <v>0</v>
      </c>
    </row>
    <row r="99" spans="1:11" ht="13.5">
      <c r="A99" s="147">
        <v>1402</v>
      </c>
      <c r="B99" s="141" t="s">
        <v>232</v>
      </c>
      <c r="C99" s="142">
        <v>150960.1</v>
      </c>
      <c r="D99" s="142"/>
      <c r="E99" s="142">
        <f t="shared" si="11"/>
        <v>0</v>
      </c>
      <c r="F99" s="143">
        <v>0</v>
      </c>
      <c r="G99" s="143">
        <v>0</v>
      </c>
      <c r="H99" s="143">
        <v>0</v>
      </c>
      <c r="I99" s="144">
        <v>0</v>
      </c>
      <c r="J99" s="145">
        <v>0</v>
      </c>
      <c r="K99" s="146">
        <v>0</v>
      </c>
    </row>
    <row r="100" spans="1:11" ht="13.5">
      <c r="A100" s="147">
        <v>1403</v>
      </c>
      <c r="B100" s="141" t="s">
        <v>233</v>
      </c>
      <c r="C100" s="142">
        <v>300</v>
      </c>
      <c r="D100" s="142"/>
      <c r="E100" s="142">
        <f t="shared" si="11"/>
        <v>0</v>
      </c>
      <c r="F100" s="143">
        <v>0</v>
      </c>
      <c r="G100" s="143">
        <v>0</v>
      </c>
      <c r="H100" s="143">
        <v>0</v>
      </c>
      <c r="I100" s="144">
        <v>0</v>
      </c>
      <c r="J100" s="145">
        <v>0</v>
      </c>
      <c r="K100" s="146">
        <v>0</v>
      </c>
    </row>
    <row r="101" spans="1:11" ht="14.25" thickBot="1">
      <c r="A101" s="172" t="s">
        <v>234</v>
      </c>
      <c r="B101" s="173"/>
      <c r="C101" s="174">
        <f>C9+C18+C20+C25+C44+C63+C65+C74+C79+C81+C90+C93+C95+C97</f>
        <v>3489102.0000000005</v>
      </c>
      <c r="D101" s="174">
        <f>D97+D95+D93+D90+D81+D79+D74+D65+D63+D44+D25+D20+D18+D9</f>
        <v>187479.6</v>
      </c>
      <c r="E101" s="174">
        <f>D101/C101*100</f>
        <v>5.373290892613629</v>
      </c>
      <c r="F101" s="174">
        <f>F9+F18+F20+F25+F44+F63+F65+F74+F79+F81+F90+F93+F95+F97</f>
        <v>508710.5</v>
      </c>
      <c r="G101" s="174">
        <f>G97+G95+G93+G81+G79+G74+G65+G44+G25+G21+G18+G9+G20+G90+G63</f>
        <v>30429.300000000003</v>
      </c>
      <c r="H101" s="175">
        <f>G101/F101*100</f>
        <v>5.981653612418065</v>
      </c>
      <c r="I101" s="174">
        <f>I97+I95+I93+I90+I81+I79+I74+I65+I63+I44+I25+I20+I18+I9</f>
        <v>3662270.2</v>
      </c>
      <c r="J101" s="174">
        <f>J97+J95+J93+J90+J81+J79+J74+J65+J63+J44+J25+J20+J18+J9</f>
        <v>209361.9</v>
      </c>
      <c r="K101" s="176">
        <f t="shared" si="10"/>
        <v>5.716724560629087</v>
      </c>
    </row>
    <row r="102" spans="1:11" ht="12.75">
      <c r="A102" s="177"/>
      <c r="B102" s="178"/>
      <c r="C102" s="179"/>
      <c r="D102" s="110"/>
      <c r="E102" s="180"/>
      <c r="F102" s="112"/>
      <c r="G102" s="113"/>
      <c r="H102" s="113"/>
      <c r="I102" s="181"/>
      <c r="J102" s="181"/>
      <c r="K102" s="115"/>
    </row>
    <row r="103" spans="1:11" ht="12.75">
      <c r="A103" s="182"/>
      <c r="B103" s="183"/>
      <c r="C103" s="184"/>
      <c r="D103" s="184"/>
      <c r="E103" s="184"/>
      <c r="F103" s="184"/>
      <c r="G103" s="184"/>
      <c r="H103" s="184"/>
      <c r="I103" s="184"/>
      <c r="J103" s="184"/>
      <c r="K103" s="184"/>
    </row>
    <row r="104" spans="1:11" ht="12.75">
      <c r="A104" s="182"/>
      <c r="B104" s="183"/>
      <c r="C104" s="184"/>
      <c r="D104" s="185"/>
      <c r="E104" s="180"/>
      <c r="F104" s="112"/>
      <c r="G104" s="113"/>
      <c r="H104" s="113"/>
      <c r="I104" s="114"/>
      <c r="J104" s="114"/>
      <c r="K104" s="115"/>
    </row>
    <row r="105" spans="1:11" ht="12.75">
      <c r="A105" s="186" t="s">
        <v>235</v>
      </c>
      <c r="B105" s="186"/>
      <c r="C105" s="186"/>
      <c r="D105" s="187"/>
      <c r="E105" s="188"/>
      <c r="F105" s="188"/>
      <c r="G105" s="113"/>
      <c r="H105" s="113"/>
      <c r="I105" s="115"/>
      <c r="J105" s="115"/>
      <c r="K105" s="115"/>
    </row>
    <row r="106" spans="1:11" ht="12.75">
      <c r="A106" s="186" t="s">
        <v>236</v>
      </c>
      <c r="B106" s="186"/>
      <c r="C106" s="186"/>
      <c r="D106" s="189"/>
      <c r="E106" s="190" t="s">
        <v>237</v>
      </c>
      <c r="F106" s="190"/>
      <c r="G106" s="113"/>
      <c r="H106" s="113"/>
      <c r="I106" s="114"/>
      <c r="J106" s="115"/>
      <c r="K106" s="115"/>
    </row>
    <row r="107" spans="1:11" ht="12.75">
      <c r="A107" s="191"/>
      <c r="B107" s="192"/>
      <c r="C107" s="193"/>
      <c r="D107" s="194"/>
      <c r="E107" s="195"/>
      <c r="F107" s="196"/>
      <c r="G107" s="113"/>
      <c r="H107" s="113"/>
      <c r="I107" s="114"/>
      <c r="J107" s="115"/>
      <c r="K107" s="115"/>
    </row>
    <row r="108" spans="1:11" ht="12.75">
      <c r="A108" s="186" t="s">
        <v>238</v>
      </c>
      <c r="B108" s="186"/>
      <c r="C108" s="186"/>
      <c r="D108" s="197"/>
      <c r="E108" s="190" t="s">
        <v>239</v>
      </c>
      <c r="F108" s="190"/>
      <c r="G108" s="113"/>
      <c r="H108" s="113"/>
      <c r="I108" s="114"/>
      <c r="J108" s="115"/>
      <c r="K108" s="115"/>
    </row>
    <row r="109" spans="1:11" ht="12.75">
      <c r="A109" s="191"/>
      <c r="B109" s="198"/>
      <c r="C109" s="199"/>
      <c r="D109" s="200"/>
      <c r="E109" s="195"/>
      <c r="F109" s="196"/>
      <c r="G109" s="113"/>
      <c r="H109" s="113"/>
      <c r="I109" s="114"/>
      <c r="J109" s="115"/>
      <c r="K109" s="115"/>
    </row>
    <row r="110" spans="1:11" ht="12.75">
      <c r="A110" s="186" t="s">
        <v>240</v>
      </c>
      <c r="B110" s="186"/>
      <c r="C110" s="186"/>
      <c r="D110" s="197"/>
      <c r="E110" s="201" t="s">
        <v>241</v>
      </c>
      <c r="F110" s="201"/>
      <c r="G110" s="113"/>
      <c r="H110" s="113"/>
      <c r="I110" s="114"/>
      <c r="J110" s="115"/>
      <c r="K110" s="115"/>
    </row>
    <row r="111" spans="1:11" ht="12.75">
      <c r="A111" s="202"/>
      <c r="B111" s="203"/>
      <c r="C111" s="204"/>
      <c r="D111" s="187"/>
      <c r="E111" s="187"/>
      <c r="F111" s="188"/>
      <c r="G111" s="113"/>
      <c r="H111" s="113"/>
      <c r="I111" s="115"/>
      <c r="J111" s="115"/>
      <c r="K111" s="115"/>
    </row>
    <row r="112" spans="1:6" ht="12.75">
      <c r="A112" s="205"/>
      <c r="B112" s="205"/>
      <c r="C112" s="206" t="s">
        <v>242</v>
      </c>
      <c r="D112" s="207"/>
      <c r="E112" s="208" t="s">
        <v>243</v>
      </c>
      <c r="F112" s="205"/>
    </row>
  </sheetData>
  <sheetProtection/>
  <mergeCells count="35">
    <mergeCell ref="A105:C105"/>
    <mergeCell ref="A106:C106"/>
    <mergeCell ref="E106:F106"/>
    <mergeCell ref="A108:C108"/>
    <mergeCell ref="E108:F108"/>
    <mergeCell ref="A110:C110"/>
    <mergeCell ref="E110:F110"/>
    <mergeCell ref="G20:G21"/>
    <mergeCell ref="H20:H21"/>
    <mergeCell ref="I20:I21"/>
    <mergeCell ref="J20:J21"/>
    <mergeCell ref="K20:K21"/>
    <mergeCell ref="A101:B101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2019-02-08T10:19:21Z</cp:lastPrinted>
  <dcterms:created xsi:type="dcterms:W3CDTF">2006-05-12T06:58:42Z</dcterms:created>
  <dcterms:modified xsi:type="dcterms:W3CDTF">2019-05-20T06:38:39Z</dcterms:modified>
  <cp:category/>
  <cp:version/>
  <cp:contentType/>
  <cp:contentStatus/>
</cp:coreProperties>
</file>