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ходы" sheetId="1" r:id="rId1"/>
    <sheet name="расходы" sheetId="2" r:id="rId2"/>
  </sheets>
  <definedNames>
    <definedName name="_xlnm.Print_Area" localSheetId="0">'доходы'!#REF!</definedName>
  </definedNames>
  <calcPr fullCalcOnLoad="1"/>
</workbook>
</file>

<file path=xl/comments2.xml><?xml version="1.0" encoding="utf-8"?>
<comments xmlns="http://schemas.openxmlformats.org/spreadsheetml/2006/main">
  <authors>
    <author>Наташа</author>
  </authors>
  <commentList>
    <comment ref="B55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6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5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</commentList>
</comments>
</file>

<file path=xl/sharedStrings.xml><?xml version="1.0" encoding="utf-8"?>
<sst xmlns="http://schemas.openxmlformats.org/spreadsheetml/2006/main" count="626" uniqueCount="259">
  <si>
    <t>ККР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</si>
  <si>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</si>
  <si>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</si>
  <si>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</si>
  <si>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</si>
  <si>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</si>
  <si>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</si>
  <si>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</si>
  <si>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</si>
  <si>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</si>
  <si>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</si>
  <si>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</si>
  <si>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</si>
  <si>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</si>
  <si>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</si>
  <si>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</si>
  <si>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</si>
  <si>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</si>
  <si>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</si>
  <si>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</si>
  <si>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</si>
  <si>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</si>
  <si>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</si>
  <si>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</si>
  <si>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</si>
  <si>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</si>
  <si>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</si>
  <si>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</si>
  <si>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</si>
  <si>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правохранительная деятельность</t>
  </si>
  <si>
    <t>0304</t>
  </si>
  <si>
    <t>ЗАГС (0013801, ,0013802)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</si>
  <si>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</si>
  <si>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</si>
  <si>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</si>
  <si>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</si>
  <si>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</si>
  <si>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</si>
  <si>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</si>
  <si>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Программа "Содействие занятости населения 2011-2013 годы"</t>
  </si>
  <si>
    <t>0405</t>
  </si>
  <si>
    <t>Сельское хозяйство и рыболовство</t>
  </si>
  <si>
    <t>0408</t>
  </si>
  <si>
    <t>Воздушный транспорт (3000240)</t>
  </si>
  <si>
    <t>Автомобильный транспорт (3170110)</t>
  </si>
  <si>
    <t>Водный транспорт (3010320)</t>
  </si>
  <si>
    <t>0409</t>
  </si>
  <si>
    <t>Дорожное хозяйство (5226105)</t>
  </si>
  <si>
    <t>0410</t>
  </si>
  <si>
    <t>Связь и информатика</t>
  </si>
  <si>
    <t>0412</t>
  </si>
  <si>
    <t>Земельные  ресурсы (3400300)</t>
  </si>
  <si>
    <t>Программа "Развитие малого и среднего предпринимательства в ХМАО-Югре" (5220400)</t>
  </si>
  <si>
    <t>Осуществление полномочий по государственному управлению охраной труда тс. 01.30.39</t>
  </si>
  <si>
    <t>05</t>
  </si>
  <si>
    <t>Жилищно-коммунальное хозяйство</t>
  </si>
  <si>
    <t>0501</t>
  </si>
  <si>
    <t>Подпрограмма "Капремонт  жилого  фонда" (3500200)</t>
  </si>
  <si>
    <t>0502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</si>
  <si>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</si>
  <si>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</si>
  <si>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Мероприятия по подготовке  к  зиме (3510500)</t>
  </si>
  <si>
    <t>0503</t>
  </si>
  <si>
    <t>Прочие мероприятия по благоустройству городских округов и поселений (6000500, 6000400, 6000300, 6000100)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</si>
  <si>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</si>
  <si>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</si>
  <si>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</si>
  <si>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</si>
  <si>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</si>
  <si>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</si>
  <si>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</si>
  <si>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</si>
  <si>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</si>
  <si>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</si>
  <si>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Бесплатное питание (4219904)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</si>
  <si>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</si>
  <si>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</si>
  <si>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</si>
  <si>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</si>
  <si>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</si>
  <si>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</si>
  <si>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</si>
  <si>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</si>
  <si>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</si>
  <si>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</si>
  <si>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</si>
  <si>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</si>
  <si>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</si>
  <si>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</si>
  <si>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</si>
  <si>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</si>
  <si>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</si>
  <si>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</si>
  <si>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</si>
  <si>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</si>
  <si>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Социальная политика</t>
  </si>
  <si>
    <t>Пенсионное обеспечение</t>
  </si>
  <si>
    <t>Мероприятия в области социальной политики (5140100)</t>
  </si>
  <si>
    <t>Субвен.на обеспеч.жильем отдельных категорий граждан (ветераны, инвалиды 5053401,5053402)</t>
  </si>
  <si>
    <t>Субвенция на  бесплатное изготовление и ремонт зубных протезов (5058005)</t>
  </si>
  <si>
    <t>Субвенция на обеспечение бесплатными молочными продуктами питания детей до 3-х лет (5055409)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</si>
  <si>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</si>
  <si>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Материальное обеспечение патронатной семьи (5201300, 5201301)</t>
  </si>
  <si>
    <t>1004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</si>
  <si>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</si>
  <si>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</si>
  <si>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</si>
  <si>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</si>
  <si>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</si>
  <si>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</si>
  <si>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</si>
  <si>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</si>
  <si>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</si>
  <si>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</si>
  <si>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</si>
  <si>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</si>
  <si>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</si>
  <si>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</si>
  <si>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</si>
  <si>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Заворотынская Н.А.</t>
  </si>
  <si>
    <t>Дорожное хозяйство (3150100)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</si>
  <si>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</si>
  <si>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</si>
  <si>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</si>
  <si>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</si>
  <si>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</si>
  <si>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</si>
  <si>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 xml:space="preserve">Бюджетные инвестиции в объекты капитального строительства государственной собственности субъектов РФ </t>
  </si>
  <si>
    <t>Выплата единовременного пособия при всех формах устройства детей, лишенных родительского попечения, в семью (5050502)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</si>
  <si>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</si>
  <si>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</si>
  <si>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</si>
  <si>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</si>
  <si>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0505</t>
  </si>
  <si>
    <t>Другие вопросы в области жилищно-коммунального хозяйства</t>
  </si>
  <si>
    <t>Подпрограмма "Библиотечное дело" 5222806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</si>
  <si>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</si>
  <si>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</si>
  <si>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"Развитие  малого и среднего предпринимательства  в Октябрьском  районе"  на 2011-2013 годы (7950400) тс 01.03.20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</si>
  <si>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</si>
  <si>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</si>
  <si>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</si>
  <si>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</si>
  <si>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</si>
  <si>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</si>
  <si>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</si>
  <si>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 "Культура Октябрьского района на 2010-2012 гг" 7952800</t>
  </si>
  <si>
    <t>Заведующий  отделом учета  исполнения  бюджета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</si>
  <si>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</si>
  <si>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</si>
  <si>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</si>
  <si>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</si>
  <si>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</si>
  <si>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</si>
  <si>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</si>
  <si>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</si>
  <si>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</si>
  <si>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 xml:space="preserve"> </t>
  </si>
  <si>
    <t>План</t>
  </si>
  <si>
    <t>% исп-ия</t>
  </si>
  <si>
    <t>КБК</t>
  </si>
  <si>
    <t>Наименование дохода</t>
  </si>
  <si>
    <t>1 кв.</t>
  </si>
  <si>
    <t>2кв.</t>
  </si>
  <si>
    <t>3 кв.</t>
  </si>
  <si>
    <t>4 кв.</t>
  </si>
  <si>
    <t>Исп-ие на</t>
  </si>
  <si>
    <t>Октябрьский район</t>
  </si>
  <si>
    <t>00010000000000000000</t>
  </si>
  <si>
    <t>00010100000000000000</t>
  </si>
  <si>
    <t xml:space="preserve">Налоги на прибыль, доходы 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</si>
  <si>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</si>
  <si>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</si>
  <si>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</si>
  <si>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</si>
  <si>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</si>
  <si>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</si>
  <si>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</si>
  <si>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</si>
  <si>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</si>
  <si>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</si>
  <si>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</si>
  <si>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</si>
  <si>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</si>
  <si>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</si>
  <si>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</si>
  <si>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</si>
  <si>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</si>
  <si>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</si>
  <si>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</si>
  <si>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</si>
  <si>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</si>
  <si>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</si>
  <si>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00011800000000000000</t>
  </si>
  <si>
    <t>Возврат остатков субсидий и субвенций прошлых лет из бюджетов поселений</t>
  </si>
  <si>
    <t>00011900000000000000</t>
  </si>
  <si>
    <t>Возврат остатков субсидий и субвенций прошлых лет</t>
  </si>
  <si>
    <t>00020000000000000000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</si>
  <si>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</si>
  <si>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</si>
  <si>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</si>
  <si>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</si>
  <si>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</si>
  <si>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</si>
  <si>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</si>
  <si>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</si>
  <si>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</si>
  <si>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</si>
  <si>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</si>
  <si>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</si>
  <si>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</si>
  <si>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</si>
  <si>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</si>
  <si>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</si>
  <si>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</si>
  <si>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</si>
  <si>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</si>
  <si>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101</t>
  </si>
  <si>
    <t>105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</si>
  <si>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</si>
  <si>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</si>
  <si>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</si>
  <si>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</si>
  <si>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</si>
  <si>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</si>
  <si>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</si>
  <si>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</si>
  <si>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</si>
  <si>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</si>
  <si>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00020200000000000000</t>
  </si>
  <si>
    <t>00021900000000000000</t>
  </si>
  <si>
    <t>тыс.руб.</t>
  </si>
  <si>
    <t xml:space="preserve">План </t>
  </si>
  <si>
    <t>1 полугодие</t>
  </si>
  <si>
    <t>от плана</t>
  </si>
  <si>
    <t>2013</t>
  </si>
  <si>
    <t>1 полуг.  2013</t>
  </si>
  <si>
    <t>ДОХОДЫ</t>
  </si>
  <si>
    <t>00021800000000000151</t>
  </si>
  <si>
    <t>0107</t>
  </si>
  <si>
    <t>Обеспечение проведения выборов и референдумов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</si>
  <si>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01.40.28, 01.60.00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</si>
  <si>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</si>
  <si>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</si>
  <si>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</si>
  <si>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</si>
  <si>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Отчет  об  исполнении  консолидированного  бюджета  района  по  расходам на 1 июня 2013 года</t>
  </si>
  <si>
    <t>исполнение на 01.06.2013</t>
  </si>
  <si>
    <t>исполнения на 01.06.2013</t>
  </si>
  <si>
    <t>Программа "Осуществление поселком городского типа Октябрьское функций административного центра муницпального образования Октябрьский район на 2013-2015 годы" 7951200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</si>
  <si>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 01.60.00</t>
  </si>
  <si>
    <t>Программа "Развитие агропромышленного комплекса ХМАО-Югры в 2011-2013 годах" тс 01.30.22</t>
  </si>
  <si>
    <t xml:space="preserve"> Содействие развитию жилищного строительства на территории Октябрьского района на 2011 - 2013 годы и на период до 2015 года Подпрограмма "Градостроительная деятельность" 7955901</t>
  </si>
  <si>
    <t>Содействие развитию жилищного строительства на территории Октябрьского района на 2011 - 2013 годы и на период до 2015 года (7955903)тс 01.03.39</t>
  </si>
  <si>
    <t>Программа "Централизованное электроснабжение населенных пунктов ХМАО-Югры на 2011-2013 годы и на перспективу до 2015 года" (5220500) тс 01.40.28, 01.60.00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</si>
  <si>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01.40.50</t>
  </si>
  <si>
    <t>Подпрограмма "Доступное жилье молодым" 5222702, 7952700</t>
  </si>
  <si>
    <t>____ июня  2013 года</t>
  </si>
  <si>
    <t>Отчет об исполнении консолидированного бюджета Октябрьского района по состоянию на 01.06.2013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</si>
</sst>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55">
    <font>
      <sz val="10"/>
      <name val="Arial Cyr"/>
      <family val="0"/>
    </font>
    <font>
      <sz val="9"/>
      <name val="Arial"/>
      <family val="2"/>
    </font>
    <font>
      <sz val="8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b/>
      <sz val="8"/>
      <color indexed="3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b/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171" fontId="4" fillId="0" borderId="0" xfId="53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horizontal="center" vertical="center" wrapText="1"/>
    </xf>
    <xf numFmtId="171" fontId="4" fillId="0" borderId="0" xfId="0" applyNumberFormat="1" applyFont="1" applyAlignment="1">
      <alignment horizontal="center" vertical="center" wrapText="1"/>
    </xf>
    <xf numFmtId="171" fontId="5" fillId="0" borderId="0" xfId="0" applyNumberFormat="1" applyFont="1" applyFill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left" vertical="center" wrapText="1"/>
      <protection/>
    </xf>
    <xf numFmtId="171" fontId="53" fillId="0" borderId="0" xfId="53" applyNumberFormat="1" applyFont="1" applyFill="1" applyBorder="1" applyAlignment="1">
      <alignment horizontal="center" vertical="center" wrapText="1"/>
      <protection/>
    </xf>
    <xf numFmtId="171" fontId="5" fillId="0" borderId="0" xfId="53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1" fontId="53" fillId="0" borderId="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171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right" vertical="center" wrapText="1"/>
    </xf>
    <xf numFmtId="171" fontId="4" fillId="0" borderId="0" xfId="0" applyNumberFormat="1" applyFont="1" applyFill="1" applyBorder="1" applyAlignment="1">
      <alignment horizontal="left" vertical="center" wrapText="1"/>
    </xf>
    <xf numFmtId="171" fontId="4" fillId="0" borderId="0" xfId="0" applyNumberFormat="1" applyFont="1" applyFill="1" applyAlignment="1">
      <alignment horizontal="left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1" fontId="53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/>
    </xf>
    <xf numFmtId="171" fontId="54" fillId="33" borderId="11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1" fontId="4" fillId="33" borderId="11" xfId="53" applyNumberFormat="1" applyFont="1" applyFill="1" applyBorder="1" applyAlignment="1">
      <alignment horizontal="center" vertical="center" wrapText="1"/>
      <protection/>
    </xf>
    <xf numFmtId="171" fontId="4" fillId="33" borderId="11" xfId="0" applyNumberFormat="1" applyFont="1" applyFill="1" applyBorder="1" applyAlignment="1">
      <alignment horizontal="center" vertical="center" wrapText="1"/>
    </xf>
    <xf numFmtId="171" fontId="4" fillId="0" borderId="11" xfId="53" applyNumberFormat="1" applyFont="1" applyFill="1" applyBorder="1" applyAlignment="1">
      <alignment horizontal="center" vertical="center" wrapText="1"/>
      <protection/>
    </xf>
    <xf numFmtId="171" fontId="4" fillId="0" borderId="11" xfId="0" applyNumberFormat="1" applyFont="1" applyBorder="1" applyAlignment="1">
      <alignment horizontal="center" vertical="center" wrapText="1"/>
    </xf>
    <xf numFmtId="171" fontId="5" fillId="0" borderId="11" xfId="0" applyNumberFormat="1" applyFont="1" applyBorder="1" applyAlignment="1">
      <alignment horizontal="center" vertical="center" wrapText="1"/>
    </xf>
    <xf numFmtId="49" fontId="6" fillId="34" borderId="12" xfId="53" applyNumberFormat="1" applyFont="1" applyFill="1" applyBorder="1" applyAlignment="1" quotePrefix="1">
      <alignment horizontal="center" vertical="center" wrapText="1"/>
      <protection/>
    </xf>
    <xf numFmtId="0" fontId="6" fillId="34" borderId="11" xfId="53" applyNumberFormat="1" applyFont="1" applyFill="1" applyBorder="1" applyAlignment="1">
      <alignment horizontal="left" vertical="center" wrapText="1"/>
      <protection/>
    </xf>
    <xf numFmtId="171" fontId="5" fillId="34" borderId="11" xfId="53" applyNumberFormat="1" applyFont="1" applyFill="1" applyBorder="1" applyAlignment="1">
      <alignment horizontal="center" vertical="center" wrapText="1"/>
      <protection/>
    </xf>
    <xf numFmtId="171" fontId="4" fillId="34" borderId="11" xfId="0" applyNumberFormat="1" applyFont="1" applyFill="1" applyBorder="1" applyAlignment="1">
      <alignment horizontal="center" vertical="center" wrapText="1"/>
    </xf>
    <xf numFmtId="171" fontId="5" fillId="34" borderId="13" xfId="0" applyNumberFormat="1" applyFont="1" applyFill="1" applyBorder="1" applyAlignment="1">
      <alignment horizontal="center" vertical="center" wrapText="1"/>
    </xf>
    <xf numFmtId="49" fontId="3" fillId="0" borderId="12" xfId="53" applyNumberFormat="1" applyFont="1" applyFill="1" applyBorder="1" applyAlignment="1" quotePrefix="1">
      <alignment horizontal="center" vertical="center" wrapText="1"/>
      <protection/>
    </xf>
    <xf numFmtId="0" fontId="3" fillId="0" borderId="11" xfId="53" applyNumberFormat="1" applyFont="1" applyFill="1" applyBorder="1" applyAlignment="1">
      <alignment horizontal="left" vertical="center" wrapText="1"/>
      <protection/>
    </xf>
    <xf numFmtId="171" fontId="4" fillId="0" borderId="11" xfId="0" applyNumberFormat="1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171" fontId="5" fillId="0" borderId="13" xfId="0" applyNumberFormat="1" applyFont="1" applyFill="1" applyBorder="1" applyAlignment="1">
      <alignment horizontal="center" vertical="center" wrapText="1"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171" fontId="4" fillId="34" borderId="11" xfId="53" applyNumberFormat="1" applyFont="1" applyFill="1" applyBorder="1" applyAlignment="1">
      <alignment horizontal="center" vertical="center" wrapText="1"/>
      <protection/>
    </xf>
    <xf numFmtId="171" fontId="5" fillId="34" borderId="13" xfId="53" applyNumberFormat="1" applyFont="1" applyFill="1" applyBorder="1" applyAlignment="1">
      <alignment horizontal="center" vertical="center" wrapText="1"/>
      <protection/>
    </xf>
    <xf numFmtId="0" fontId="3" fillId="35" borderId="11" xfId="53" applyNumberFormat="1" applyFont="1" applyFill="1" applyBorder="1" applyAlignment="1">
      <alignment horizontal="left" vertical="center" wrapText="1"/>
      <protection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171" fontId="5" fillId="34" borderId="11" xfId="0" applyNumberFormat="1" applyFont="1" applyFill="1" applyBorder="1" applyAlignment="1">
      <alignment horizontal="center"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49" fontId="6" fillId="34" borderId="12" xfId="53" applyNumberFormat="1" applyFont="1" applyFill="1" applyBorder="1" applyAlignment="1">
      <alignment horizontal="center" vertical="center" wrapText="1"/>
      <protection/>
    </xf>
    <xf numFmtId="0" fontId="6" fillId="34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1" xfId="53" applyNumberFormat="1" applyFont="1" applyFill="1" applyBorder="1" applyAlignment="1">
      <alignment horizontal="left" vertical="center" wrapText="1"/>
      <protection/>
    </xf>
    <xf numFmtId="171" fontId="5" fillId="36" borderId="14" xfId="53" applyNumberFormat="1" applyFont="1" applyFill="1" applyBorder="1" applyAlignment="1">
      <alignment horizontal="center" vertical="center" wrapText="1"/>
      <protection/>
    </xf>
    <xf numFmtId="171" fontId="5" fillId="36" borderId="14" xfId="0" applyNumberFormat="1" applyFont="1" applyFill="1" applyBorder="1" applyAlignment="1">
      <alignment horizontal="center" vertical="center" wrapText="1"/>
    </xf>
    <xf numFmtId="171" fontId="5" fillId="36" borderId="15" xfId="0" applyNumberFormat="1" applyFont="1" applyFill="1" applyBorder="1" applyAlignment="1">
      <alignment horizontal="center" vertical="center" wrapText="1"/>
    </xf>
    <xf numFmtId="49" fontId="3" fillId="0" borderId="0" xfId="53" applyNumberFormat="1" applyFont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center" wrapText="1"/>
      <protection/>
    </xf>
    <xf numFmtId="171" fontId="53" fillId="0" borderId="0" xfId="53" applyNumberFormat="1" applyFont="1" applyFill="1" applyAlignment="1">
      <alignment horizontal="center" vertical="center" wrapText="1"/>
      <protection/>
    </xf>
    <xf numFmtId="171" fontId="4" fillId="0" borderId="0" xfId="53" applyNumberFormat="1" applyFont="1" applyFill="1" applyAlignment="1">
      <alignment horizontal="center" vertical="center" wrapText="1"/>
      <protection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168" fontId="11" fillId="33" borderId="17" xfId="0" applyNumberFormat="1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168" fontId="11" fillId="33" borderId="19" xfId="0" applyNumberFormat="1" applyFont="1" applyFill="1" applyBorder="1" applyAlignment="1">
      <alignment horizontal="center"/>
    </xf>
    <xf numFmtId="168" fontId="11" fillId="33" borderId="18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 vertical="top" wrapText="1"/>
    </xf>
    <xf numFmtId="14" fontId="11" fillId="33" borderId="20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/>
    </xf>
    <xf numFmtId="49" fontId="15" fillId="33" borderId="20" xfId="0" applyNumberFormat="1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left"/>
    </xf>
    <xf numFmtId="168" fontId="13" fillId="33" borderId="20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2" fillId="33" borderId="11" xfId="0" applyNumberFormat="1" applyFont="1" applyFill="1" applyBorder="1" applyAlignment="1">
      <alignment horizontal="right"/>
    </xf>
    <xf numFmtId="168" fontId="12" fillId="33" borderId="11" xfId="0" applyNumberFormat="1" applyFont="1" applyFill="1" applyBorder="1" applyAlignment="1">
      <alignment/>
    </xf>
    <xf numFmtId="168" fontId="12" fillId="33" borderId="20" xfId="0" applyNumberFormat="1" applyFont="1" applyFill="1" applyBorder="1" applyAlignment="1">
      <alignment horizontal="right"/>
    </xf>
    <xf numFmtId="49" fontId="1" fillId="33" borderId="20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5" fillId="33" borderId="11" xfId="0" applyFont="1" applyFill="1" applyBorder="1" applyAlignment="1">
      <alignment/>
    </xf>
    <xf numFmtId="168" fontId="15" fillId="33" borderId="11" xfId="0" applyNumberFormat="1" applyFont="1" applyFill="1" applyBorder="1" applyAlignment="1">
      <alignment horizontal="right" wrapText="1"/>
    </xf>
    <xf numFmtId="49" fontId="1" fillId="33" borderId="20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justify" wrapText="1"/>
    </xf>
    <xf numFmtId="49" fontId="1" fillId="33" borderId="2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68" fontId="12" fillId="33" borderId="11" xfId="0" applyNumberFormat="1" applyFont="1" applyFill="1" applyBorder="1" applyAlignment="1">
      <alignment horizontal="right" vertical="top"/>
    </xf>
    <xf numFmtId="168" fontId="12" fillId="33" borderId="11" xfId="0" applyNumberFormat="1" applyFont="1" applyFill="1" applyBorder="1" applyAlignment="1">
      <alignment vertical="top"/>
    </xf>
    <xf numFmtId="168" fontId="12" fillId="33" borderId="2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 shrinkToFit="1"/>
    </xf>
    <xf numFmtId="168" fontId="13" fillId="33" borderId="2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168" fontId="13" fillId="33" borderId="11" xfId="0" applyNumberFormat="1" applyFont="1" applyFill="1" applyBorder="1" applyAlignment="1">
      <alignment/>
    </xf>
    <xf numFmtId="49" fontId="15" fillId="33" borderId="11" xfId="0" applyNumberFormat="1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left"/>
    </xf>
    <xf numFmtId="168" fontId="13" fillId="33" borderId="11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 wrapText="1"/>
    </xf>
    <xf numFmtId="168" fontId="12" fillId="33" borderId="20" xfId="0" applyNumberFormat="1" applyFont="1" applyFill="1" applyBorder="1" applyAlignment="1">
      <alignment/>
    </xf>
    <xf numFmtId="168" fontId="1" fillId="33" borderId="11" xfId="0" applyNumberFormat="1" applyFont="1" applyFill="1" applyBorder="1" applyAlignment="1">
      <alignment horizontal="right" wrapText="1"/>
    </xf>
    <xf numFmtId="168" fontId="13" fillId="33" borderId="18" xfId="0" applyNumberFormat="1" applyFont="1" applyFill="1" applyBorder="1" applyAlignment="1">
      <alignment/>
    </xf>
    <xf numFmtId="168" fontId="13" fillId="33" borderId="0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 shrinkToFit="1"/>
    </xf>
    <xf numFmtId="168" fontId="12" fillId="33" borderId="17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168" fontId="13" fillId="33" borderId="17" xfId="0" applyNumberFormat="1" applyFont="1" applyFill="1" applyBorder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left" wrapText="1"/>
    </xf>
    <xf numFmtId="49" fontId="15" fillId="33" borderId="20" xfId="0" applyNumberFormat="1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left" wrapText="1"/>
    </xf>
    <xf numFmtId="49" fontId="1" fillId="33" borderId="20" xfId="0" applyNumberFormat="1" applyFont="1" applyFill="1" applyBorder="1" applyAlignment="1">
      <alignment horizontal="center" vertical="top" wrapText="1"/>
    </xf>
    <xf numFmtId="169" fontId="12" fillId="33" borderId="11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 horizontal="left" wrapText="1"/>
    </xf>
    <xf numFmtId="49" fontId="12" fillId="33" borderId="11" xfId="0" applyNumberFormat="1" applyFont="1" applyFill="1" applyBorder="1" applyAlignment="1">
      <alignment horizontal="left"/>
    </xf>
    <xf numFmtId="49" fontId="12" fillId="33" borderId="17" xfId="0" applyNumberFormat="1" applyFont="1" applyFill="1" applyBorder="1" applyAlignment="1">
      <alignment horizontal="left"/>
    </xf>
    <xf numFmtId="168" fontId="1" fillId="33" borderId="11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168" fontId="13" fillId="33" borderId="11" xfId="0" applyNumberFormat="1" applyFont="1" applyFill="1" applyBorder="1" applyAlignment="1">
      <alignment vertical="top"/>
    </xf>
    <xf numFmtId="0" fontId="14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 wrapText="1"/>
    </xf>
    <xf numFmtId="49" fontId="1" fillId="33" borderId="22" xfId="0" applyNumberFormat="1" applyFont="1" applyFill="1" applyBorder="1" applyAlignment="1">
      <alignment horizontal="center" wrapText="1"/>
    </xf>
    <xf numFmtId="49" fontId="1" fillId="33" borderId="23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/>
    </xf>
    <xf numFmtId="168" fontId="13" fillId="33" borderId="23" xfId="0" applyNumberFormat="1" applyFont="1" applyFill="1" applyBorder="1" applyAlignment="1">
      <alignment horizontal="center"/>
    </xf>
    <xf numFmtId="44" fontId="1" fillId="33" borderId="21" xfId="42" applyFont="1" applyFill="1" applyBorder="1" applyAlignment="1">
      <alignment horizontal="center" wrapText="1"/>
    </xf>
    <xf numFmtId="44" fontId="1" fillId="33" borderId="22" xfId="42" applyFont="1" applyFill="1" applyBorder="1" applyAlignment="1">
      <alignment horizontal="center" wrapText="1"/>
    </xf>
    <xf numFmtId="44" fontId="1" fillId="33" borderId="23" xfId="42" applyFont="1" applyFill="1" applyBorder="1" applyAlignment="1">
      <alignment horizontal="center" wrapText="1"/>
    </xf>
    <xf numFmtId="0" fontId="8" fillId="36" borderId="24" xfId="53" applyNumberFormat="1" applyFont="1" applyFill="1" applyBorder="1" applyAlignment="1">
      <alignment horizontal="center" vertical="center" wrapText="1"/>
      <protection/>
    </xf>
    <xf numFmtId="0" fontId="8" fillId="36" borderId="14" xfId="53" applyNumberFormat="1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right" vertical="center" wrapText="1"/>
      <protection/>
    </xf>
    <xf numFmtId="171" fontId="4" fillId="0" borderId="0" xfId="53" applyNumberFormat="1" applyFont="1" applyFill="1" applyBorder="1" applyAlignment="1">
      <alignment horizontal="left" vertical="center" wrapText="1"/>
      <protection/>
    </xf>
    <xf numFmtId="171" fontId="4" fillId="0" borderId="0" xfId="0" applyNumberFormat="1" applyFont="1" applyFill="1" applyBorder="1" applyAlignment="1">
      <alignment horizontal="left" vertical="center" wrapText="1"/>
    </xf>
    <xf numFmtId="171" fontId="5" fillId="0" borderId="25" xfId="0" applyNumberFormat="1" applyFont="1" applyFill="1" applyBorder="1" applyAlignment="1">
      <alignment horizontal="center" vertical="center" wrapText="1"/>
    </xf>
    <xf numFmtId="171" fontId="5" fillId="0" borderId="26" xfId="0" applyNumberFormat="1" applyFont="1" applyFill="1" applyBorder="1" applyAlignment="1">
      <alignment horizontal="center" vertical="center" wrapText="1"/>
    </xf>
    <xf numFmtId="171" fontId="4" fillId="0" borderId="11" xfId="53" applyNumberFormat="1" applyFont="1" applyFill="1" applyBorder="1" applyAlignment="1">
      <alignment horizontal="center" vertical="center" wrapText="1"/>
      <protection/>
    </xf>
    <xf numFmtId="171" fontId="4" fillId="0" borderId="11" xfId="0" applyNumberFormat="1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/>
    </xf>
    <xf numFmtId="171" fontId="5" fillId="0" borderId="11" xfId="53" applyNumberFormat="1" applyFont="1" applyBorder="1" applyAlignment="1">
      <alignment horizontal="center" vertical="center" wrapText="1"/>
      <protection/>
    </xf>
    <xf numFmtId="171" fontId="5" fillId="0" borderId="13" xfId="53" applyNumberFormat="1" applyFont="1" applyBorder="1" applyAlignment="1">
      <alignment horizontal="center" vertical="center" wrapText="1"/>
      <protection/>
    </xf>
    <xf numFmtId="171" fontId="5" fillId="0" borderId="13" xfId="0" applyNumberFormat="1" applyFont="1" applyBorder="1" applyAlignment="1">
      <alignment horizontal="center" vertical="center" wrapText="1"/>
    </xf>
    <xf numFmtId="171" fontId="5" fillId="34" borderId="11" xfId="53" applyNumberFormat="1" applyFont="1" applyFill="1" applyBorder="1" applyAlignment="1">
      <alignment horizontal="center" vertical="center" wrapText="1"/>
      <protection/>
    </xf>
    <xf numFmtId="171" fontId="4" fillId="0" borderId="11" xfId="53" applyNumberFormat="1" applyFont="1" applyBorder="1" applyAlignment="1">
      <alignment horizontal="center" vertical="center" wrapText="1"/>
      <protection/>
    </xf>
    <xf numFmtId="171" fontId="5" fillId="0" borderId="11" xfId="53" applyNumberFormat="1" applyFont="1" applyFill="1" applyBorder="1" applyAlignment="1">
      <alignment horizontal="center" vertical="center" wrapText="1"/>
      <protection/>
    </xf>
    <xf numFmtId="171" fontId="5" fillId="0" borderId="11" xfId="0" applyNumberFormat="1" applyFont="1" applyBorder="1" applyAlignment="1">
      <alignment horizontal="center" vertical="center" wrapText="1"/>
    </xf>
    <xf numFmtId="0" fontId="6" fillId="0" borderId="11" xfId="53" applyNumberFormat="1" applyFont="1" applyFill="1" applyBorder="1" applyAlignment="1">
      <alignment horizontal="center" vertical="center" wrapText="1"/>
      <protection/>
    </xf>
    <xf numFmtId="0" fontId="6" fillId="0" borderId="13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Alignment="1">
      <alignment horizontal="center" vertical="center" wrapText="1"/>
      <protection/>
    </xf>
    <xf numFmtId="49" fontId="3" fillId="0" borderId="27" xfId="53" applyNumberFormat="1" applyFont="1" applyBorder="1" applyAlignment="1">
      <alignment horizontal="center" vertical="center" wrapText="1"/>
      <protection/>
    </xf>
    <xf numFmtId="49" fontId="3" fillId="0" borderId="12" xfId="53" applyNumberFormat="1" applyFont="1" applyBorder="1" applyAlignment="1">
      <alignment horizontal="center" vertical="center" wrapText="1"/>
      <protection/>
    </xf>
    <xf numFmtId="0" fontId="3" fillId="0" borderId="25" xfId="53" applyNumberFormat="1" applyFont="1" applyBorder="1" applyAlignment="1">
      <alignment horizontal="center" vertical="center" wrapText="1"/>
      <protection/>
    </xf>
    <xf numFmtId="0" fontId="3" fillId="0" borderId="11" xfId="53" applyNumberFormat="1" applyFont="1" applyBorder="1" applyAlignment="1">
      <alignment horizontal="center" vertical="center" wrapText="1"/>
      <protection/>
    </xf>
    <xf numFmtId="171" fontId="4" fillId="0" borderId="25" xfId="53" applyNumberFormat="1" applyFont="1" applyFill="1" applyBorder="1" applyAlignment="1">
      <alignment horizontal="center" vertical="center" wrapText="1"/>
      <protection/>
    </xf>
    <xf numFmtId="171" fontId="4" fillId="0" borderId="25" xfId="0" applyNumberFormat="1" applyFont="1" applyBorder="1" applyAlignment="1">
      <alignment horizontal="center" vertical="center" wrapText="1"/>
    </xf>
    <xf numFmtId="0" fontId="6" fillId="34" borderId="11" xfId="53" applyNumberFormat="1" applyFont="1" applyFill="1" applyBorder="1" applyAlignment="1">
      <alignment horizontal="left" vertical="center" wrapText="1"/>
      <protection/>
    </xf>
    <xf numFmtId="49" fontId="6" fillId="34" borderId="12" xfId="53" applyNumberFormat="1" applyFont="1" applyFill="1" applyBorder="1" applyAlignment="1" quotePrefix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zoomScalePageLayoutView="0" workbookViewId="0" topLeftCell="A1">
      <pane xSplit="3" ySplit="1" topLeftCell="D20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L210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68.75390625" style="1" customWidth="1"/>
    <col min="4" max="4" width="12.75390625" style="1" customWidth="1"/>
    <col min="5" max="5" width="11.375" style="1" hidden="1" customWidth="1" outlineLevel="1"/>
    <col min="6" max="6" width="11.00390625" style="1" hidden="1" customWidth="1" outlineLevel="1"/>
    <col min="7" max="7" width="9.00390625" style="1" hidden="1" customWidth="1" outlineLevel="1"/>
    <col min="8" max="8" width="10.25390625" style="1" hidden="1" customWidth="1" outlineLevel="1"/>
    <col min="9" max="9" width="12.625" style="1" customWidth="1" collapsed="1"/>
    <col min="10" max="10" width="12.125" style="1" customWidth="1"/>
    <col min="11" max="11" width="13.375" style="1" customWidth="1"/>
    <col min="12" max="12" width="10.00390625" style="1" customWidth="1"/>
    <col min="13" max="16384" width="9.125" style="1" customWidth="1"/>
  </cols>
  <sheetData>
    <row r="1" spans="1:12" ht="24.75" customHeight="1">
      <c r="A1" s="152" t="s">
        <v>258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2.75">
      <c r="A3" s="61"/>
      <c r="B3" s="61"/>
      <c r="C3" s="62"/>
      <c r="D3" s="63"/>
      <c r="E3" s="63"/>
      <c r="F3" s="63"/>
      <c r="G3" s="63"/>
      <c r="H3" s="63"/>
      <c r="I3" s="63"/>
      <c r="J3" s="63"/>
      <c r="K3" s="63"/>
      <c r="L3" s="63" t="s">
        <v>231</v>
      </c>
    </row>
    <row r="4" spans="1:12" ht="12.75">
      <c r="A4" s="64" t="s">
        <v>157</v>
      </c>
      <c r="B4" s="64"/>
      <c r="C4" s="65"/>
      <c r="D4" s="66"/>
      <c r="E4" s="67" t="s">
        <v>158</v>
      </c>
      <c r="F4" s="67" t="s">
        <v>158</v>
      </c>
      <c r="G4" s="67" t="s">
        <v>158</v>
      </c>
      <c r="H4" s="67" t="s">
        <v>158</v>
      </c>
      <c r="I4" s="67" t="s">
        <v>158</v>
      </c>
      <c r="J4" s="66"/>
      <c r="K4" s="68" t="s">
        <v>159</v>
      </c>
      <c r="L4" s="69" t="s">
        <v>159</v>
      </c>
    </row>
    <row r="5" spans="1:12" ht="12.75">
      <c r="A5" s="70" t="s">
        <v>160</v>
      </c>
      <c r="B5" s="70"/>
      <c r="C5" s="71" t="s">
        <v>161</v>
      </c>
      <c r="D5" s="72" t="s">
        <v>232</v>
      </c>
      <c r="E5" s="73" t="s">
        <v>162</v>
      </c>
      <c r="F5" s="73" t="s">
        <v>163</v>
      </c>
      <c r="G5" s="74" t="s">
        <v>164</v>
      </c>
      <c r="H5" s="75" t="s">
        <v>165</v>
      </c>
      <c r="I5" s="73" t="s">
        <v>233</v>
      </c>
      <c r="J5" s="76" t="s">
        <v>166</v>
      </c>
      <c r="K5" s="77" t="s">
        <v>234</v>
      </c>
      <c r="L5" s="76" t="s">
        <v>234</v>
      </c>
    </row>
    <row r="6" spans="1:12" ht="25.5">
      <c r="A6" s="70"/>
      <c r="B6" s="70"/>
      <c r="C6" s="71"/>
      <c r="D6" s="72">
        <v>2013</v>
      </c>
      <c r="E6" s="72">
        <v>2013</v>
      </c>
      <c r="F6" s="72">
        <v>2013</v>
      </c>
      <c r="G6" s="72">
        <v>2013</v>
      </c>
      <c r="H6" s="72">
        <v>2013</v>
      </c>
      <c r="I6" s="73" t="s">
        <v>235</v>
      </c>
      <c r="J6" s="78">
        <v>41426</v>
      </c>
      <c r="K6" s="79" t="s">
        <v>236</v>
      </c>
      <c r="L6" s="80">
        <v>2013</v>
      </c>
    </row>
    <row r="7" spans="1:12" ht="12.75">
      <c r="A7" s="146" t="s">
        <v>167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8"/>
    </row>
    <row r="8" spans="1:12" ht="12.75">
      <c r="A8" s="81" t="s">
        <v>168</v>
      </c>
      <c r="B8" s="81"/>
      <c r="C8" s="82" t="s">
        <v>237</v>
      </c>
      <c r="D8" s="83">
        <f aca="true" t="shared" si="0" ref="D8:I8">D9+D10+D11+D12+D14+D15+D17+D19+D13+D20+D16+D22+D18</f>
        <v>687268.2999999999</v>
      </c>
      <c r="E8" s="83">
        <f t="shared" si="0"/>
        <v>142357.3</v>
      </c>
      <c r="F8" s="83">
        <f t="shared" si="0"/>
        <v>200951.30000000002</v>
      </c>
      <c r="G8" s="83">
        <f t="shared" si="0"/>
        <v>163271.4</v>
      </c>
      <c r="H8" s="83">
        <f t="shared" si="0"/>
        <v>180688.3</v>
      </c>
      <c r="I8" s="83">
        <f t="shared" si="0"/>
        <v>343308.6</v>
      </c>
      <c r="J8" s="83">
        <f>J9+J10+J11+J12+J14+J15+J17+J19+J13+J20+J16+J22+J18+J21</f>
        <v>333826.4</v>
      </c>
      <c r="K8" s="83">
        <f>J8/I8*100</f>
        <v>97.2379952031496</v>
      </c>
      <c r="L8" s="83">
        <f>J8/D8*100</f>
        <v>48.57293723572003</v>
      </c>
    </row>
    <row r="9" spans="1:12" ht="12.75">
      <c r="A9" s="84" t="s">
        <v>169</v>
      </c>
      <c r="B9" s="84"/>
      <c r="C9" s="85" t="s">
        <v>170</v>
      </c>
      <c r="D9" s="86">
        <f>E9+F9+G9+H9</f>
        <v>524444.2</v>
      </c>
      <c r="E9" s="87">
        <v>115282.7</v>
      </c>
      <c r="F9" s="87">
        <f>125351.1+8341</f>
        <v>133692.1</v>
      </c>
      <c r="G9" s="87">
        <f>118514.8+10000</f>
        <v>128514.8</v>
      </c>
      <c r="H9" s="87">
        <v>146954.6</v>
      </c>
      <c r="I9" s="88">
        <f>E9+F9</f>
        <v>248974.8</v>
      </c>
      <c r="J9" s="87">
        <v>244357.6</v>
      </c>
      <c r="K9" s="88">
        <f aca="true" t="shared" si="1" ref="K9:K28">J9/I9*100</f>
        <v>98.1455151284387</v>
      </c>
      <c r="L9" s="88">
        <f aca="true" t="shared" si="2" ref="L9:L28">J9/D9*100</f>
        <v>46.593631886862326</v>
      </c>
    </row>
    <row r="10" spans="1:12" ht="12.75">
      <c r="A10" s="89" t="s">
        <v>171</v>
      </c>
      <c r="B10" s="89"/>
      <c r="C10" s="85" t="s">
        <v>172</v>
      </c>
      <c r="D10" s="86">
        <f aca="true" t="shared" si="3" ref="D10:D24">E10+F10+G10+H10</f>
        <v>32195.6</v>
      </c>
      <c r="E10" s="87">
        <v>6926.9</v>
      </c>
      <c r="F10" s="87">
        <v>11820.3</v>
      </c>
      <c r="G10" s="87">
        <f>8169.9-777.5</f>
        <v>7392.4</v>
      </c>
      <c r="H10" s="87">
        <f>7056-1000</f>
        <v>6056</v>
      </c>
      <c r="I10" s="88">
        <f aca="true" t="shared" si="4" ref="I10:I20">E10+F10</f>
        <v>18747.199999999997</v>
      </c>
      <c r="J10" s="87">
        <v>17408.5</v>
      </c>
      <c r="K10" s="88">
        <f t="shared" si="1"/>
        <v>92.8592003072459</v>
      </c>
      <c r="L10" s="88">
        <f t="shared" si="2"/>
        <v>54.07105318739207</v>
      </c>
    </row>
    <row r="11" spans="1:12" ht="12.75">
      <c r="A11" s="89" t="s">
        <v>173</v>
      </c>
      <c r="B11" s="89"/>
      <c r="C11" s="85" t="s">
        <v>174</v>
      </c>
      <c r="D11" s="86">
        <f t="shared" si="3"/>
        <v>15700</v>
      </c>
      <c r="E11" s="87">
        <v>1875</v>
      </c>
      <c r="F11" s="87">
        <f>1865+2627.2+1000</f>
        <v>5492.2</v>
      </c>
      <c r="G11" s="87">
        <v>2050</v>
      </c>
      <c r="H11" s="87">
        <v>6282.8</v>
      </c>
      <c r="I11" s="88">
        <f t="shared" si="4"/>
        <v>7367.2</v>
      </c>
      <c r="J11" s="87">
        <v>7127.7</v>
      </c>
      <c r="K11" s="88">
        <f t="shared" si="1"/>
        <v>96.74910413725704</v>
      </c>
      <c r="L11" s="88">
        <f t="shared" si="2"/>
        <v>45.399363057324834</v>
      </c>
    </row>
    <row r="12" spans="1:12" ht="12.75">
      <c r="A12" s="89" t="s">
        <v>175</v>
      </c>
      <c r="B12" s="89"/>
      <c r="C12" s="85" t="s">
        <v>176</v>
      </c>
      <c r="D12" s="86">
        <f t="shared" si="3"/>
        <v>3128</v>
      </c>
      <c r="E12" s="87">
        <v>669</v>
      </c>
      <c r="F12" s="87">
        <f>673+100</f>
        <v>773</v>
      </c>
      <c r="G12" s="87">
        <v>874</v>
      </c>
      <c r="H12" s="87">
        <f>681+131</f>
        <v>812</v>
      </c>
      <c r="I12" s="88">
        <f t="shared" si="4"/>
        <v>1442</v>
      </c>
      <c r="J12" s="87">
        <v>1273.4</v>
      </c>
      <c r="K12" s="88">
        <f t="shared" si="1"/>
        <v>88.30790568654648</v>
      </c>
      <c r="L12" s="88">
        <f t="shared" si="2"/>
        <v>40.709718670076725</v>
      </c>
    </row>
    <row r="13" spans="1:12" ht="24">
      <c r="A13" s="89" t="s">
        <v>177</v>
      </c>
      <c r="B13" s="89"/>
      <c r="C13" s="85" t="s">
        <v>178</v>
      </c>
      <c r="D13" s="86">
        <f t="shared" si="3"/>
        <v>0</v>
      </c>
      <c r="E13" s="87"/>
      <c r="F13" s="87"/>
      <c r="G13" s="87"/>
      <c r="H13" s="87"/>
      <c r="I13" s="88">
        <f t="shared" si="4"/>
        <v>0</v>
      </c>
      <c r="J13" s="87"/>
      <c r="K13" s="88" t="e">
        <f t="shared" si="1"/>
        <v>#DIV/0!</v>
      </c>
      <c r="L13" s="88" t="e">
        <f t="shared" si="2"/>
        <v>#DIV/0!</v>
      </c>
    </row>
    <row r="14" spans="1:12" ht="24">
      <c r="A14" s="90" t="s">
        <v>179</v>
      </c>
      <c r="B14" s="91"/>
      <c r="C14" s="85" t="s">
        <v>180</v>
      </c>
      <c r="D14" s="86">
        <f t="shared" si="3"/>
        <v>66374.5</v>
      </c>
      <c r="E14" s="87">
        <f>6973.9+0.1+502.1</f>
        <v>7476.1</v>
      </c>
      <c r="F14" s="87">
        <f>27193.2+0.1+438.3</f>
        <v>27631.6</v>
      </c>
      <c r="G14" s="87">
        <f>18152.6+0.1+382.8</f>
        <v>18535.499999999996</v>
      </c>
      <c r="H14" s="87">
        <f>12348.4+0.1+382.8</f>
        <v>12731.3</v>
      </c>
      <c r="I14" s="88">
        <f t="shared" si="4"/>
        <v>35107.7</v>
      </c>
      <c r="J14" s="87">
        <v>24461.6</v>
      </c>
      <c r="K14" s="88">
        <f t="shared" si="1"/>
        <v>69.67588306838671</v>
      </c>
      <c r="L14" s="88">
        <f t="shared" si="2"/>
        <v>36.853912270525576</v>
      </c>
    </row>
    <row r="15" spans="1:12" ht="12.75">
      <c r="A15" s="92" t="s">
        <v>181</v>
      </c>
      <c r="B15" s="92"/>
      <c r="C15" s="85" t="s">
        <v>182</v>
      </c>
      <c r="D15" s="86">
        <f t="shared" si="3"/>
        <v>16000</v>
      </c>
      <c r="E15" s="87">
        <v>5600</v>
      </c>
      <c r="F15" s="87">
        <v>4900</v>
      </c>
      <c r="G15" s="87">
        <f>2600+100</f>
        <v>2700</v>
      </c>
      <c r="H15" s="87">
        <f>2700+100</f>
        <v>2800</v>
      </c>
      <c r="I15" s="88">
        <f t="shared" si="4"/>
        <v>10500</v>
      </c>
      <c r="J15" s="87">
        <v>10429.7</v>
      </c>
      <c r="K15" s="88">
        <f t="shared" si="1"/>
        <v>99.3304761904762</v>
      </c>
      <c r="L15" s="88">
        <f t="shared" si="2"/>
        <v>65.185625</v>
      </c>
    </row>
    <row r="16" spans="1:12" ht="12.75">
      <c r="A16" s="93" t="s">
        <v>183</v>
      </c>
      <c r="B16" s="93"/>
      <c r="C16" s="85" t="s">
        <v>184</v>
      </c>
      <c r="D16" s="86">
        <f t="shared" si="3"/>
        <v>9130.999999999998</v>
      </c>
      <c r="E16" s="87">
        <v>248.8</v>
      </c>
      <c r="F16" s="87">
        <f>248.8+8000</f>
        <v>8248.8</v>
      </c>
      <c r="G16" s="87">
        <v>271.4</v>
      </c>
      <c r="H16" s="87">
        <v>362</v>
      </c>
      <c r="I16" s="88">
        <f t="shared" si="4"/>
        <v>8497.599999999999</v>
      </c>
      <c r="J16" s="87">
        <v>17293.6</v>
      </c>
      <c r="K16" s="88">
        <f t="shared" si="1"/>
        <v>203.51157974016195</v>
      </c>
      <c r="L16" s="88">
        <f t="shared" si="2"/>
        <v>189.39437082466327</v>
      </c>
    </row>
    <row r="17" spans="1:12" ht="12.75">
      <c r="A17" s="93" t="s">
        <v>185</v>
      </c>
      <c r="B17" s="93"/>
      <c r="C17" s="85" t="s">
        <v>186</v>
      </c>
      <c r="D17" s="86">
        <f t="shared" si="3"/>
        <v>10725</v>
      </c>
      <c r="E17" s="87">
        <f>3175.6</f>
        <v>3175.6</v>
      </c>
      <c r="F17" s="87">
        <f>2389.2</f>
        <v>2389.2</v>
      </c>
      <c r="G17" s="87">
        <f>1700.8</f>
        <v>1700.8</v>
      </c>
      <c r="H17" s="87">
        <f>3459.4</f>
        <v>3459.4</v>
      </c>
      <c r="I17" s="88">
        <f t="shared" si="4"/>
        <v>5564.799999999999</v>
      </c>
      <c r="J17" s="87">
        <v>4731.2</v>
      </c>
      <c r="K17" s="88">
        <f t="shared" si="1"/>
        <v>85.02012650948821</v>
      </c>
      <c r="L17" s="88">
        <f t="shared" si="2"/>
        <v>44.11375291375291</v>
      </c>
    </row>
    <row r="18" spans="1:12" ht="12.75">
      <c r="A18" s="93" t="s">
        <v>187</v>
      </c>
      <c r="B18" s="93"/>
      <c r="C18" s="85" t="s">
        <v>188</v>
      </c>
      <c r="D18" s="86">
        <f t="shared" si="3"/>
        <v>10</v>
      </c>
      <c r="E18" s="87">
        <v>3.2</v>
      </c>
      <c r="F18" s="87">
        <v>4.1</v>
      </c>
      <c r="G18" s="87">
        <v>2.5</v>
      </c>
      <c r="H18" s="87">
        <v>0.2</v>
      </c>
      <c r="I18" s="88">
        <f t="shared" si="4"/>
        <v>7.3</v>
      </c>
      <c r="J18" s="87">
        <v>6.4</v>
      </c>
      <c r="K18" s="88">
        <f t="shared" si="1"/>
        <v>87.67123287671234</v>
      </c>
      <c r="L18" s="88">
        <f t="shared" si="2"/>
        <v>64</v>
      </c>
    </row>
    <row r="19" spans="1:12" ht="12.75">
      <c r="A19" s="84" t="s">
        <v>189</v>
      </c>
      <c r="B19" s="84"/>
      <c r="C19" s="85" t="s">
        <v>190</v>
      </c>
      <c r="D19" s="86">
        <f t="shared" si="3"/>
        <v>9560</v>
      </c>
      <c r="E19" s="87">
        <v>1100</v>
      </c>
      <c r="F19" s="87">
        <v>6000</v>
      </c>
      <c r="G19" s="87">
        <v>1230</v>
      </c>
      <c r="H19" s="87">
        <v>1230</v>
      </c>
      <c r="I19" s="88">
        <f t="shared" si="4"/>
        <v>7100</v>
      </c>
      <c r="J19" s="87">
        <v>6725</v>
      </c>
      <c r="K19" s="88">
        <f t="shared" si="1"/>
        <v>94.71830985915493</v>
      </c>
      <c r="L19" s="88">
        <f t="shared" si="2"/>
        <v>70.34518828451883</v>
      </c>
    </row>
    <row r="20" spans="1:12" ht="12.75">
      <c r="A20" s="94" t="s">
        <v>191</v>
      </c>
      <c r="B20" s="95"/>
      <c r="C20" s="96" t="s">
        <v>192</v>
      </c>
      <c r="D20" s="86">
        <f t="shared" si="3"/>
        <v>0</v>
      </c>
      <c r="E20" s="87"/>
      <c r="F20" s="87"/>
      <c r="G20" s="87"/>
      <c r="H20" s="87"/>
      <c r="I20" s="88">
        <f t="shared" si="4"/>
        <v>0</v>
      </c>
      <c r="J20" s="87">
        <v>11.7</v>
      </c>
      <c r="K20" s="88"/>
      <c r="L20" s="88"/>
    </row>
    <row r="21" spans="1:12" ht="12.75">
      <c r="A21" s="94" t="s">
        <v>193</v>
      </c>
      <c r="B21" s="95"/>
      <c r="C21" s="96" t="s">
        <v>194</v>
      </c>
      <c r="D21" s="86">
        <f t="shared" si="3"/>
        <v>0</v>
      </c>
      <c r="E21" s="87"/>
      <c r="F21" s="87"/>
      <c r="G21" s="87"/>
      <c r="H21" s="87"/>
      <c r="I21" s="88">
        <f>E21</f>
        <v>0</v>
      </c>
      <c r="J21" s="87"/>
      <c r="K21" s="88"/>
      <c r="L21" s="88"/>
    </row>
    <row r="22" spans="1:12" ht="12.75">
      <c r="A22" s="94" t="s">
        <v>195</v>
      </c>
      <c r="B22" s="95"/>
      <c r="C22" s="96" t="s">
        <v>196</v>
      </c>
      <c r="D22" s="86">
        <f t="shared" si="3"/>
        <v>0</v>
      </c>
      <c r="E22" s="87"/>
      <c r="F22" s="87"/>
      <c r="G22" s="87"/>
      <c r="H22" s="87"/>
      <c r="I22" s="88">
        <f>E22</f>
        <v>0</v>
      </c>
      <c r="J22" s="87"/>
      <c r="K22" s="83"/>
      <c r="L22" s="83"/>
    </row>
    <row r="23" spans="1:12" ht="12.75">
      <c r="A23" s="81" t="s">
        <v>197</v>
      </c>
      <c r="B23" s="81"/>
      <c r="C23" s="97" t="s">
        <v>198</v>
      </c>
      <c r="D23" s="98">
        <f>D24+D25+D27+D26</f>
        <v>3305279.9999999995</v>
      </c>
      <c r="E23" s="98">
        <f aca="true" t="shared" si="5" ref="E23:J23">E24+E25+E27+E26</f>
        <v>618821.1</v>
      </c>
      <c r="F23" s="98">
        <f t="shared" si="5"/>
        <v>1099963.8</v>
      </c>
      <c r="G23" s="98">
        <f t="shared" si="5"/>
        <v>683034.2</v>
      </c>
      <c r="H23" s="98">
        <f t="shared" si="5"/>
        <v>903460.9</v>
      </c>
      <c r="I23" s="98">
        <f t="shared" si="5"/>
        <v>1718784.9</v>
      </c>
      <c r="J23" s="98">
        <f t="shared" si="5"/>
        <v>1416563.6999999997</v>
      </c>
      <c r="K23" s="83">
        <f t="shared" si="1"/>
        <v>82.4165781302826</v>
      </c>
      <c r="L23" s="83">
        <f t="shared" si="2"/>
        <v>42.857600566366536</v>
      </c>
    </row>
    <row r="24" spans="1:12" ht="24">
      <c r="A24" s="99" t="s">
        <v>229</v>
      </c>
      <c r="B24" s="89"/>
      <c r="C24" s="100" t="s">
        <v>199</v>
      </c>
      <c r="D24" s="86">
        <f t="shared" si="3"/>
        <v>3286365.9999999995</v>
      </c>
      <c r="E24" s="87">
        <v>612526.1</v>
      </c>
      <c r="F24" s="87">
        <v>1099934.8</v>
      </c>
      <c r="G24" s="87">
        <v>676739.2</v>
      </c>
      <c r="H24" s="87">
        <v>897165.9</v>
      </c>
      <c r="I24" s="88">
        <f>E24+F24</f>
        <v>1712460.9</v>
      </c>
      <c r="J24" s="87">
        <v>1413777.9</v>
      </c>
      <c r="K24" s="88">
        <f t="shared" si="1"/>
        <v>82.55825870243227</v>
      </c>
      <c r="L24" s="88">
        <f t="shared" si="2"/>
        <v>43.019490221113536</v>
      </c>
    </row>
    <row r="25" spans="1:12" ht="12.75">
      <c r="A25" s="101" t="s">
        <v>200</v>
      </c>
      <c r="B25" s="101"/>
      <c r="C25" s="102" t="s">
        <v>201</v>
      </c>
      <c r="D25" s="86">
        <f>E25+F25+G25+H25</f>
        <v>25180</v>
      </c>
      <c r="E25" s="87">
        <v>6295</v>
      </c>
      <c r="F25" s="87">
        <v>6295</v>
      </c>
      <c r="G25" s="87">
        <v>6295</v>
      </c>
      <c r="H25" s="87">
        <v>6295</v>
      </c>
      <c r="I25" s="88">
        <f>E25+F25</f>
        <v>12590</v>
      </c>
      <c r="J25" s="87">
        <v>9337.5</v>
      </c>
      <c r="K25" s="88">
        <f t="shared" si="1"/>
        <v>74.16600476568705</v>
      </c>
      <c r="L25" s="88">
        <f t="shared" si="2"/>
        <v>37.083002382843524</v>
      </c>
    </row>
    <row r="26" spans="1:12" ht="54" customHeight="1">
      <c r="A26" s="99" t="s">
        <v>238</v>
      </c>
      <c r="B26" s="103" t="s">
        <v>202</v>
      </c>
      <c r="C26" s="104" t="s">
        <v>202</v>
      </c>
      <c r="D26" s="105">
        <f>E26+F26+G26+H26</f>
        <v>21.4</v>
      </c>
      <c r="E26" s="106"/>
      <c r="F26" s="106">
        <v>21.4</v>
      </c>
      <c r="G26" s="106"/>
      <c r="H26" s="106"/>
      <c r="I26" s="107">
        <f>E26+F26</f>
        <v>21.4</v>
      </c>
      <c r="J26" s="106">
        <v>21.4</v>
      </c>
      <c r="K26" s="88">
        <f>J26/I26*100</f>
        <v>100</v>
      </c>
      <c r="L26" s="88">
        <f>J26/D26*100</f>
        <v>100</v>
      </c>
    </row>
    <row r="27" spans="1:12" ht="24">
      <c r="A27" s="99" t="s">
        <v>230</v>
      </c>
      <c r="B27" s="108"/>
      <c r="C27" s="109" t="s">
        <v>203</v>
      </c>
      <c r="D27" s="105">
        <f>E27+F27+G27+H27</f>
        <v>-6287.4</v>
      </c>
      <c r="E27" s="106"/>
      <c r="F27" s="106">
        <v>-6287.4</v>
      </c>
      <c r="G27" s="106"/>
      <c r="H27" s="106"/>
      <c r="I27" s="107">
        <f>E27+F27</f>
        <v>-6287.4</v>
      </c>
      <c r="J27" s="106">
        <v>-6573.1</v>
      </c>
      <c r="K27" s="88">
        <f>J27/I27*100</f>
        <v>104.5440086522251</v>
      </c>
      <c r="L27" s="88">
        <f>J27/D27*100</f>
        <v>104.5440086522251</v>
      </c>
    </row>
    <row r="28" spans="1:12" ht="12.75">
      <c r="A28" s="84"/>
      <c r="B28" s="111"/>
      <c r="C28" s="112" t="s">
        <v>204</v>
      </c>
      <c r="D28" s="113">
        <f aca="true" t="shared" si="6" ref="D28:J28">D23+D8</f>
        <v>3992548.2999999993</v>
      </c>
      <c r="E28" s="113">
        <f t="shared" si="6"/>
        <v>761178.3999999999</v>
      </c>
      <c r="F28" s="113">
        <f t="shared" si="6"/>
        <v>1300915.1</v>
      </c>
      <c r="G28" s="113">
        <f t="shared" si="6"/>
        <v>846305.6</v>
      </c>
      <c r="H28" s="113">
        <f t="shared" si="6"/>
        <v>1084149.2</v>
      </c>
      <c r="I28" s="113">
        <f t="shared" si="6"/>
        <v>2062093.5</v>
      </c>
      <c r="J28" s="113">
        <f t="shared" si="6"/>
        <v>1750390.0999999996</v>
      </c>
      <c r="K28" s="83">
        <f t="shared" si="1"/>
        <v>84.8841286779673</v>
      </c>
      <c r="L28" s="83">
        <f t="shared" si="2"/>
        <v>43.84142578813636</v>
      </c>
    </row>
    <row r="29" spans="1:12" ht="12.75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1"/>
    </row>
    <row r="30" spans="1:12" ht="12.75">
      <c r="A30" s="146" t="s">
        <v>205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8"/>
    </row>
    <row r="31" spans="1:12" ht="12.75">
      <c r="A31" s="114" t="s">
        <v>168</v>
      </c>
      <c r="B31" s="114"/>
      <c r="C31" s="115" t="s">
        <v>237</v>
      </c>
      <c r="D31" s="116">
        <f>D32+D33+D35+D36+D34</f>
        <v>14779.5</v>
      </c>
      <c r="E31" s="116">
        <f>E32+E33+E34+E35+E36+E37</f>
        <v>3694.7999999999997</v>
      </c>
      <c r="F31" s="116">
        <f>F32+F33+F34+F35+F36+F37</f>
        <v>3694.7999999999997</v>
      </c>
      <c r="G31" s="116">
        <f>G32+G33+G34+G35+G36+G37</f>
        <v>3694.7999999999997</v>
      </c>
      <c r="H31" s="116">
        <f>H32+H33+H34+H35+H36+H37</f>
        <v>3695.1000000000004</v>
      </c>
      <c r="I31" s="116">
        <f>I32+I33+I34+I35+I36+I37</f>
        <v>7389.599999999999</v>
      </c>
      <c r="J31" s="116">
        <f>J32+J33+J35+J36+J34+J37</f>
        <v>5965.5</v>
      </c>
      <c r="K31" s="83">
        <f>J31/I31*100</f>
        <v>80.7283208834037</v>
      </c>
      <c r="L31" s="83">
        <f>J31/D31*100</f>
        <v>40.363341114381406</v>
      </c>
    </row>
    <row r="32" spans="1:12" ht="12.75">
      <c r="A32" s="89" t="s">
        <v>169</v>
      </c>
      <c r="B32" s="89"/>
      <c r="C32" s="117" t="s">
        <v>170</v>
      </c>
      <c r="D32" s="86">
        <f>E32+F32+G32+H32</f>
        <v>10761</v>
      </c>
      <c r="E32" s="87">
        <f>2689.7+0.5</f>
        <v>2690.2</v>
      </c>
      <c r="F32" s="118">
        <f>2689.7+0.5</f>
        <v>2690.2</v>
      </c>
      <c r="G32" s="118">
        <f>2689.8+0.5</f>
        <v>2690.3</v>
      </c>
      <c r="H32" s="118">
        <f>2689.8+0.5</f>
        <v>2690.3</v>
      </c>
      <c r="I32" s="88">
        <f aca="true" t="shared" si="7" ref="I32:I39">E32+F32</f>
        <v>5380.4</v>
      </c>
      <c r="J32" s="118">
        <v>5327.8</v>
      </c>
      <c r="K32" s="88">
        <f aca="true" t="shared" si="8" ref="K32:K40">J32/I32*100</f>
        <v>99.02237751840013</v>
      </c>
      <c r="L32" s="88">
        <f aca="true" t="shared" si="9" ref="L32:L40">J32/D32*100</f>
        <v>49.510268562401265</v>
      </c>
    </row>
    <row r="33" spans="1:12" ht="12.75">
      <c r="A33" s="89" t="s">
        <v>173</v>
      </c>
      <c r="B33" s="89"/>
      <c r="C33" s="85" t="s">
        <v>174</v>
      </c>
      <c r="D33" s="86">
        <f aca="true" t="shared" si="10" ref="D33:D39">E33+F33+G33+H33</f>
        <v>1060</v>
      </c>
      <c r="E33" s="87">
        <f>40+7.5+217.5</f>
        <v>265</v>
      </c>
      <c r="F33" s="87">
        <v>265</v>
      </c>
      <c r="G33" s="87">
        <v>265</v>
      </c>
      <c r="H33" s="118">
        <v>265</v>
      </c>
      <c r="I33" s="88">
        <f t="shared" si="7"/>
        <v>530</v>
      </c>
      <c r="J33" s="87">
        <v>21.3</v>
      </c>
      <c r="K33" s="88">
        <f t="shared" si="8"/>
        <v>4.018867924528302</v>
      </c>
      <c r="L33" s="88">
        <f t="shared" si="9"/>
        <v>2.009433962264151</v>
      </c>
    </row>
    <row r="34" spans="1:12" ht="12.75">
      <c r="A34" s="89" t="s">
        <v>175</v>
      </c>
      <c r="B34" s="89"/>
      <c r="C34" s="85" t="s">
        <v>176</v>
      </c>
      <c r="D34" s="86">
        <f t="shared" si="10"/>
        <v>23</v>
      </c>
      <c r="E34" s="87">
        <v>5.8</v>
      </c>
      <c r="F34" s="87">
        <v>5.7</v>
      </c>
      <c r="G34" s="87">
        <v>5.7</v>
      </c>
      <c r="H34" s="118">
        <v>5.8</v>
      </c>
      <c r="I34" s="88">
        <f t="shared" si="7"/>
        <v>11.5</v>
      </c>
      <c r="J34" s="87">
        <v>11</v>
      </c>
      <c r="K34" s="88">
        <f t="shared" si="8"/>
        <v>95.65217391304348</v>
      </c>
      <c r="L34" s="88">
        <f t="shared" si="9"/>
        <v>47.82608695652174</v>
      </c>
    </row>
    <row r="35" spans="1:12" ht="24">
      <c r="A35" s="90" t="s">
        <v>179</v>
      </c>
      <c r="B35" s="91"/>
      <c r="C35" s="85" t="s">
        <v>180</v>
      </c>
      <c r="D35" s="86">
        <f t="shared" si="10"/>
        <v>2907</v>
      </c>
      <c r="E35" s="87">
        <f>725+1.7</f>
        <v>726.7</v>
      </c>
      <c r="F35" s="87">
        <f>725+1.8</f>
        <v>726.8</v>
      </c>
      <c r="G35" s="87">
        <f>725+1.7</f>
        <v>726.7</v>
      </c>
      <c r="H35" s="118">
        <f>725+1.8</f>
        <v>726.8</v>
      </c>
      <c r="I35" s="88">
        <f t="shared" si="7"/>
        <v>1453.5</v>
      </c>
      <c r="J35" s="87">
        <v>293.4</v>
      </c>
      <c r="K35" s="88">
        <f>J35/I35*100</f>
        <v>20.185758513931887</v>
      </c>
      <c r="L35" s="88">
        <f t="shared" si="9"/>
        <v>10.092879256965944</v>
      </c>
    </row>
    <row r="36" spans="1:12" ht="12.75">
      <c r="A36" s="92" t="s">
        <v>185</v>
      </c>
      <c r="B36" s="92"/>
      <c r="C36" s="85" t="s">
        <v>186</v>
      </c>
      <c r="D36" s="86">
        <f t="shared" si="10"/>
        <v>28.499999999999996</v>
      </c>
      <c r="E36" s="87">
        <v>7.1</v>
      </c>
      <c r="F36" s="87">
        <v>7.1</v>
      </c>
      <c r="G36" s="87">
        <v>7.1</v>
      </c>
      <c r="H36" s="118">
        <v>7.2</v>
      </c>
      <c r="I36" s="88">
        <f t="shared" si="7"/>
        <v>14.2</v>
      </c>
      <c r="J36" s="87">
        <v>28.9</v>
      </c>
      <c r="K36" s="88">
        <f>J36/I36*100</f>
        <v>203.5211267605634</v>
      </c>
      <c r="L36" s="88">
        <f t="shared" si="9"/>
        <v>101.40350877192984</v>
      </c>
    </row>
    <row r="37" spans="1:12" ht="12.75">
      <c r="A37" s="94" t="s">
        <v>191</v>
      </c>
      <c r="B37" s="95"/>
      <c r="C37" s="96" t="s">
        <v>192</v>
      </c>
      <c r="D37" s="86">
        <f t="shared" si="10"/>
        <v>0</v>
      </c>
      <c r="E37" s="87"/>
      <c r="F37" s="87"/>
      <c r="G37" s="87"/>
      <c r="H37" s="87"/>
      <c r="I37" s="88">
        <f t="shared" si="7"/>
        <v>0</v>
      </c>
      <c r="J37" s="87">
        <v>283.1</v>
      </c>
      <c r="K37" s="88"/>
      <c r="L37" s="88"/>
    </row>
    <row r="38" spans="1:12" ht="12.75">
      <c r="A38" s="81" t="s">
        <v>197</v>
      </c>
      <c r="B38" s="81"/>
      <c r="C38" s="97" t="s">
        <v>198</v>
      </c>
      <c r="D38" s="98">
        <f>D39</f>
        <v>6145.9</v>
      </c>
      <c r="E38" s="98">
        <f aca="true" t="shared" si="11" ref="E38:K38">E39</f>
        <v>1246.6</v>
      </c>
      <c r="F38" s="98">
        <f t="shared" si="11"/>
        <v>2406.2</v>
      </c>
      <c r="G38" s="98">
        <f t="shared" si="11"/>
        <v>1246.6</v>
      </c>
      <c r="H38" s="98">
        <f t="shared" si="11"/>
        <v>1246.5</v>
      </c>
      <c r="I38" s="98">
        <f t="shared" si="11"/>
        <v>3652.7999999999997</v>
      </c>
      <c r="J38" s="98">
        <f t="shared" si="11"/>
        <v>1646.7</v>
      </c>
      <c r="K38" s="98">
        <f t="shared" si="11"/>
        <v>45.08048620236531</v>
      </c>
      <c r="L38" s="83">
        <f>J38/D38*100</f>
        <v>26.793472070811436</v>
      </c>
    </row>
    <row r="39" spans="1:12" ht="24">
      <c r="A39" s="99" t="s">
        <v>229</v>
      </c>
      <c r="B39" s="89"/>
      <c r="C39" s="100" t="s">
        <v>199</v>
      </c>
      <c r="D39" s="86">
        <f t="shared" si="10"/>
        <v>6145.9</v>
      </c>
      <c r="E39" s="119">
        <f>615.6+43.3+305.1+115.8+70.5+96.3</f>
        <v>1246.6</v>
      </c>
      <c r="F39" s="87">
        <f>1246.5+1159.7</f>
        <v>2406.2</v>
      </c>
      <c r="G39" s="87">
        <v>1246.6</v>
      </c>
      <c r="H39" s="87">
        <v>1246.5</v>
      </c>
      <c r="I39" s="88">
        <f t="shared" si="7"/>
        <v>3652.7999999999997</v>
      </c>
      <c r="J39" s="87">
        <v>1646.7</v>
      </c>
      <c r="K39" s="88">
        <f>J39/I39*100</f>
        <v>45.08048620236531</v>
      </c>
      <c r="L39" s="88">
        <f>J39/D39*100</f>
        <v>26.793472070811436</v>
      </c>
    </row>
    <row r="40" spans="1:12" ht="12.75">
      <c r="A40" s="84"/>
      <c r="B40" s="111"/>
      <c r="C40" s="112" t="s">
        <v>204</v>
      </c>
      <c r="D40" s="113">
        <f aca="true" t="shared" si="12" ref="D40:J40">D38+D31</f>
        <v>20925.4</v>
      </c>
      <c r="E40" s="113">
        <f t="shared" si="12"/>
        <v>4941.4</v>
      </c>
      <c r="F40" s="113">
        <f t="shared" si="12"/>
        <v>6101</v>
      </c>
      <c r="G40" s="113">
        <f t="shared" si="12"/>
        <v>4941.4</v>
      </c>
      <c r="H40" s="113">
        <f t="shared" si="12"/>
        <v>4941.6</v>
      </c>
      <c r="I40" s="113">
        <f t="shared" si="12"/>
        <v>11042.4</v>
      </c>
      <c r="J40" s="113">
        <f t="shared" si="12"/>
        <v>7612.2</v>
      </c>
      <c r="K40" s="83">
        <f t="shared" si="8"/>
        <v>68.93610084764181</v>
      </c>
      <c r="L40" s="83">
        <f t="shared" si="9"/>
        <v>36.37779922964435</v>
      </c>
    </row>
    <row r="41" spans="1:12" ht="12.75">
      <c r="A41" s="120"/>
      <c r="B41" s="121"/>
      <c r="C41" s="154"/>
      <c r="D41" s="154"/>
      <c r="E41" s="154"/>
      <c r="F41" s="154"/>
      <c r="G41" s="154"/>
      <c r="H41" s="154"/>
      <c r="I41" s="154"/>
      <c r="J41" s="154"/>
      <c r="K41" s="154"/>
      <c r="L41" s="155"/>
    </row>
    <row r="42" spans="1:12" ht="12.75">
      <c r="A42" s="146" t="s">
        <v>206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8"/>
    </row>
    <row r="43" spans="1:12" ht="12.75">
      <c r="A43" s="81" t="s">
        <v>168</v>
      </c>
      <c r="B43" s="81"/>
      <c r="C43" s="82" t="s">
        <v>237</v>
      </c>
      <c r="D43" s="83">
        <f>D44+D46+D48+D49+D50+D51+D47+D45</f>
        <v>12257.8</v>
      </c>
      <c r="E43" s="83">
        <f aca="true" t="shared" si="13" ref="E43:J43">E44+E46+E48+E49+E50+E51+E47+E45</f>
        <v>3064.2000000000003</v>
      </c>
      <c r="F43" s="83">
        <f t="shared" si="13"/>
        <v>3064.1</v>
      </c>
      <c r="G43" s="83">
        <f t="shared" si="13"/>
        <v>3064.3</v>
      </c>
      <c r="H43" s="83">
        <f t="shared" si="13"/>
        <v>3065.2</v>
      </c>
      <c r="I43" s="83">
        <f t="shared" si="13"/>
        <v>6128.3</v>
      </c>
      <c r="J43" s="83">
        <f t="shared" si="13"/>
        <v>4801.300000000001</v>
      </c>
      <c r="K43" s="83">
        <f>J43/I43*100</f>
        <v>78.34636032831293</v>
      </c>
      <c r="L43" s="83">
        <f>J43/D43*100</f>
        <v>39.169345233239255</v>
      </c>
    </row>
    <row r="44" spans="1:12" ht="12.75">
      <c r="A44" s="84" t="s">
        <v>169</v>
      </c>
      <c r="B44" s="89"/>
      <c r="C44" s="117" t="s">
        <v>170</v>
      </c>
      <c r="D44" s="86">
        <f aca="true" t="shared" si="14" ref="D44:D51">E44+F44+G44+H44</f>
        <v>10027.8</v>
      </c>
      <c r="E44" s="87">
        <f>2496.9+6+3.7</f>
        <v>2506.6</v>
      </c>
      <c r="F44" s="118">
        <f>2496.9+6+3.8</f>
        <v>2506.7000000000003</v>
      </c>
      <c r="G44" s="118">
        <f>2506.7</f>
        <v>2506.7</v>
      </c>
      <c r="H44" s="118">
        <f>2507.8</f>
        <v>2507.8</v>
      </c>
      <c r="I44" s="88">
        <f aca="true" t="shared" si="15" ref="I44:I54">E44+F44</f>
        <v>5013.3</v>
      </c>
      <c r="J44" s="118">
        <v>4066.4</v>
      </c>
      <c r="K44" s="88">
        <f aca="true" t="shared" si="16" ref="K44:K55">J44/I44*100</f>
        <v>81.11224143777551</v>
      </c>
      <c r="L44" s="88">
        <f aca="true" t="shared" si="17" ref="L44:L55">J44/D44*100</f>
        <v>40.55126747641557</v>
      </c>
    </row>
    <row r="45" spans="1:12" ht="12.75">
      <c r="A45" s="89" t="s">
        <v>171</v>
      </c>
      <c r="B45" s="89"/>
      <c r="C45" s="85" t="s">
        <v>172</v>
      </c>
      <c r="D45" s="86">
        <f t="shared" si="14"/>
        <v>6</v>
      </c>
      <c r="E45" s="87">
        <v>1.5</v>
      </c>
      <c r="F45" s="118">
        <v>1.5</v>
      </c>
      <c r="G45" s="118">
        <v>1.5</v>
      </c>
      <c r="H45" s="118">
        <v>1.5</v>
      </c>
      <c r="I45" s="88">
        <f t="shared" si="15"/>
        <v>3</v>
      </c>
      <c r="J45" s="118">
        <v>7.1</v>
      </c>
      <c r="K45" s="88">
        <f>J45/I45*100</f>
        <v>236.66666666666666</v>
      </c>
      <c r="L45" s="88">
        <f>J45/D45*100</f>
        <v>118.33333333333333</v>
      </c>
    </row>
    <row r="46" spans="1:12" ht="12.75">
      <c r="A46" s="89" t="s">
        <v>173</v>
      </c>
      <c r="B46" s="89"/>
      <c r="C46" s="85" t="s">
        <v>174</v>
      </c>
      <c r="D46" s="86">
        <f t="shared" si="14"/>
        <v>1630</v>
      </c>
      <c r="E46" s="87">
        <f>82.5+75+250</f>
        <v>407.5</v>
      </c>
      <c r="F46" s="87">
        <v>407.5</v>
      </c>
      <c r="G46" s="87">
        <v>407.5</v>
      </c>
      <c r="H46" s="118">
        <v>407.5</v>
      </c>
      <c r="I46" s="88">
        <f t="shared" si="15"/>
        <v>815</v>
      </c>
      <c r="J46" s="87">
        <v>374.2</v>
      </c>
      <c r="K46" s="88">
        <f t="shared" si="16"/>
        <v>45.91411042944785</v>
      </c>
      <c r="L46" s="88">
        <f t="shared" si="17"/>
        <v>22.957055214723926</v>
      </c>
    </row>
    <row r="47" spans="1:12" ht="12.75">
      <c r="A47" s="89" t="s">
        <v>175</v>
      </c>
      <c r="B47" s="89"/>
      <c r="C47" s="85" t="s">
        <v>176</v>
      </c>
      <c r="D47" s="86">
        <f t="shared" si="14"/>
        <v>0</v>
      </c>
      <c r="E47" s="87"/>
      <c r="F47" s="87"/>
      <c r="G47" s="87"/>
      <c r="H47" s="118"/>
      <c r="I47" s="88">
        <f t="shared" si="15"/>
        <v>0</v>
      </c>
      <c r="J47" s="87"/>
      <c r="K47" s="88"/>
      <c r="L47" s="88"/>
    </row>
    <row r="48" spans="1:12" ht="24">
      <c r="A48" s="90" t="s">
        <v>179</v>
      </c>
      <c r="B48" s="91"/>
      <c r="C48" s="85" t="s">
        <v>180</v>
      </c>
      <c r="D48" s="86">
        <f t="shared" si="14"/>
        <v>465</v>
      </c>
      <c r="E48" s="87">
        <f>66.3+50</f>
        <v>116.3</v>
      </c>
      <c r="F48" s="87">
        <f>66.2+50</f>
        <v>116.2</v>
      </c>
      <c r="G48" s="87">
        <v>116.3</v>
      </c>
      <c r="H48" s="118">
        <f>116.2</f>
        <v>116.2</v>
      </c>
      <c r="I48" s="88">
        <f t="shared" si="15"/>
        <v>232.5</v>
      </c>
      <c r="J48" s="87">
        <v>113.6</v>
      </c>
      <c r="K48" s="88">
        <f t="shared" si="16"/>
        <v>48.86021505376344</v>
      </c>
      <c r="L48" s="88">
        <f t="shared" si="17"/>
        <v>24.43010752688172</v>
      </c>
    </row>
    <row r="49" spans="1:12" ht="12.75">
      <c r="A49" s="93" t="s">
        <v>185</v>
      </c>
      <c r="B49" s="93"/>
      <c r="C49" s="85" t="s">
        <v>186</v>
      </c>
      <c r="D49" s="86">
        <f t="shared" si="14"/>
        <v>129</v>
      </c>
      <c r="E49" s="87">
        <v>32.3</v>
      </c>
      <c r="F49" s="87">
        <v>32.2</v>
      </c>
      <c r="G49" s="87">
        <v>32.3</v>
      </c>
      <c r="H49" s="118">
        <v>32.2</v>
      </c>
      <c r="I49" s="88">
        <f t="shared" si="15"/>
        <v>64.5</v>
      </c>
      <c r="J49" s="87">
        <v>125.5</v>
      </c>
      <c r="K49" s="88">
        <f t="shared" si="16"/>
        <v>194.5736434108527</v>
      </c>
      <c r="L49" s="88">
        <f t="shared" si="17"/>
        <v>97.28682170542635</v>
      </c>
    </row>
    <row r="50" spans="1:12" ht="12.75">
      <c r="A50" s="84" t="s">
        <v>189</v>
      </c>
      <c r="B50" s="84"/>
      <c r="C50" s="85" t="s">
        <v>190</v>
      </c>
      <c r="D50" s="86">
        <f t="shared" si="14"/>
        <v>0</v>
      </c>
      <c r="E50" s="87"/>
      <c r="F50" s="87"/>
      <c r="G50" s="87"/>
      <c r="H50" s="118"/>
      <c r="I50" s="88">
        <f t="shared" si="15"/>
        <v>0</v>
      </c>
      <c r="J50" s="87">
        <v>2.2</v>
      </c>
      <c r="K50" s="83"/>
      <c r="L50" s="83"/>
    </row>
    <row r="51" spans="1:12" ht="12.75">
      <c r="A51" s="122" t="s">
        <v>191</v>
      </c>
      <c r="B51" s="95"/>
      <c r="C51" s="96" t="s">
        <v>192</v>
      </c>
      <c r="D51" s="86">
        <f t="shared" si="14"/>
        <v>0</v>
      </c>
      <c r="E51" s="87"/>
      <c r="F51" s="87"/>
      <c r="G51" s="87"/>
      <c r="H51" s="118"/>
      <c r="I51" s="88">
        <f t="shared" si="15"/>
        <v>0</v>
      </c>
      <c r="J51" s="87">
        <v>112.3</v>
      </c>
      <c r="K51" s="83"/>
      <c r="L51" s="83"/>
    </row>
    <row r="52" spans="1:12" ht="12.75">
      <c r="A52" s="114" t="s">
        <v>197</v>
      </c>
      <c r="B52" s="114"/>
      <c r="C52" s="97" t="s">
        <v>198</v>
      </c>
      <c r="D52" s="98">
        <f aca="true" t="shared" si="18" ref="D52:J52">D53+D54</f>
        <v>37363.8</v>
      </c>
      <c r="E52" s="98">
        <f t="shared" si="18"/>
        <v>10018.7</v>
      </c>
      <c r="F52" s="98">
        <f t="shared" si="18"/>
        <v>16034.7</v>
      </c>
      <c r="G52" s="98">
        <f t="shared" si="18"/>
        <v>5655.2</v>
      </c>
      <c r="H52" s="98">
        <f t="shared" si="18"/>
        <v>5655.2</v>
      </c>
      <c r="I52" s="98">
        <f t="shared" si="18"/>
        <v>26053.4</v>
      </c>
      <c r="J52" s="98">
        <f t="shared" si="18"/>
        <v>9147.9</v>
      </c>
      <c r="K52" s="83">
        <f t="shared" si="16"/>
        <v>35.11211588506682</v>
      </c>
      <c r="L52" s="83">
        <f t="shared" si="17"/>
        <v>24.483323430700302</v>
      </c>
    </row>
    <row r="53" spans="1:12" ht="24">
      <c r="A53" s="99" t="s">
        <v>229</v>
      </c>
      <c r="B53" s="89"/>
      <c r="C53" s="100" t="s">
        <v>199</v>
      </c>
      <c r="D53" s="86">
        <f>E53+F53+G53+H53</f>
        <v>37363.8</v>
      </c>
      <c r="E53" s="87">
        <v>10018.7</v>
      </c>
      <c r="F53" s="87">
        <v>16034.7</v>
      </c>
      <c r="G53" s="87">
        <v>5655.2</v>
      </c>
      <c r="H53" s="87">
        <v>5655.2</v>
      </c>
      <c r="I53" s="88">
        <f t="shared" si="15"/>
        <v>26053.4</v>
      </c>
      <c r="J53" s="87">
        <v>9149.6</v>
      </c>
      <c r="K53" s="88">
        <f t="shared" si="16"/>
        <v>35.11864094513576</v>
      </c>
      <c r="L53" s="88">
        <f t="shared" si="17"/>
        <v>24.487873289119413</v>
      </c>
    </row>
    <row r="54" spans="1:12" ht="24">
      <c r="A54" s="99" t="s">
        <v>230</v>
      </c>
      <c r="B54" s="123"/>
      <c r="C54" s="124" t="s">
        <v>203</v>
      </c>
      <c r="D54" s="86">
        <f>E54+F54+G54+H54</f>
        <v>0</v>
      </c>
      <c r="E54" s="125"/>
      <c r="F54" s="125"/>
      <c r="G54" s="125"/>
      <c r="H54" s="125"/>
      <c r="I54" s="88">
        <f t="shared" si="15"/>
        <v>0</v>
      </c>
      <c r="J54" s="87">
        <v>-1.7</v>
      </c>
      <c r="K54" s="88"/>
      <c r="L54" s="88"/>
    </row>
    <row r="55" spans="1:12" ht="12.75">
      <c r="A55" s="91"/>
      <c r="B55" s="126"/>
      <c r="C55" s="127" t="s">
        <v>204</v>
      </c>
      <c r="D55" s="128">
        <f aca="true" t="shared" si="19" ref="D55:I55">D52+D43</f>
        <v>49621.600000000006</v>
      </c>
      <c r="E55" s="128">
        <f t="shared" si="19"/>
        <v>13082.900000000001</v>
      </c>
      <c r="F55" s="128">
        <f t="shared" si="19"/>
        <v>19098.8</v>
      </c>
      <c r="G55" s="128">
        <f t="shared" si="19"/>
        <v>8719.5</v>
      </c>
      <c r="H55" s="128">
        <f t="shared" si="19"/>
        <v>8720.4</v>
      </c>
      <c r="I55" s="128">
        <f t="shared" si="19"/>
        <v>32181.7</v>
      </c>
      <c r="J55" s="128">
        <f>J52+J43</f>
        <v>13949.2</v>
      </c>
      <c r="K55" s="83">
        <f t="shared" si="16"/>
        <v>43.34513092844691</v>
      </c>
      <c r="L55" s="83">
        <f t="shared" si="17"/>
        <v>28.11114514646847</v>
      </c>
    </row>
    <row r="56" spans="1:12" ht="12.75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1"/>
    </row>
    <row r="57" spans="1:12" ht="12.75">
      <c r="A57" s="146" t="s">
        <v>207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8"/>
    </row>
    <row r="58" spans="1:12" ht="12.75">
      <c r="A58" s="81" t="s">
        <v>168</v>
      </c>
      <c r="B58" s="81"/>
      <c r="C58" s="82" t="s">
        <v>237</v>
      </c>
      <c r="D58" s="83">
        <f>D59+D61+D63+D64+D62+D66+D65+D60</f>
        <v>33164.2</v>
      </c>
      <c r="E58" s="83">
        <f aca="true" t="shared" si="20" ref="E58:J58">E59+E61+E63+E64+E62+E66+E65+E60</f>
        <v>6455.4</v>
      </c>
      <c r="F58" s="83">
        <f t="shared" si="20"/>
        <v>9168.800000000001</v>
      </c>
      <c r="G58" s="83">
        <f t="shared" si="20"/>
        <v>6437.700000000001</v>
      </c>
      <c r="H58" s="83">
        <f t="shared" si="20"/>
        <v>11102.300000000001</v>
      </c>
      <c r="I58" s="83">
        <f t="shared" si="20"/>
        <v>15624.2</v>
      </c>
      <c r="J58" s="83">
        <f t="shared" si="20"/>
        <v>10672.3</v>
      </c>
      <c r="K58" s="83">
        <f>J58/I58*100</f>
        <v>68.30621727832464</v>
      </c>
      <c r="L58" s="83">
        <f>J58/D58*100</f>
        <v>32.18018224470966</v>
      </c>
    </row>
    <row r="59" spans="1:12" ht="12.75">
      <c r="A59" s="84" t="s">
        <v>169</v>
      </c>
      <c r="B59" s="84"/>
      <c r="C59" s="85" t="s">
        <v>170</v>
      </c>
      <c r="D59" s="86">
        <f aca="true" t="shared" si="21" ref="D59:D66">E59+F59+G59+H59</f>
        <v>18043.7</v>
      </c>
      <c r="E59" s="87">
        <f>3076.9+7.5+1</f>
        <v>3085.4</v>
      </c>
      <c r="F59" s="87">
        <f>4697.7+39+57</f>
        <v>4793.7</v>
      </c>
      <c r="G59" s="87">
        <f>3401+218</f>
        <v>3619</v>
      </c>
      <c r="H59" s="87">
        <f>6518.1+3.5+24</f>
        <v>6545.6</v>
      </c>
      <c r="I59" s="88">
        <f aca="true" t="shared" si="22" ref="I59:I68">E59+F59</f>
        <v>7879.1</v>
      </c>
      <c r="J59" s="87">
        <v>6159.8</v>
      </c>
      <c r="K59" s="88">
        <f aca="true" t="shared" si="23" ref="K59:K68">J59/I59*100</f>
        <v>78.178979832722</v>
      </c>
      <c r="L59" s="88">
        <f aca="true" t="shared" si="24" ref="L59:L70">J59/D59*100</f>
        <v>34.13823107234104</v>
      </c>
    </row>
    <row r="60" spans="1:12" ht="12.75">
      <c r="A60" s="89" t="s">
        <v>171</v>
      </c>
      <c r="B60" s="89"/>
      <c r="C60" s="85" t="s">
        <v>172</v>
      </c>
      <c r="D60" s="86">
        <f t="shared" si="21"/>
        <v>6.5</v>
      </c>
      <c r="E60" s="87"/>
      <c r="F60" s="87">
        <v>6.5</v>
      </c>
      <c r="G60" s="87"/>
      <c r="H60" s="87"/>
      <c r="I60" s="88">
        <f t="shared" si="22"/>
        <v>6.5</v>
      </c>
      <c r="J60" s="87">
        <v>18.7</v>
      </c>
      <c r="K60" s="88">
        <f t="shared" si="23"/>
        <v>287.6923076923077</v>
      </c>
      <c r="L60" s="88">
        <f>J60/D60*100</f>
        <v>287.6923076923077</v>
      </c>
    </row>
    <row r="61" spans="1:12" ht="12.75">
      <c r="A61" s="89" t="s">
        <v>173</v>
      </c>
      <c r="B61" s="89"/>
      <c r="C61" s="85" t="s">
        <v>174</v>
      </c>
      <c r="D61" s="86">
        <f t="shared" si="21"/>
        <v>8054</v>
      </c>
      <c r="E61" s="87">
        <f>56.9+88.8+2231.6</f>
        <v>2377.2999999999997</v>
      </c>
      <c r="F61" s="87">
        <f>92+112.5+2390</f>
        <v>2594.5</v>
      </c>
      <c r="G61" s="87">
        <f>295.1+193+1170</f>
        <v>1658.1</v>
      </c>
      <c r="H61" s="87">
        <f>486+150.7+787.4</f>
        <v>1424.1</v>
      </c>
      <c r="I61" s="88">
        <f t="shared" si="22"/>
        <v>4971.799999999999</v>
      </c>
      <c r="J61" s="87">
        <v>3062</v>
      </c>
      <c r="K61" s="88">
        <f t="shared" si="23"/>
        <v>61.58735266905347</v>
      </c>
      <c r="L61" s="88">
        <f t="shared" si="24"/>
        <v>38.01837596225478</v>
      </c>
    </row>
    <row r="62" spans="1:12" ht="12.75">
      <c r="A62" s="89" t="s">
        <v>175</v>
      </c>
      <c r="B62" s="89"/>
      <c r="C62" s="85" t="s">
        <v>176</v>
      </c>
      <c r="D62" s="86">
        <f t="shared" si="21"/>
        <v>0</v>
      </c>
      <c r="E62" s="87"/>
      <c r="F62" s="87"/>
      <c r="G62" s="87"/>
      <c r="H62" s="87"/>
      <c r="I62" s="88">
        <f t="shared" si="22"/>
        <v>0</v>
      </c>
      <c r="J62" s="87">
        <v>3.6</v>
      </c>
      <c r="K62" s="88"/>
      <c r="L62" s="88"/>
    </row>
    <row r="63" spans="1:12" ht="24">
      <c r="A63" s="90" t="s">
        <v>179</v>
      </c>
      <c r="B63" s="91"/>
      <c r="C63" s="85" t="s">
        <v>180</v>
      </c>
      <c r="D63" s="86">
        <f t="shared" si="21"/>
        <v>6623.5</v>
      </c>
      <c r="E63" s="87">
        <f>933.3+8</f>
        <v>941.3</v>
      </c>
      <c r="F63" s="87">
        <f>1670+32.5</f>
        <v>1702.5</v>
      </c>
      <c r="G63" s="87">
        <f>890+9.5</f>
        <v>899.5</v>
      </c>
      <c r="H63" s="87">
        <f>3060.2+20</f>
        <v>3080.2</v>
      </c>
      <c r="I63" s="88">
        <f t="shared" si="22"/>
        <v>2643.8</v>
      </c>
      <c r="J63" s="87">
        <v>944</v>
      </c>
      <c r="K63" s="88">
        <f t="shared" si="23"/>
        <v>35.706180497768365</v>
      </c>
      <c r="L63" s="88">
        <f t="shared" si="24"/>
        <v>14.25228353589492</v>
      </c>
    </row>
    <row r="64" spans="1:12" ht="12.75">
      <c r="A64" s="92" t="s">
        <v>185</v>
      </c>
      <c r="B64" s="92"/>
      <c r="C64" s="85" t="s">
        <v>186</v>
      </c>
      <c r="D64" s="86">
        <f t="shared" si="21"/>
        <v>436.5</v>
      </c>
      <c r="E64" s="87">
        <v>51.4</v>
      </c>
      <c r="F64" s="87">
        <f>69.5+2.1</f>
        <v>71.6</v>
      </c>
      <c r="G64" s="87">
        <f>259+2.1</f>
        <v>261.1</v>
      </c>
      <c r="H64" s="87">
        <f>49.6+2.8</f>
        <v>52.4</v>
      </c>
      <c r="I64" s="88">
        <f t="shared" si="22"/>
        <v>123</v>
      </c>
      <c r="J64" s="87">
        <v>103.1</v>
      </c>
      <c r="K64" s="88">
        <f t="shared" si="23"/>
        <v>83.8211382113821</v>
      </c>
      <c r="L64" s="88">
        <f t="shared" si="24"/>
        <v>23.619702176403205</v>
      </c>
    </row>
    <row r="65" spans="1:12" ht="12.75">
      <c r="A65" s="84" t="s">
        <v>189</v>
      </c>
      <c r="B65" s="84"/>
      <c r="C65" s="85" t="s">
        <v>190</v>
      </c>
      <c r="D65" s="86">
        <f t="shared" si="21"/>
        <v>0</v>
      </c>
      <c r="E65" s="87"/>
      <c r="F65" s="87"/>
      <c r="G65" s="87"/>
      <c r="H65" s="87"/>
      <c r="I65" s="88">
        <f t="shared" si="22"/>
        <v>0</v>
      </c>
      <c r="J65" s="87">
        <v>380.8</v>
      </c>
      <c r="K65" s="88"/>
      <c r="L65" s="88"/>
    </row>
    <row r="66" spans="1:12" ht="12.75">
      <c r="A66" s="94" t="s">
        <v>191</v>
      </c>
      <c r="B66" s="95"/>
      <c r="C66" s="96" t="s">
        <v>192</v>
      </c>
      <c r="D66" s="86">
        <f t="shared" si="21"/>
        <v>0</v>
      </c>
      <c r="E66" s="87"/>
      <c r="F66" s="87"/>
      <c r="G66" s="87"/>
      <c r="H66" s="87"/>
      <c r="I66" s="88">
        <f t="shared" si="22"/>
        <v>0</v>
      </c>
      <c r="J66" s="87">
        <v>0.3</v>
      </c>
      <c r="K66" s="88"/>
      <c r="L66" s="88"/>
    </row>
    <row r="67" spans="1:12" ht="12.75">
      <c r="A67" s="81" t="s">
        <v>197</v>
      </c>
      <c r="B67" s="81"/>
      <c r="C67" s="97" t="s">
        <v>198</v>
      </c>
      <c r="D67" s="98">
        <f>D68+D69</f>
        <v>45108</v>
      </c>
      <c r="E67" s="98">
        <f aca="true" t="shared" si="25" ref="E67:J67">E68+E69</f>
        <v>7993.5</v>
      </c>
      <c r="F67" s="98">
        <f t="shared" si="25"/>
        <v>23797.6</v>
      </c>
      <c r="G67" s="98">
        <f t="shared" si="25"/>
        <v>7004.699999999999</v>
      </c>
      <c r="H67" s="98">
        <f t="shared" si="25"/>
        <v>6312.200000000001</v>
      </c>
      <c r="I67" s="98">
        <f t="shared" si="25"/>
        <v>31791.1</v>
      </c>
      <c r="J67" s="98">
        <f t="shared" si="25"/>
        <v>12745</v>
      </c>
      <c r="K67" s="83">
        <f t="shared" si="23"/>
        <v>40.08983646366436</v>
      </c>
      <c r="L67" s="83">
        <f t="shared" si="24"/>
        <v>28.254411634299903</v>
      </c>
    </row>
    <row r="68" spans="1:12" ht="24">
      <c r="A68" s="99" t="s">
        <v>229</v>
      </c>
      <c r="B68" s="89"/>
      <c r="C68" s="100" t="s">
        <v>199</v>
      </c>
      <c r="D68" s="86">
        <f>E68+F68+G68+H68</f>
        <v>45108</v>
      </c>
      <c r="E68" s="87">
        <v>7993.5</v>
      </c>
      <c r="F68" s="87">
        <v>23797.6</v>
      </c>
      <c r="G68" s="87">
        <f>3032.6+2279.7+70.5+211.9+1410</f>
        <v>7004.699999999999</v>
      </c>
      <c r="H68" s="87">
        <f>2583.3+1942+70.5+212.3+1504.1</f>
        <v>6312.200000000001</v>
      </c>
      <c r="I68" s="88">
        <f t="shared" si="22"/>
        <v>31791.1</v>
      </c>
      <c r="J68" s="87">
        <v>12764.7</v>
      </c>
      <c r="K68" s="88">
        <f t="shared" si="23"/>
        <v>40.15180349217234</v>
      </c>
      <c r="L68" s="88">
        <f t="shared" si="24"/>
        <v>28.298084596967282</v>
      </c>
    </row>
    <row r="69" spans="1:12" ht="24">
      <c r="A69" s="99" t="s">
        <v>230</v>
      </c>
      <c r="B69" s="123"/>
      <c r="C69" s="124" t="s">
        <v>203</v>
      </c>
      <c r="D69" s="86"/>
      <c r="E69" s="87"/>
      <c r="F69" s="87"/>
      <c r="G69" s="87"/>
      <c r="H69" s="87"/>
      <c r="I69" s="88"/>
      <c r="J69" s="87">
        <v>-19.7</v>
      </c>
      <c r="K69" s="88"/>
      <c r="L69" s="88"/>
    </row>
    <row r="70" spans="1:12" ht="12.75">
      <c r="A70" s="84"/>
      <c r="B70" s="111"/>
      <c r="C70" s="112" t="s">
        <v>204</v>
      </c>
      <c r="D70" s="113">
        <f>D67+D58</f>
        <v>78272.2</v>
      </c>
      <c r="E70" s="113">
        <f aca="true" t="shared" si="26" ref="E70:K70">E67+E58</f>
        <v>14448.9</v>
      </c>
      <c r="F70" s="113">
        <f t="shared" si="26"/>
        <v>32966.4</v>
      </c>
      <c r="G70" s="113">
        <f t="shared" si="26"/>
        <v>13442.4</v>
      </c>
      <c r="H70" s="113">
        <f t="shared" si="26"/>
        <v>17414.5</v>
      </c>
      <c r="I70" s="113">
        <f t="shared" si="26"/>
        <v>47415.3</v>
      </c>
      <c r="J70" s="113">
        <f t="shared" si="26"/>
        <v>23417.3</v>
      </c>
      <c r="K70" s="113">
        <f t="shared" si="26"/>
        <v>108.396053741989</v>
      </c>
      <c r="L70" s="83">
        <f t="shared" si="24"/>
        <v>29.917774126701435</v>
      </c>
    </row>
    <row r="71" spans="1:12" ht="12.75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1"/>
    </row>
    <row r="72" spans="1:12" ht="12.75">
      <c r="A72" s="146" t="s">
        <v>208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8"/>
    </row>
    <row r="73" spans="1:12" ht="12.75">
      <c r="A73" s="81" t="s">
        <v>168</v>
      </c>
      <c r="B73" s="81"/>
      <c r="C73" s="82" t="s">
        <v>237</v>
      </c>
      <c r="D73" s="83">
        <f>D74+D75+D76+D77+D78+D79+D80+D81+D82</f>
        <v>22061</v>
      </c>
      <c r="E73" s="83">
        <f aca="true" t="shared" si="27" ref="E73:J73">E74+E75+E76+E77+E78+E79+E80+E81+E82+E83</f>
        <v>4614.8</v>
      </c>
      <c r="F73" s="83">
        <f t="shared" si="27"/>
        <v>5599</v>
      </c>
      <c r="G73" s="83">
        <f t="shared" si="27"/>
        <v>5824</v>
      </c>
      <c r="H73" s="83">
        <f t="shared" si="27"/>
        <v>6023.2</v>
      </c>
      <c r="I73" s="83">
        <f t="shared" si="27"/>
        <v>10213.8</v>
      </c>
      <c r="J73" s="83">
        <f t="shared" si="27"/>
        <v>8716.2</v>
      </c>
      <c r="K73" s="83">
        <f>J73/I73*100</f>
        <v>85.33748457968632</v>
      </c>
      <c r="L73" s="83">
        <f>J73/D73*100</f>
        <v>39.509541725216444</v>
      </c>
    </row>
    <row r="74" spans="1:12" ht="12.75">
      <c r="A74" s="84" t="s">
        <v>169</v>
      </c>
      <c r="B74" s="84"/>
      <c r="C74" s="85" t="s">
        <v>170</v>
      </c>
      <c r="D74" s="86">
        <f>E74+F74+G74+H74</f>
        <v>14559</v>
      </c>
      <c r="E74" s="87">
        <v>2959</v>
      </c>
      <c r="F74" s="87">
        <v>3400</v>
      </c>
      <c r="G74" s="87">
        <v>4000</v>
      </c>
      <c r="H74" s="87">
        <v>4200</v>
      </c>
      <c r="I74" s="88">
        <f aca="true" t="shared" si="28" ref="I74:I82">E74+F74</f>
        <v>6359</v>
      </c>
      <c r="J74" s="87">
        <v>5908.9</v>
      </c>
      <c r="K74" s="88">
        <f>J74/I74*100</f>
        <v>92.92184305708444</v>
      </c>
      <c r="L74" s="88">
        <f>J74/D74*100</f>
        <v>40.585891888179134</v>
      </c>
    </row>
    <row r="75" spans="1:12" ht="12.75">
      <c r="A75" s="89" t="s">
        <v>171</v>
      </c>
      <c r="B75" s="89"/>
      <c r="C75" s="85" t="s">
        <v>172</v>
      </c>
      <c r="D75" s="86">
        <f>E75+F75+G75+H75</f>
        <v>0</v>
      </c>
      <c r="E75" s="87"/>
      <c r="F75" s="87"/>
      <c r="G75" s="87"/>
      <c r="H75" s="87"/>
      <c r="I75" s="88">
        <f t="shared" si="28"/>
        <v>0</v>
      </c>
      <c r="J75" s="87"/>
      <c r="K75" s="88"/>
      <c r="L75" s="88"/>
    </row>
    <row r="76" spans="1:12" ht="12.75">
      <c r="A76" s="89" t="s">
        <v>173</v>
      </c>
      <c r="B76" s="89"/>
      <c r="C76" s="85" t="s">
        <v>174</v>
      </c>
      <c r="D76" s="86">
        <f aca="true" t="shared" si="29" ref="D76:D85">E76+F76+G76+H76</f>
        <v>873</v>
      </c>
      <c r="E76" s="87">
        <f>26+6+111</f>
        <v>143</v>
      </c>
      <c r="F76" s="87">
        <f>69+6+175</f>
        <v>250</v>
      </c>
      <c r="G76" s="87">
        <f>68+10+140</f>
        <v>218</v>
      </c>
      <c r="H76" s="87">
        <f>121+8+133</f>
        <v>262</v>
      </c>
      <c r="I76" s="88">
        <f t="shared" si="28"/>
        <v>393</v>
      </c>
      <c r="J76" s="87">
        <v>476.9</v>
      </c>
      <c r="K76" s="88">
        <f>J76/I76*100</f>
        <v>121.34860050890586</v>
      </c>
      <c r="L76" s="88">
        <f>J76/D76*100</f>
        <v>54.62772050400916</v>
      </c>
    </row>
    <row r="77" spans="1:12" ht="12.75">
      <c r="A77" s="89" t="s">
        <v>175</v>
      </c>
      <c r="B77" s="89"/>
      <c r="C77" s="85" t="s">
        <v>176</v>
      </c>
      <c r="D77" s="86">
        <f t="shared" si="29"/>
        <v>0</v>
      </c>
      <c r="E77" s="87"/>
      <c r="F77" s="87"/>
      <c r="G77" s="87"/>
      <c r="H77" s="87"/>
      <c r="I77" s="88">
        <f t="shared" si="28"/>
        <v>0</v>
      </c>
      <c r="J77" s="87"/>
      <c r="K77" s="88"/>
      <c r="L77" s="88"/>
    </row>
    <row r="78" spans="1:12" ht="24">
      <c r="A78" s="90" t="s">
        <v>179</v>
      </c>
      <c r="B78" s="91"/>
      <c r="C78" s="85" t="s">
        <v>180</v>
      </c>
      <c r="D78" s="86">
        <f t="shared" si="29"/>
        <v>5527</v>
      </c>
      <c r="E78" s="87">
        <f>760+396</f>
        <v>1156</v>
      </c>
      <c r="F78" s="87">
        <f>1160+503</f>
        <v>1663</v>
      </c>
      <c r="G78" s="87">
        <f>910+474</f>
        <v>1384</v>
      </c>
      <c r="H78" s="87">
        <f>870+454</f>
        <v>1324</v>
      </c>
      <c r="I78" s="88">
        <f t="shared" si="28"/>
        <v>2819</v>
      </c>
      <c r="J78" s="87">
        <v>1558.8</v>
      </c>
      <c r="K78" s="88">
        <f>J78/I78*100</f>
        <v>55.29620432777581</v>
      </c>
      <c r="L78" s="88">
        <f>J78/D78*100</f>
        <v>28.20336529762982</v>
      </c>
    </row>
    <row r="79" spans="1:12" ht="12.75">
      <c r="A79" s="93" t="s">
        <v>183</v>
      </c>
      <c r="B79" s="93"/>
      <c r="C79" s="85" t="s">
        <v>184</v>
      </c>
      <c r="D79" s="86">
        <f t="shared" si="29"/>
        <v>466</v>
      </c>
      <c r="E79" s="87">
        <v>98.8</v>
      </c>
      <c r="F79" s="87">
        <v>102</v>
      </c>
      <c r="G79" s="87">
        <v>62</v>
      </c>
      <c r="H79" s="87">
        <v>203.2</v>
      </c>
      <c r="I79" s="88">
        <f t="shared" si="28"/>
        <v>200.8</v>
      </c>
      <c r="J79" s="87">
        <v>171.5</v>
      </c>
      <c r="K79" s="88">
        <f>J79/I79*100</f>
        <v>85.40836653386454</v>
      </c>
      <c r="L79" s="88">
        <f>J79/D79*100</f>
        <v>36.802575107296136</v>
      </c>
    </row>
    <row r="80" spans="1:12" ht="12.75">
      <c r="A80" s="92" t="s">
        <v>185</v>
      </c>
      <c r="B80" s="92"/>
      <c r="C80" s="85" t="s">
        <v>186</v>
      </c>
      <c r="D80" s="86">
        <f t="shared" si="29"/>
        <v>636</v>
      </c>
      <c r="E80" s="87">
        <f>34+224</f>
        <v>258</v>
      </c>
      <c r="F80" s="87">
        <f>34+150</f>
        <v>184</v>
      </c>
      <c r="G80" s="87">
        <f>34+126</f>
        <v>160</v>
      </c>
      <c r="H80" s="87">
        <v>34</v>
      </c>
      <c r="I80" s="88">
        <f t="shared" si="28"/>
        <v>442</v>
      </c>
      <c r="J80" s="87">
        <v>416.9</v>
      </c>
      <c r="K80" s="88">
        <f>J80/I80*100</f>
        <v>94.32126696832579</v>
      </c>
      <c r="L80" s="88">
        <f>J80/D80*100</f>
        <v>65.5503144654088</v>
      </c>
    </row>
    <row r="81" spans="1:12" ht="12.75">
      <c r="A81" s="84" t="s">
        <v>189</v>
      </c>
      <c r="B81" s="84"/>
      <c r="C81" s="85" t="s">
        <v>190</v>
      </c>
      <c r="D81" s="86">
        <f t="shared" si="29"/>
        <v>0</v>
      </c>
      <c r="E81" s="87"/>
      <c r="F81" s="87"/>
      <c r="G81" s="87"/>
      <c r="H81" s="87"/>
      <c r="I81" s="88">
        <f t="shared" si="28"/>
        <v>0</v>
      </c>
      <c r="J81" s="87"/>
      <c r="K81" s="83"/>
      <c r="L81" s="83"/>
    </row>
    <row r="82" spans="1:12" ht="12.75">
      <c r="A82" s="94" t="s">
        <v>191</v>
      </c>
      <c r="B82" s="95"/>
      <c r="C82" s="96" t="s">
        <v>192</v>
      </c>
      <c r="D82" s="86">
        <f t="shared" si="29"/>
        <v>0</v>
      </c>
      <c r="E82" s="87"/>
      <c r="F82" s="87"/>
      <c r="G82" s="87"/>
      <c r="H82" s="87"/>
      <c r="I82" s="88">
        <f t="shared" si="28"/>
        <v>0</v>
      </c>
      <c r="J82" s="87">
        <v>183.2</v>
      </c>
      <c r="K82" s="83"/>
      <c r="L82" s="83"/>
    </row>
    <row r="83" spans="1:12" ht="12.75">
      <c r="A83" s="94" t="s">
        <v>195</v>
      </c>
      <c r="B83" s="95"/>
      <c r="C83" s="96" t="s">
        <v>196</v>
      </c>
      <c r="D83" s="86">
        <f t="shared" si="29"/>
        <v>0</v>
      </c>
      <c r="E83" s="87"/>
      <c r="F83" s="87"/>
      <c r="G83" s="87"/>
      <c r="H83" s="87"/>
      <c r="I83" s="83">
        <f>E83</f>
        <v>0</v>
      </c>
      <c r="J83" s="87"/>
      <c r="K83" s="83"/>
      <c r="L83" s="83"/>
    </row>
    <row r="84" spans="1:12" ht="12.75">
      <c r="A84" s="81" t="s">
        <v>197</v>
      </c>
      <c r="B84" s="81"/>
      <c r="C84" s="97" t="s">
        <v>198</v>
      </c>
      <c r="D84" s="98">
        <f aca="true" t="shared" si="30" ref="D84:J84">D85+D86</f>
        <v>84917.2</v>
      </c>
      <c r="E84" s="98">
        <f t="shared" si="30"/>
        <v>17986.1</v>
      </c>
      <c r="F84" s="98">
        <f t="shared" si="30"/>
        <v>28310.199999999997</v>
      </c>
      <c r="G84" s="98">
        <f t="shared" si="30"/>
        <v>27439.6</v>
      </c>
      <c r="H84" s="98">
        <f t="shared" si="30"/>
        <v>11181.3</v>
      </c>
      <c r="I84" s="98">
        <f t="shared" si="30"/>
        <v>46296.299999999996</v>
      </c>
      <c r="J84" s="98">
        <f t="shared" si="30"/>
        <v>28457.5</v>
      </c>
      <c r="K84" s="83">
        <f>J84/I84*100</f>
        <v>61.4681950825444</v>
      </c>
      <c r="L84" s="83">
        <f>J84/D84*100</f>
        <v>33.51205645028333</v>
      </c>
    </row>
    <row r="85" spans="1:12" ht="24">
      <c r="A85" s="99" t="s">
        <v>229</v>
      </c>
      <c r="B85" s="89"/>
      <c r="C85" s="100" t="s">
        <v>199</v>
      </c>
      <c r="D85" s="86">
        <f t="shared" si="29"/>
        <v>79897.2</v>
      </c>
      <c r="E85" s="87">
        <v>17986.1</v>
      </c>
      <c r="F85" s="87">
        <f>23023.6+266.6</f>
        <v>23290.199999999997</v>
      </c>
      <c r="G85" s="87">
        <v>27439.6</v>
      </c>
      <c r="H85" s="87">
        <v>11181.3</v>
      </c>
      <c r="I85" s="88">
        <f>E85+F85</f>
        <v>41276.299999999996</v>
      </c>
      <c r="J85" s="87">
        <v>23439.1</v>
      </c>
      <c r="K85" s="88">
        <f>J85/I85*100</f>
        <v>56.78585532133452</v>
      </c>
      <c r="L85" s="88">
        <f>J85/D85*100</f>
        <v>29.33657249565692</v>
      </c>
    </row>
    <row r="86" spans="1:12" ht="12.75">
      <c r="A86" s="101" t="s">
        <v>200</v>
      </c>
      <c r="B86" s="101"/>
      <c r="C86" s="102" t="s">
        <v>201</v>
      </c>
      <c r="D86" s="86">
        <f>E86+F86+G86+H86</f>
        <v>5020</v>
      </c>
      <c r="E86" s="87"/>
      <c r="F86" s="87">
        <f>5020</f>
        <v>5020</v>
      </c>
      <c r="G86" s="87"/>
      <c r="H86" s="87"/>
      <c r="I86" s="88">
        <f>E86+F86</f>
        <v>5020</v>
      </c>
      <c r="J86" s="87">
        <v>5018.4</v>
      </c>
      <c r="K86" s="83"/>
      <c r="L86" s="83"/>
    </row>
    <row r="87" spans="1:12" ht="12.75">
      <c r="A87" s="84"/>
      <c r="B87" s="111"/>
      <c r="C87" s="112" t="s">
        <v>204</v>
      </c>
      <c r="D87" s="113">
        <f aca="true" t="shared" si="31" ref="D87:J87">D84+D73</f>
        <v>106978.2</v>
      </c>
      <c r="E87" s="113">
        <f t="shared" si="31"/>
        <v>22600.899999999998</v>
      </c>
      <c r="F87" s="113">
        <f t="shared" si="31"/>
        <v>33909.2</v>
      </c>
      <c r="G87" s="113">
        <f t="shared" si="31"/>
        <v>33263.6</v>
      </c>
      <c r="H87" s="113">
        <f t="shared" si="31"/>
        <v>17204.5</v>
      </c>
      <c r="I87" s="113">
        <f t="shared" si="31"/>
        <v>56510.09999999999</v>
      </c>
      <c r="J87" s="113">
        <f t="shared" si="31"/>
        <v>37173.7</v>
      </c>
      <c r="K87" s="83">
        <f>J87/I87*100</f>
        <v>65.78239996036108</v>
      </c>
      <c r="L87" s="83">
        <f>J87/D87*100</f>
        <v>34.748855374272516</v>
      </c>
    </row>
    <row r="88" spans="1:12" ht="12.75">
      <c r="A88" s="149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1"/>
    </row>
    <row r="89" spans="1:12" ht="12.75">
      <c r="A89" s="146" t="s">
        <v>209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8"/>
    </row>
    <row r="90" spans="1:12" ht="12.75">
      <c r="A90" s="114" t="s">
        <v>168</v>
      </c>
      <c r="B90" s="114"/>
      <c r="C90" s="115" t="s">
        <v>237</v>
      </c>
      <c r="D90" s="116">
        <f>D91+D92+D96+D93+D94+D97+D95</f>
        <v>1451.5</v>
      </c>
      <c r="E90" s="116">
        <f aca="true" t="shared" si="32" ref="E90:J90">E91+E92+E96+E93+E94+E97+E95</f>
        <v>361.20000000000005</v>
      </c>
      <c r="F90" s="116">
        <f t="shared" si="32"/>
        <v>363.40000000000003</v>
      </c>
      <c r="G90" s="116">
        <f t="shared" si="32"/>
        <v>363.40000000000003</v>
      </c>
      <c r="H90" s="116">
        <f t="shared" si="32"/>
        <v>363.5</v>
      </c>
      <c r="I90" s="116">
        <f t="shared" si="32"/>
        <v>724.6</v>
      </c>
      <c r="J90" s="116">
        <f t="shared" si="32"/>
        <v>1067.3000000000002</v>
      </c>
      <c r="K90" s="83">
        <f>J90/I90*100</f>
        <v>147.29505934308585</v>
      </c>
      <c r="L90" s="83">
        <f>J90/D90*100</f>
        <v>73.53083017568034</v>
      </c>
    </row>
    <row r="91" spans="1:12" ht="12.75">
      <c r="A91" s="84" t="s">
        <v>169</v>
      </c>
      <c r="B91" s="84"/>
      <c r="C91" s="85" t="s">
        <v>170</v>
      </c>
      <c r="D91" s="86">
        <f aca="true" t="shared" si="33" ref="D91:D97">E91+F91+G91+H91</f>
        <v>1294.5</v>
      </c>
      <c r="E91" s="87">
        <v>323.6</v>
      </c>
      <c r="F91" s="87">
        <v>323.6</v>
      </c>
      <c r="G91" s="87">
        <v>323.6</v>
      </c>
      <c r="H91" s="87">
        <v>323.7</v>
      </c>
      <c r="I91" s="88">
        <f aca="true" t="shared" si="34" ref="I91:I100">E91+F91</f>
        <v>647.2</v>
      </c>
      <c r="J91" s="87">
        <v>942.7</v>
      </c>
      <c r="K91" s="88">
        <f>J91/I91*100</f>
        <v>145.65822002472189</v>
      </c>
      <c r="L91" s="88">
        <f aca="true" t="shared" si="35" ref="L91:L101">J91/D91*100</f>
        <v>72.82348397064504</v>
      </c>
    </row>
    <row r="92" spans="1:12" ht="12.75">
      <c r="A92" s="89" t="s">
        <v>173</v>
      </c>
      <c r="B92" s="89"/>
      <c r="C92" s="85" t="s">
        <v>174</v>
      </c>
      <c r="D92" s="86">
        <f t="shared" si="33"/>
        <v>86</v>
      </c>
      <c r="E92" s="87">
        <v>21.5</v>
      </c>
      <c r="F92" s="87">
        <v>21.5</v>
      </c>
      <c r="G92" s="87">
        <v>21.5</v>
      </c>
      <c r="H92" s="87">
        <v>21.5</v>
      </c>
      <c r="I92" s="88">
        <f t="shared" si="34"/>
        <v>43</v>
      </c>
      <c r="J92" s="87">
        <v>9.1</v>
      </c>
      <c r="K92" s="88">
        <f>J92/I92*100</f>
        <v>21.16279069767442</v>
      </c>
      <c r="L92" s="88">
        <f t="shared" si="35"/>
        <v>10.58139534883721</v>
      </c>
    </row>
    <row r="93" spans="1:12" ht="12.75">
      <c r="A93" s="89" t="s">
        <v>175</v>
      </c>
      <c r="B93" s="89"/>
      <c r="C93" s="85" t="s">
        <v>176</v>
      </c>
      <c r="D93" s="86">
        <f t="shared" si="33"/>
        <v>10</v>
      </c>
      <c r="E93" s="87">
        <v>1</v>
      </c>
      <c r="F93" s="87">
        <v>3</v>
      </c>
      <c r="G93" s="87">
        <v>3</v>
      </c>
      <c r="H93" s="87">
        <v>3</v>
      </c>
      <c r="I93" s="88">
        <f t="shared" si="34"/>
        <v>4</v>
      </c>
      <c r="J93" s="87"/>
      <c r="K93" s="88">
        <f>J93/I93*100</f>
        <v>0</v>
      </c>
      <c r="L93" s="88">
        <f t="shared" si="35"/>
        <v>0</v>
      </c>
    </row>
    <row r="94" spans="1:12" ht="24">
      <c r="A94" s="90" t="s">
        <v>179</v>
      </c>
      <c r="B94" s="91"/>
      <c r="C94" s="85" t="s">
        <v>180</v>
      </c>
      <c r="D94" s="86">
        <f t="shared" si="33"/>
        <v>60</v>
      </c>
      <c r="E94" s="87">
        <v>15</v>
      </c>
      <c r="F94" s="87">
        <v>15</v>
      </c>
      <c r="G94" s="87">
        <v>15</v>
      </c>
      <c r="H94" s="87">
        <v>15</v>
      </c>
      <c r="I94" s="88">
        <f t="shared" si="34"/>
        <v>30</v>
      </c>
      <c r="J94" s="87">
        <v>87.6</v>
      </c>
      <c r="K94" s="88">
        <f>J94/I94*100</f>
        <v>292</v>
      </c>
      <c r="L94" s="88">
        <f t="shared" si="35"/>
        <v>146</v>
      </c>
    </row>
    <row r="95" spans="1:12" ht="12.75">
      <c r="A95" s="93" t="s">
        <v>183</v>
      </c>
      <c r="B95" s="93"/>
      <c r="C95" s="85" t="s">
        <v>184</v>
      </c>
      <c r="D95" s="86">
        <f t="shared" si="33"/>
        <v>0</v>
      </c>
      <c r="E95" s="87"/>
      <c r="F95" s="87"/>
      <c r="G95" s="87"/>
      <c r="H95" s="87"/>
      <c r="I95" s="88">
        <f t="shared" si="34"/>
        <v>0</v>
      </c>
      <c r="J95" s="87">
        <v>20.7</v>
      </c>
      <c r="K95" s="88"/>
      <c r="L95" s="88"/>
    </row>
    <row r="96" spans="1:12" ht="12.75">
      <c r="A96" s="93" t="s">
        <v>185</v>
      </c>
      <c r="B96" s="93"/>
      <c r="C96" s="85" t="s">
        <v>186</v>
      </c>
      <c r="D96" s="86">
        <f t="shared" si="33"/>
        <v>1</v>
      </c>
      <c r="E96" s="87">
        <v>0.1</v>
      </c>
      <c r="F96" s="87">
        <v>0.3</v>
      </c>
      <c r="G96" s="87">
        <v>0.3</v>
      </c>
      <c r="H96" s="87">
        <v>0.3</v>
      </c>
      <c r="I96" s="88">
        <f t="shared" si="34"/>
        <v>0.4</v>
      </c>
      <c r="J96" s="87">
        <v>7.2</v>
      </c>
      <c r="K96" s="88">
        <f>J96/I96*100</f>
        <v>1800</v>
      </c>
      <c r="L96" s="88">
        <f t="shared" si="35"/>
        <v>720</v>
      </c>
    </row>
    <row r="97" spans="1:12" ht="12.75">
      <c r="A97" s="93" t="s">
        <v>191</v>
      </c>
      <c r="B97" s="129"/>
      <c r="C97" s="96" t="s">
        <v>192</v>
      </c>
      <c r="D97" s="86">
        <f t="shared" si="33"/>
        <v>0</v>
      </c>
      <c r="E97" s="87"/>
      <c r="F97" s="87"/>
      <c r="G97" s="87"/>
      <c r="H97" s="87"/>
      <c r="I97" s="88">
        <f t="shared" si="34"/>
        <v>0</v>
      </c>
      <c r="J97" s="87"/>
      <c r="K97" s="83"/>
      <c r="L97" s="83"/>
    </row>
    <row r="98" spans="1:12" ht="12.75">
      <c r="A98" s="114" t="s">
        <v>197</v>
      </c>
      <c r="B98" s="114"/>
      <c r="C98" s="97" t="s">
        <v>198</v>
      </c>
      <c r="D98" s="98">
        <f>D99+D100</f>
        <v>33277.3</v>
      </c>
      <c r="E98" s="98">
        <f aca="true" t="shared" si="36" ref="E98:K98">E99+E100</f>
        <v>12354.000000000002</v>
      </c>
      <c r="F98" s="98">
        <f t="shared" si="36"/>
        <v>9550.6</v>
      </c>
      <c r="G98" s="98">
        <f t="shared" si="36"/>
        <v>5686.3</v>
      </c>
      <c r="H98" s="98">
        <f t="shared" si="36"/>
        <v>5686.4</v>
      </c>
      <c r="I98" s="98">
        <f t="shared" si="36"/>
        <v>21904.600000000002</v>
      </c>
      <c r="J98" s="98">
        <f t="shared" si="36"/>
        <v>15374.7</v>
      </c>
      <c r="K98" s="98">
        <f t="shared" si="36"/>
        <v>165.45867143446569</v>
      </c>
      <c r="L98" s="83">
        <f t="shared" si="35"/>
        <v>46.20176516724614</v>
      </c>
    </row>
    <row r="99" spans="1:12" ht="24">
      <c r="A99" s="99" t="s">
        <v>229</v>
      </c>
      <c r="B99" s="89"/>
      <c r="C99" s="100" t="s">
        <v>199</v>
      </c>
      <c r="D99" s="86">
        <f>E99+F99+G99+H99</f>
        <v>30277.300000000003</v>
      </c>
      <c r="E99" s="87">
        <f>3618.8+1550.7+3641.6+15+144+8.2+15+360.7</f>
        <v>9354.000000000002</v>
      </c>
      <c r="F99" s="87">
        <f>2067.5+3618.8+119.2+250+298.7+3196.4</f>
        <v>9550.6</v>
      </c>
      <c r="G99" s="87">
        <f>2067.5+3618.8</f>
        <v>5686.3</v>
      </c>
      <c r="H99" s="87">
        <f>2067.5+3618.9</f>
        <v>5686.4</v>
      </c>
      <c r="I99" s="88">
        <f t="shared" si="34"/>
        <v>18904.600000000002</v>
      </c>
      <c r="J99" s="87">
        <v>12374.7</v>
      </c>
      <c r="K99" s="88">
        <f>J99/I99*100</f>
        <v>65.45867143446569</v>
      </c>
      <c r="L99" s="88">
        <f t="shared" si="35"/>
        <v>40.871213747593075</v>
      </c>
    </row>
    <row r="100" spans="1:12" ht="12.75">
      <c r="A100" s="101" t="s">
        <v>200</v>
      </c>
      <c r="B100" s="101"/>
      <c r="C100" s="102" t="s">
        <v>201</v>
      </c>
      <c r="D100" s="86">
        <f>E100+F100+G100+H100</f>
        <v>3000</v>
      </c>
      <c r="E100" s="87">
        <v>3000</v>
      </c>
      <c r="F100" s="87"/>
      <c r="G100" s="87"/>
      <c r="H100" s="87"/>
      <c r="I100" s="88">
        <f t="shared" si="34"/>
        <v>3000</v>
      </c>
      <c r="J100" s="87">
        <v>3000</v>
      </c>
      <c r="K100" s="88">
        <f>J100/I100*100</f>
        <v>100</v>
      </c>
      <c r="L100" s="88">
        <f>J100/D100*100</f>
        <v>100</v>
      </c>
    </row>
    <row r="101" spans="1:12" ht="12.75">
      <c r="A101" s="84"/>
      <c r="B101" s="111"/>
      <c r="C101" s="112" t="s">
        <v>204</v>
      </c>
      <c r="D101" s="113">
        <f>D98+D90</f>
        <v>34728.8</v>
      </c>
      <c r="E101" s="113">
        <f aca="true" t="shared" si="37" ref="E101:K101">E98+E90</f>
        <v>12715.200000000003</v>
      </c>
      <c r="F101" s="113">
        <f t="shared" si="37"/>
        <v>9914</v>
      </c>
      <c r="G101" s="113">
        <f t="shared" si="37"/>
        <v>6049.7</v>
      </c>
      <c r="H101" s="113">
        <f t="shared" si="37"/>
        <v>6049.9</v>
      </c>
      <c r="I101" s="113">
        <f t="shared" si="37"/>
        <v>22629.2</v>
      </c>
      <c r="J101" s="113">
        <f t="shared" si="37"/>
        <v>16442</v>
      </c>
      <c r="K101" s="113">
        <f t="shared" si="37"/>
        <v>312.75373077755154</v>
      </c>
      <c r="L101" s="83">
        <f t="shared" si="35"/>
        <v>47.343991154315724</v>
      </c>
    </row>
    <row r="102" spans="1:12" ht="12.75">
      <c r="A102" s="149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1"/>
    </row>
    <row r="103" spans="1:12" ht="12.75">
      <c r="A103" s="146" t="s">
        <v>210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8"/>
    </row>
    <row r="104" spans="1:12" ht="12.75">
      <c r="A104" s="81" t="s">
        <v>168</v>
      </c>
      <c r="B104" s="81"/>
      <c r="C104" s="82" t="s">
        <v>237</v>
      </c>
      <c r="D104" s="83">
        <f aca="true" t="shared" si="38" ref="D104:I104">D105+D106+D110+D107+D108+D111+D109+D112</f>
        <v>1186.8</v>
      </c>
      <c r="E104" s="83">
        <f t="shared" si="38"/>
        <v>165.7</v>
      </c>
      <c r="F104" s="83">
        <f t="shared" si="38"/>
        <v>302.1</v>
      </c>
      <c r="G104" s="83">
        <f t="shared" si="38"/>
        <v>311.9</v>
      </c>
      <c r="H104" s="83">
        <f t="shared" si="38"/>
        <v>407.1</v>
      </c>
      <c r="I104" s="83">
        <f t="shared" si="38"/>
        <v>467.8</v>
      </c>
      <c r="J104" s="83">
        <f>J105+J106+J110+J107+J108+J111+J109+J112</f>
        <v>596.7</v>
      </c>
      <c r="K104" s="83">
        <f>J104/I104*100</f>
        <v>127.5545104745618</v>
      </c>
      <c r="L104" s="83">
        <f>J104/D104*100</f>
        <v>50.27805864509606</v>
      </c>
    </row>
    <row r="105" spans="1:12" ht="12.75">
      <c r="A105" s="84" t="s">
        <v>169</v>
      </c>
      <c r="B105" s="84"/>
      <c r="C105" s="85" t="s">
        <v>170</v>
      </c>
      <c r="D105" s="86">
        <f aca="true" t="shared" si="39" ref="D105:D112">E105+F105+G105+H105</f>
        <v>844</v>
      </c>
      <c r="E105" s="87">
        <v>129.6</v>
      </c>
      <c r="F105" s="87">
        <v>223.6</v>
      </c>
      <c r="G105" s="87">
        <v>198.2</v>
      </c>
      <c r="H105" s="87">
        <v>292.6</v>
      </c>
      <c r="I105" s="88">
        <f aca="true" t="shared" si="40" ref="I105:I114">E105+F105</f>
        <v>353.2</v>
      </c>
      <c r="J105" s="87">
        <v>411.7</v>
      </c>
      <c r="K105" s="88">
        <f aca="true" t="shared" si="41" ref="K105:K115">J105/I105*100</f>
        <v>116.56285390713477</v>
      </c>
      <c r="L105" s="88">
        <f aca="true" t="shared" si="42" ref="L105:L115">J105/D105*100</f>
        <v>48.779620853080566</v>
      </c>
    </row>
    <row r="106" spans="1:12" ht="12.75">
      <c r="A106" s="89" t="s">
        <v>173</v>
      </c>
      <c r="B106" s="89"/>
      <c r="C106" s="85" t="s">
        <v>174</v>
      </c>
      <c r="D106" s="86">
        <f t="shared" si="39"/>
        <v>85</v>
      </c>
      <c r="E106" s="87">
        <f>0.4+3.8+6.6</f>
        <v>10.8</v>
      </c>
      <c r="F106" s="87">
        <f>2.1+6.1+14.2</f>
        <v>22.4</v>
      </c>
      <c r="G106" s="87">
        <f>3.6+12.5+14.1</f>
        <v>30.200000000000003</v>
      </c>
      <c r="H106" s="87">
        <f>7.7+2.8+11.1</f>
        <v>21.6</v>
      </c>
      <c r="I106" s="88">
        <f t="shared" si="40"/>
        <v>33.2</v>
      </c>
      <c r="J106" s="87">
        <v>15.7</v>
      </c>
      <c r="K106" s="88">
        <f t="shared" si="41"/>
        <v>47.28915662650602</v>
      </c>
      <c r="L106" s="88">
        <f t="shared" si="42"/>
        <v>18.470588235294116</v>
      </c>
    </row>
    <row r="107" spans="1:12" ht="12.75">
      <c r="A107" s="89" t="s">
        <v>175</v>
      </c>
      <c r="B107" s="89"/>
      <c r="C107" s="85" t="s">
        <v>176</v>
      </c>
      <c r="D107" s="86">
        <f t="shared" si="39"/>
        <v>31</v>
      </c>
      <c r="E107" s="87">
        <v>5.6</v>
      </c>
      <c r="F107" s="87">
        <v>2</v>
      </c>
      <c r="G107" s="87">
        <v>12.5</v>
      </c>
      <c r="H107" s="87">
        <v>10.9</v>
      </c>
      <c r="I107" s="88">
        <f t="shared" si="40"/>
        <v>7.6</v>
      </c>
      <c r="J107" s="87">
        <v>19.2</v>
      </c>
      <c r="K107" s="88">
        <f t="shared" si="41"/>
        <v>252.6315789473684</v>
      </c>
      <c r="L107" s="88">
        <f t="shared" si="42"/>
        <v>61.935483870967744</v>
      </c>
    </row>
    <row r="108" spans="1:12" ht="24">
      <c r="A108" s="90" t="s">
        <v>179</v>
      </c>
      <c r="B108" s="91"/>
      <c r="C108" s="85" t="s">
        <v>180</v>
      </c>
      <c r="D108" s="86">
        <f t="shared" si="39"/>
        <v>156</v>
      </c>
      <c r="E108" s="87">
        <f>2.2</f>
        <v>2.2</v>
      </c>
      <c r="F108" s="87">
        <f>35.8</f>
        <v>35.8</v>
      </c>
      <c r="G108" s="87">
        <f>53.1+0.4</f>
        <v>53.5</v>
      </c>
      <c r="H108" s="87">
        <f>55.6+8.9</f>
        <v>64.5</v>
      </c>
      <c r="I108" s="88">
        <f t="shared" si="40"/>
        <v>38</v>
      </c>
      <c r="J108" s="87">
        <v>73.8</v>
      </c>
      <c r="K108" s="88">
        <f t="shared" si="41"/>
        <v>194.21052631578945</v>
      </c>
      <c r="L108" s="88">
        <f t="shared" si="42"/>
        <v>47.30769230769231</v>
      </c>
    </row>
    <row r="109" spans="1:12" ht="12.75">
      <c r="A109" s="93" t="s">
        <v>183</v>
      </c>
      <c r="B109" s="93"/>
      <c r="C109" s="85" t="s">
        <v>184</v>
      </c>
      <c r="D109" s="86">
        <f t="shared" si="39"/>
        <v>70</v>
      </c>
      <c r="E109" s="87">
        <v>17.5</v>
      </c>
      <c r="F109" s="87">
        <v>17.5</v>
      </c>
      <c r="G109" s="87">
        <v>17.5</v>
      </c>
      <c r="H109" s="87">
        <v>17.5</v>
      </c>
      <c r="I109" s="88">
        <f t="shared" si="40"/>
        <v>35</v>
      </c>
      <c r="J109" s="87">
        <v>33.1</v>
      </c>
      <c r="K109" s="88">
        <f t="shared" si="41"/>
        <v>94.57142857142857</v>
      </c>
      <c r="L109" s="88">
        <f t="shared" si="42"/>
        <v>47.285714285714285</v>
      </c>
    </row>
    <row r="110" spans="1:12" ht="12.75">
      <c r="A110" s="92" t="s">
        <v>185</v>
      </c>
      <c r="B110" s="92"/>
      <c r="C110" s="85" t="s">
        <v>186</v>
      </c>
      <c r="D110" s="86">
        <f t="shared" si="39"/>
        <v>0.8</v>
      </c>
      <c r="E110" s="87"/>
      <c r="F110" s="87">
        <v>0.8</v>
      </c>
      <c r="G110" s="87"/>
      <c r="H110" s="87"/>
      <c r="I110" s="88">
        <f t="shared" si="40"/>
        <v>0.8</v>
      </c>
      <c r="J110" s="87">
        <v>4</v>
      </c>
      <c r="K110" s="88">
        <f t="shared" si="41"/>
        <v>500</v>
      </c>
      <c r="L110" s="88">
        <f t="shared" si="42"/>
        <v>500</v>
      </c>
    </row>
    <row r="111" spans="1:12" ht="12.75">
      <c r="A111" s="84" t="s">
        <v>189</v>
      </c>
      <c r="B111" s="84"/>
      <c r="C111" s="85" t="s">
        <v>190</v>
      </c>
      <c r="D111" s="86">
        <f t="shared" si="39"/>
        <v>0</v>
      </c>
      <c r="E111" s="87"/>
      <c r="F111" s="87"/>
      <c r="G111" s="87"/>
      <c r="H111" s="87"/>
      <c r="I111" s="88">
        <f t="shared" si="40"/>
        <v>0</v>
      </c>
      <c r="J111" s="87"/>
      <c r="K111" s="88"/>
      <c r="L111" s="88"/>
    </row>
    <row r="112" spans="1:12" ht="12.75">
      <c r="A112" s="92" t="s">
        <v>191</v>
      </c>
      <c r="B112" s="129"/>
      <c r="C112" s="96" t="s">
        <v>192</v>
      </c>
      <c r="D112" s="86">
        <f t="shared" si="39"/>
        <v>0</v>
      </c>
      <c r="E112" s="87"/>
      <c r="F112" s="87"/>
      <c r="G112" s="87"/>
      <c r="H112" s="87"/>
      <c r="I112" s="88">
        <f t="shared" si="40"/>
        <v>0</v>
      </c>
      <c r="J112" s="87">
        <v>39.2</v>
      </c>
      <c r="K112" s="88"/>
      <c r="L112" s="88"/>
    </row>
    <row r="113" spans="1:12" ht="12.75">
      <c r="A113" s="81" t="s">
        <v>197</v>
      </c>
      <c r="B113" s="81"/>
      <c r="C113" s="97" t="s">
        <v>198</v>
      </c>
      <c r="D113" s="98">
        <f>D114</f>
        <v>36000.700000000004</v>
      </c>
      <c r="E113" s="98">
        <f aca="true" t="shared" si="43" ref="E113:K113">E114</f>
        <v>7019.1</v>
      </c>
      <c r="F113" s="98">
        <f t="shared" si="43"/>
        <v>12685.300000000001</v>
      </c>
      <c r="G113" s="98">
        <f t="shared" si="43"/>
        <v>8800</v>
      </c>
      <c r="H113" s="98">
        <f t="shared" si="43"/>
        <v>7496.3</v>
      </c>
      <c r="I113" s="98">
        <f t="shared" si="43"/>
        <v>19704.4</v>
      </c>
      <c r="J113" s="98">
        <f t="shared" si="43"/>
        <v>11272.4</v>
      </c>
      <c r="K113" s="98">
        <f t="shared" si="43"/>
        <v>57.20752725279632</v>
      </c>
      <c r="L113" s="83">
        <f t="shared" si="42"/>
        <v>31.311613385295285</v>
      </c>
    </row>
    <row r="114" spans="1:12" ht="24">
      <c r="A114" s="99" t="s">
        <v>229</v>
      </c>
      <c r="B114" s="89"/>
      <c r="C114" s="100" t="s">
        <v>199</v>
      </c>
      <c r="D114" s="86">
        <f>E114+F114+G114+H114</f>
        <v>36000.700000000004</v>
      </c>
      <c r="E114" s="87">
        <f>1759.3+4077.6+510.1+36.7+6+28.8+100+27+35+438.6</f>
        <v>7019.1</v>
      </c>
      <c r="F114" s="87">
        <f>9777.7+2907.6</f>
        <v>12685.300000000001</v>
      </c>
      <c r="G114" s="87">
        <v>8800</v>
      </c>
      <c r="H114" s="87">
        <f>2023.2+4689.3+586.6+42.2+6.9+33.1+115</f>
        <v>7496.3</v>
      </c>
      <c r="I114" s="88">
        <f t="shared" si="40"/>
        <v>19704.4</v>
      </c>
      <c r="J114" s="87">
        <v>11272.4</v>
      </c>
      <c r="K114" s="88">
        <f t="shared" si="41"/>
        <v>57.20752725279632</v>
      </c>
      <c r="L114" s="88">
        <f t="shared" si="42"/>
        <v>31.311613385295285</v>
      </c>
    </row>
    <row r="115" spans="1:12" ht="12.75">
      <c r="A115" s="84"/>
      <c r="B115" s="111"/>
      <c r="C115" s="112" t="s">
        <v>204</v>
      </c>
      <c r="D115" s="113">
        <f>D113+D104</f>
        <v>37187.50000000001</v>
      </c>
      <c r="E115" s="113">
        <f aca="true" t="shared" si="44" ref="E115:J115">E113+E104</f>
        <v>7184.8</v>
      </c>
      <c r="F115" s="113">
        <f t="shared" si="44"/>
        <v>12987.400000000001</v>
      </c>
      <c r="G115" s="113">
        <f t="shared" si="44"/>
        <v>9111.9</v>
      </c>
      <c r="H115" s="113">
        <f t="shared" si="44"/>
        <v>7903.400000000001</v>
      </c>
      <c r="I115" s="113">
        <f t="shared" si="44"/>
        <v>20172.2</v>
      </c>
      <c r="J115" s="113">
        <f t="shared" si="44"/>
        <v>11869.1</v>
      </c>
      <c r="K115" s="83">
        <f t="shared" si="41"/>
        <v>58.83889709600341</v>
      </c>
      <c r="L115" s="83">
        <f t="shared" si="42"/>
        <v>31.916907563025205</v>
      </c>
    </row>
    <row r="116" spans="1:12" ht="12.75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1"/>
    </row>
    <row r="117" spans="1:12" ht="12.75">
      <c r="A117" s="146" t="s">
        <v>211</v>
      </c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8"/>
    </row>
    <row r="118" spans="1:12" ht="12.75">
      <c r="A118" s="81" t="s">
        <v>168</v>
      </c>
      <c r="B118" s="81"/>
      <c r="C118" s="82" t="s">
        <v>237</v>
      </c>
      <c r="D118" s="83">
        <f aca="true" t="shared" si="45" ref="D118:J118">D119+D120+D121+D122+D124+D126+D123+D125</f>
        <v>2352.5</v>
      </c>
      <c r="E118" s="83">
        <f t="shared" si="45"/>
        <v>470.49999999999994</v>
      </c>
      <c r="F118" s="83">
        <f t="shared" si="45"/>
        <v>705.8000000000001</v>
      </c>
      <c r="G118" s="83">
        <f t="shared" si="45"/>
        <v>635.0999999999999</v>
      </c>
      <c r="H118" s="83">
        <f t="shared" si="45"/>
        <v>541.1</v>
      </c>
      <c r="I118" s="83">
        <f t="shared" si="45"/>
        <v>1176.3</v>
      </c>
      <c r="J118" s="83">
        <f t="shared" si="45"/>
        <v>1191.5</v>
      </c>
      <c r="K118" s="83">
        <f>J118/I118*100</f>
        <v>101.29218736716825</v>
      </c>
      <c r="L118" s="83">
        <f>J118/D118*100</f>
        <v>50.64824654622741</v>
      </c>
    </row>
    <row r="119" spans="1:12" ht="12.75">
      <c r="A119" s="84" t="s">
        <v>169</v>
      </c>
      <c r="B119" s="84"/>
      <c r="C119" s="85" t="s">
        <v>170</v>
      </c>
      <c r="D119" s="86">
        <f aca="true" t="shared" si="46" ref="D119:D126">E119+F119+G119+H119</f>
        <v>1793.5</v>
      </c>
      <c r="E119" s="87">
        <v>358.7</v>
      </c>
      <c r="F119" s="87">
        <v>538.1</v>
      </c>
      <c r="G119" s="87">
        <v>484.2</v>
      </c>
      <c r="H119" s="87">
        <v>412.5</v>
      </c>
      <c r="I119" s="88">
        <f aca="true" t="shared" si="47" ref="I119:I128">E119+F119</f>
        <v>896.8</v>
      </c>
      <c r="J119" s="87">
        <v>661</v>
      </c>
      <c r="K119" s="88">
        <f aca="true" t="shared" si="48" ref="K119:K129">J119/I119*100</f>
        <v>73.70651204281891</v>
      </c>
      <c r="L119" s="88">
        <f aca="true" t="shared" si="49" ref="L119:L129">J119/D119*100</f>
        <v>36.85531084471703</v>
      </c>
    </row>
    <row r="120" spans="1:12" ht="12.75">
      <c r="A120" s="89" t="s">
        <v>173</v>
      </c>
      <c r="B120" s="89"/>
      <c r="C120" s="85" t="s">
        <v>174</v>
      </c>
      <c r="D120" s="86">
        <f t="shared" si="46"/>
        <v>232</v>
      </c>
      <c r="E120" s="87">
        <v>46.4</v>
      </c>
      <c r="F120" s="87">
        <v>69.6</v>
      </c>
      <c r="G120" s="87">
        <v>62.6</v>
      </c>
      <c r="H120" s="87">
        <v>53.4</v>
      </c>
      <c r="I120" s="88">
        <f t="shared" si="47"/>
        <v>116</v>
      </c>
      <c r="J120" s="87">
        <v>65.1</v>
      </c>
      <c r="K120" s="88">
        <f t="shared" si="48"/>
        <v>56.120689655172406</v>
      </c>
      <c r="L120" s="88">
        <f t="shared" si="49"/>
        <v>28.060344827586203</v>
      </c>
    </row>
    <row r="121" spans="1:12" ht="12.75">
      <c r="A121" s="89" t="s">
        <v>175</v>
      </c>
      <c r="B121" s="89"/>
      <c r="C121" s="85" t="s">
        <v>176</v>
      </c>
      <c r="D121" s="86">
        <f t="shared" si="46"/>
        <v>35</v>
      </c>
      <c r="E121" s="87">
        <v>7</v>
      </c>
      <c r="F121" s="87">
        <v>10.5</v>
      </c>
      <c r="G121" s="87">
        <v>9.5</v>
      </c>
      <c r="H121" s="87">
        <v>8</v>
      </c>
      <c r="I121" s="88">
        <f t="shared" si="47"/>
        <v>17.5</v>
      </c>
      <c r="J121" s="87">
        <v>17.9</v>
      </c>
      <c r="K121" s="88">
        <f t="shared" si="48"/>
        <v>102.28571428571426</v>
      </c>
      <c r="L121" s="88">
        <f t="shared" si="49"/>
        <v>51.14285714285713</v>
      </c>
    </row>
    <row r="122" spans="1:12" ht="24">
      <c r="A122" s="90" t="s">
        <v>179</v>
      </c>
      <c r="B122" s="91"/>
      <c r="C122" s="85" t="s">
        <v>180</v>
      </c>
      <c r="D122" s="86">
        <f t="shared" si="46"/>
        <v>180</v>
      </c>
      <c r="E122" s="87">
        <v>36</v>
      </c>
      <c r="F122" s="87">
        <v>54</v>
      </c>
      <c r="G122" s="87">
        <v>48.6</v>
      </c>
      <c r="H122" s="87">
        <v>41.4</v>
      </c>
      <c r="I122" s="88">
        <f t="shared" si="47"/>
        <v>90</v>
      </c>
      <c r="J122" s="87">
        <v>66.9</v>
      </c>
      <c r="K122" s="88">
        <f t="shared" si="48"/>
        <v>74.33333333333334</v>
      </c>
      <c r="L122" s="88">
        <f t="shared" si="49"/>
        <v>37.16666666666667</v>
      </c>
    </row>
    <row r="123" spans="1:12" ht="12.75">
      <c r="A123" s="93" t="s">
        <v>183</v>
      </c>
      <c r="B123" s="93"/>
      <c r="C123" s="85" t="s">
        <v>184</v>
      </c>
      <c r="D123" s="86">
        <f t="shared" si="46"/>
        <v>90</v>
      </c>
      <c r="E123" s="87">
        <v>18</v>
      </c>
      <c r="F123" s="87">
        <v>27</v>
      </c>
      <c r="G123" s="87">
        <v>24.3</v>
      </c>
      <c r="H123" s="87">
        <v>20.7</v>
      </c>
      <c r="I123" s="88">
        <f t="shared" si="47"/>
        <v>45</v>
      </c>
      <c r="J123" s="87">
        <v>23</v>
      </c>
      <c r="K123" s="88">
        <f t="shared" si="48"/>
        <v>51.11111111111111</v>
      </c>
      <c r="L123" s="88">
        <f t="shared" si="49"/>
        <v>25.555555555555554</v>
      </c>
    </row>
    <row r="124" spans="1:12" ht="12.75">
      <c r="A124" s="93" t="s">
        <v>185</v>
      </c>
      <c r="B124" s="93"/>
      <c r="C124" s="85" t="s">
        <v>186</v>
      </c>
      <c r="D124" s="86">
        <f t="shared" si="46"/>
        <v>22</v>
      </c>
      <c r="E124" s="87">
        <v>4.4</v>
      </c>
      <c r="F124" s="87">
        <v>6.6</v>
      </c>
      <c r="G124" s="87">
        <v>5.9</v>
      </c>
      <c r="H124" s="87">
        <v>5.1</v>
      </c>
      <c r="I124" s="88">
        <f t="shared" si="47"/>
        <v>11</v>
      </c>
      <c r="J124" s="87">
        <v>30</v>
      </c>
      <c r="K124" s="88">
        <f t="shared" si="48"/>
        <v>272.7272727272727</v>
      </c>
      <c r="L124" s="88">
        <f t="shared" si="49"/>
        <v>136.36363636363635</v>
      </c>
    </row>
    <row r="125" spans="1:12" ht="12.75">
      <c r="A125" s="84" t="s">
        <v>189</v>
      </c>
      <c r="B125" s="84"/>
      <c r="C125" s="85" t="s">
        <v>190</v>
      </c>
      <c r="D125" s="86"/>
      <c r="E125" s="87"/>
      <c r="F125" s="87"/>
      <c r="G125" s="87"/>
      <c r="H125" s="87"/>
      <c r="I125" s="88"/>
      <c r="J125" s="87">
        <v>323.4</v>
      </c>
      <c r="K125" s="88"/>
      <c r="L125" s="88"/>
    </row>
    <row r="126" spans="1:12" ht="12.75">
      <c r="A126" s="93" t="s">
        <v>191</v>
      </c>
      <c r="B126" s="129"/>
      <c r="C126" s="96" t="s">
        <v>192</v>
      </c>
      <c r="D126" s="86">
        <f t="shared" si="46"/>
        <v>0</v>
      </c>
      <c r="E126" s="87"/>
      <c r="F126" s="87"/>
      <c r="G126" s="87"/>
      <c r="H126" s="87"/>
      <c r="I126" s="88">
        <f t="shared" si="47"/>
        <v>0</v>
      </c>
      <c r="J126" s="86">
        <v>4.2</v>
      </c>
      <c r="K126" s="88"/>
      <c r="L126" s="88"/>
    </row>
    <row r="127" spans="1:12" ht="12.75">
      <c r="A127" s="114" t="s">
        <v>197</v>
      </c>
      <c r="B127" s="114"/>
      <c r="C127" s="97" t="s">
        <v>198</v>
      </c>
      <c r="D127" s="98">
        <f>D128</f>
        <v>53127.4</v>
      </c>
      <c r="E127" s="98">
        <f aca="true" t="shared" si="50" ref="E127:J127">E128</f>
        <v>9380.999999999998</v>
      </c>
      <c r="F127" s="98">
        <f t="shared" si="50"/>
        <v>20115.5</v>
      </c>
      <c r="G127" s="98">
        <f t="shared" si="50"/>
        <v>13987.8</v>
      </c>
      <c r="H127" s="98">
        <f t="shared" si="50"/>
        <v>9643.1</v>
      </c>
      <c r="I127" s="98">
        <f t="shared" si="50"/>
        <v>29496.5</v>
      </c>
      <c r="J127" s="98">
        <f t="shared" si="50"/>
        <v>16958.4</v>
      </c>
      <c r="K127" s="83">
        <f t="shared" si="48"/>
        <v>57.49292288915635</v>
      </c>
      <c r="L127" s="83">
        <f t="shared" si="49"/>
        <v>31.9202520733181</v>
      </c>
    </row>
    <row r="128" spans="1:12" ht="24">
      <c r="A128" s="99" t="s">
        <v>229</v>
      </c>
      <c r="B128" s="89"/>
      <c r="C128" s="100" t="s">
        <v>199</v>
      </c>
      <c r="D128" s="86">
        <f>E128+F128+G128+H128</f>
        <v>53127.4</v>
      </c>
      <c r="E128" s="87">
        <f>8298.3+30+37.3+1015.4</f>
        <v>9380.999999999998</v>
      </c>
      <c r="F128" s="87">
        <f>15232.6+168.9+4714</f>
        <v>20115.5</v>
      </c>
      <c r="G128" s="87">
        <v>13987.8</v>
      </c>
      <c r="H128" s="87">
        <v>9643.1</v>
      </c>
      <c r="I128" s="88">
        <f t="shared" si="47"/>
        <v>29496.5</v>
      </c>
      <c r="J128" s="87">
        <v>16958.4</v>
      </c>
      <c r="K128" s="88">
        <f t="shared" si="48"/>
        <v>57.49292288915635</v>
      </c>
      <c r="L128" s="88">
        <f t="shared" si="49"/>
        <v>31.9202520733181</v>
      </c>
    </row>
    <row r="129" spans="1:12" ht="12.75">
      <c r="A129" s="84"/>
      <c r="B129" s="111"/>
      <c r="C129" s="112" t="s">
        <v>204</v>
      </c>
      <c r="D129" s="113">
        <f>D127+D118</f>
        <v>55479.9</v>
      </c>
      <c r="E129" s="113">
        <f aca="true" t="shared" si="51" ref="E129:J129">E127+E118</f>
        <v>9851.499999999998</v>
      </c>
      <c r="F129" s="113">
        <f t="shared" si="51"/>
        <v>20821.3</v>
      </c>
      <c r="G129" s="113">
        <f t="shared" si="51"/>
        <v>14622.9</v>
      </c>
      <c r="H129" s="113">
        <f t="shared" si="51"/>
        <v>10184.2</v>
      </c>
      <c r="I129" s="113">
        <f t="shared" si="51"/>
        <v>30672.8</v>
      </c>
      <c r="J129" s="113">
        <f t="shared" si="51"/>
        <v>18149.9</v>
      </c>
      <c r="K129" s="83">
        <f t="shared" si="48"/>
        <v>59.17262199733967</v>
      </c>
      <c r="L129" s="83">
        <f t="shared" si="49"/>
        <v>32.714370429651105</v>
      </c>
    </row>
    <row r="130" spans="1:12" ht="12.75">
      <c r="A130" s="156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8"/>
    </row>
    <row r="131" spans="1:12" ht="12.75">
      <c r="A131" s="146" t="s">
        <v>212</v>
      </c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8"/>
    </row>
    <row r="132" spans="1:12" ht="12.75">
      <c r="A132" s="81" t="s">
        <v>168</v>
      </c>
      <c r="B132" s="81"/>
      <c r="C132" s="82" t="s">
        <v>237</v>
      </c>
      <c r="D132" s="83">
        <f aca="true" t="shared" si="52" ref="D132:I132">D133+D134+D136+D138+D135+D139+D137+D140</f>
        <v>15260.5</v>
      </c>
      <c r="E132" s="83">
        <f t="shared" si="52"/>
        <v>3025</v>
      </c>
      <c r="F132" s="83">
        <f t="shared" si="52"/>
        <v>4088</v>
      </c>
      <c r="G132" s="83">
        <f t="shared" si="52"/>
        <v>4574</v>
      </c>
      <c r="H132" s="83">
        <f t="shared" si="52"/>
        <v>3573.5</v>
      </c>
      <c r="I132" s="83">
        <f t="shared" si="52"/>
        <v>7113</v>
      </c>
      <c r="J132" s="83">
        <f>J133+J134+J136+J138+J135+J139+J137+J140</f>
        <v>5600.8</v>
      </c>
      <c r="K132" s="83">
        <f>J132/I132*100</f>
        <v>78.74033459862224</v>
      </c>
      <c r="L132" s="83">
        <f>J132/D132*100</f>
        <v>36.70128763801973</v>
      </c>
    </row>
    <row r="133" spans="1:12" ht="12.75">
      <c r="A133" s="84" t="s">
        <v>169</v>
      </c>
      <c r="B133" s="84"/>
      <c r="C133" s="85" t="s">
        <v>170</v>
      </c>
      <c r="D133" s="86">
        <f aca="true" t="shared" si="53" ref="D133:D141">E133+F133+G133+H133</f>
        <v>13404.5</v>
      </c>
      <c r="E133" s="87">
        <f>2600+3</f>
        <v>2603</v>
      </c>
      <c r="F133" s="87">
        <f>3600+1+3+6</f>
        <v>3610</v>
      </c>
      <c r="G133" s="87">
        <f>4083</f>
        <v>4083</v>
      </c>
      <c r="H133" s="87">
        <v>3108.5</v>
      </c>
      <c r="I133" s="88">
        <f aca="true" t="shared" si="54" ref="I133:I140">E133+F133</f>
        <v>6213</v>
      </c>
      <c r="J133" s="87">
        <v>5080.8</v>
      </c>
      <c r="K133" s="88">
        <f aca="true" t="shared" si="55" ref="K133:K144">J133/I133*100</f>
        <v>81.77691936262676</v>
      </c>
      <c r="L133" s="88">
        <f aca="true" t="shared" si="56" ref="L133:L144">J133/D133*100</f>
        <v>37.90368905964415</v>
      </c>
    </row>
    <row r="134" spans="1:12" ht="12.75">
      <c r="A134" s="89" t="s">
        <v>173</v>
      </c>
      <c r="B134" s="89"/>
      <c r="C134" s="85" t="s">
        <v>174</v>
      </c>
      <c r="D134" s="86">
        <f t="shared" si="53"/>
        <v>616</v>
      </c>
      <c r="E134" s="87">
        <f>75+50+20</f>
        <v>145</v>
      </c>
      <c r="F134" s="87">
        <f>75+60+30-16</f>
        <v>149</v>
      </c>
      <c r="G134" s="87">
        <f>75+60+39</f>
        <v>174</v>
      </c>
      <c r="H134" s="87">
        <f>75+50+23</f>
        <v>148</v>
      </c>
      <c r="I134" s="88">
        <f t="shared" si="54"/>
        <v>294</v>
      </c>
      <c r="J134" s="87">
        <v>130.4</v>
      </c>
      <c r="K134" s="88">
        <f t="shared" si="55"/>
        <v>44.353741496598644</v>
      </c>
      <c r="L134" s="88">
        <f t="shared" si="56"/>
        <v>21.16883116883117</v>
      </c>
    </row>
    <row r="135" spans="1:12" ht="12.75">
      <c r="A135" s="89" t="s">
        <v>175</v>
      </c>
      <c r="B135" s="89"/>
      <c r="C135" s="85" t="s">
        <v>176</v>
      </c>
      <c r="D135" s="86">
        <f t="shared" si="53"/>
        <v>120</v>
      </c>
      <c r="E135" s="87">
        <v>30</v>
      </c>
      <c r="F135" s="87">
        <v>32</v>
      </c>
      <c r="G135" s="87">
        <v>30</v>
      </c>
      <c r="H135" s="87">
        <v>28</v>
      </c>
      <c r="I135" s="88">
        <f t="shared" si="54"/>
        <v>62</v>
      </c>
      <c r="J135" s="87">
        <v>4</v>
      </c>
      <c r="K135" s="88">
        <f t="shared" si="55"/>
        <v>6.451612903225806</v>
      </c>
      <c r="L135" s="88">
        <f t="shared" si="56"/>
        <v>3.3333333333333335</v>
      </c>
    </row>
    <row r="136" spans="1:12" ht="24">
      <c r="A136" s="90" t="s">
        <v>179</v>
      </c>
      <c r="B136" s="91"/>
      <c r="C136" s="85" t="s">
        <v>180</v>
      </c>
      <c r="D136" s="86">
        <f t="shared" si="53"/>
        <v>1102</v>
      </c>
      <c r="E136" s="87">
        <v>245</v>
      </c>
      <c r="F136" s="87">
        <v>285</v>
      </c>
      <c r="G136" s="87">
        <v>285</v>
      </c>
      <c r="H136" s="87">
        <v>287</v>
      </c>
      <c r="I136" s="88">
        <f t="shared" si="54"/>
        <v>530</v>
      </c>
      <c r="J136" s="87">
        <v>335</v>
      </c>
      <c r="K136" s="88">
        <f t="shared" si="55"/>
        <v>63.20754716981132</v>
      </c>
      <c r="L136" s="88">
        <f t="shared" si="56"/>
        <v>30.399274047186932</v>
      </c>
    </row>
    <row r="137" spans="1:12" ht="12.75">
      <c r="A137" s="93" t="s">
        <v>183</v>
      </c>
      <c r="B137" s="93"/>
      <c r="C137" s="85" t="s">
        <v>184</v>
      </c>
      <c r="D137" s="86">
        <f t="shared" si="53"/>
        <v>0</v>
      </c>
      <c r="E137" s="87"/>
      <c r="F137" s="87"/>
      <c r="G137" s="87"/>
      <c r="H137" s="87"/>
      <c r="I137" s="88">
        <f t="shared" si="54"/>
        <v>0</v>
      </c>
      <c r="J137" s="87"/>
      <c r="K137" s="88"/>
      <c r="L137" s="88"/>
    </row>
    <row r="138" spans="1:12" ht="12.75">
      <c r="A138" s="92" t="s">
        <v>185</v>
      </c>
      <c r="B138" s="92"/>
      <c r="C138" s="85" t="s">
        <v>186</v>
      </c>
      <c r="D138" s="86">
        <f t="shared" si="53"/>
        <v>18</v>
      </c>
      <c r="E138" s="87">
        <v>2</v>
      </c>
      <c r="F138" s="87">
        <f>2+10</f>
        <v>12</v>
      </c>
      <c r="G138" s="87">
        <v>2</v>
      </c>
      <c r="H138" s="87">
        <v>2</v>
      </c>
      <c r="I138" s="88">
        <f t="shared" si="54"/>
        <v>14</v>
      </c>
      <c r="J138" s="87">
        <v>28.1</v>
      </c>
      <c r="K138" s="88">
        <f>J138/I138*100</f>
        <v>200.71428571428572</v>
      </c>
      <c r="L138" s="88">
        <f>J138/D138*100</f>
        <v>156.11111111111111</v>
      </c>
    </row>
    <row r="139" spans="1:12" ht="12.75">
      <c r="A139" s="84" t="s">
        <v>189</v>
      </c>
      <c r="B139" s="84"/>
      <c r="C139" s="85" t="s">
        <v>190</v>
      </c>
      <c r="D139" s="86">
        <f t="shared" si="53"/>
        <v>0</v>
      </c>
      <c r="E139" s="87"/>
      <c r="F139" s="87"/>
      <c r="G139" s="87"/>
      <c r="H139" s="87"/>
      <c r="I139" s="88">
        <f t="shared" si="54"/>
        <v>0</v>
      </c>
      <c r="J139" s="87">
        <v>11.7</v>
      </c>
      <c r="K139" s="88"/>
      <c r="L139" s="88"/>
    </row>
    <row r="140" spans="1:12" ht="12.75">
      <c r="A140" s="92" t="s">
        <v>191</v>
      </c>
      <c r="B140" s="130"/>
      <c r="C140" s="96" t="s">
        <v>192</v>
      </c>
      <c r="D140" s="86">
        <f t="shared" si="53"/>
        <v>0</v>
      </c>
      <c r="E140" s="87"/>
      <c r="F140" s="87"/>
      <c r="G140" s="87"/>
      <c r="H140" s="87"/>
      <c r="I140" s="88">
        <f t="shared" si="54"/>
        <v>0</v>
      </c>
      <c r="J140" s="87">
        <v>10.8</v>
      </c>
      <c r="K140" s="88"/>
      <c r="L140" s="88"/>
    </row>
    <row r="141" spans="1:12" ht="12.75">
      <c r="A141" s="92" t="s">
        <v>195</v>
      </c>
      <c r="B141" s="130"/>
      <c r="C141" s="96" t="s">
        <v>196</v>
      </c>
      <c r="D141" s="86">
        <f t="shared" si="53"/>
        <v>0</v>
      </c>
      <c r="E141" s="87"/>
      <c r="F141" s="87"/>
      <c r="G141" s="87"/>
      <c r="H141" s="87"/>
      <c r="I141" s="83">
        <f>E141</f>
        <v>0</v>
      </c>
      <c r="J141" s="87"/>
      <c r="K141" s="83"/>
      <c r="L141" s="83"/>
    </row>
    <row r="142" spans="1:12" ht="12.75">
      <c r="A142" s="81" t="s">
        <v>197</v>
      </c>
      <c r="B142" s="81"/>
      <c r="C142" s="97" t="s">
        <v>198</v>
      </c>
      <c r="D142" s="98">
        <f>D143</f>
        <v>36740</v>
      </c>
      <c r="E142" s="98">
        <f aca="true" t="shared" si="57" ref="E142:J142">E143</f>
        <v>12257.5</v>
      </c>
      <c r="F142" s="98">
        <f t="shared" si="57"/>
        <v>12099.9</v>
      </c>
      <c r="G142" s="98">
        <f t="shared" si="57"/>
        <v>6094.8</v>
      </c>
      <c r="H142" s="98">
        <f t="shared" si="57"/>
        <v>6287.8</v>
      </c>
      <c r="I142" s="98">
        <f t="shared" si="57"/>
        <v>24357.4</v>
      </c>
      <c r="J142" s="98">
        <f t="shared" si="57"/>
        <v>15260.9</v>
      </c>
      <c r="K142" s="83">
        <f t="shared" si="55"/>
        <v>62.65405995713827</v>
      </c>
      <c r="L142" s="83">
        <f t="shared" si="56"/>
        <v>41.53756124115405</v>
      </c>
    </row>
    <row r="143" spans="1:12" ht="24">
      <c r="A143" s="99" t="s">
        <v>229</v>
      </c>
      <c r="B143" s="89"/>
      <c r="C143" s="100" t="s">
        <v>199</v>
      </c>
      <c r="D143" s="86">
        <f>E143+F143+G143+H143</f>
        <v>36740</v>
      </c>
      <c r="E143" s="87">
        <v>12257.5</v>
      </c>
      <c r="F143" s="87">
        <f>11099.9+1000</f>
        <v>12099.9</v>
      </c>
      <c r="G143" s="87">
        <f>3001.8+3000+21+72</f>
        <v>6094.8</v>
      </c>
      <c r="H143" s="87">
        <f>3193.8+3000+22+72</f>
        <v>6287.8</v>
      </c>
      <c r="I143" s="88">
        <f>E143+F143</f>
        <v>24357.4</v>
      </c>
      <c r="J143" s="87">
        <v>15260.9</v>
      </c>
      <c r="K143" s="88">
        <f t="shared" si="55"/>
        <v>62.65405995713827</v>
      </c>
      <c r="L143" s="88">
        <f t="shared" si="56"/>
        <v>41.53756124115405</v>
      </c>
    </row>
    <row r="144" spans="1:12" ht="12.75">
      <c r="A144" s="84"/>
      <c r="B144" s="111"/>
      <c r="C144" s="112" t="s">
        <v>204</v>
      </c>
      <c r="D144" s="113">
        <f>D142+D132</f>
        <v>52000.5</v>
      </c>
      <c r="E144" s="113">
        <f aca="true" t="shared" si="58" ref="E144:J144">E142+E132</f>
        <v>15282.5</v>
      </c>
      <c r="F144" s="113">
        <f t="shared" si="58"/>
        <v>16187.9</v>
      </c>
      <c r="G144" s="113">
        <f t="shared" si="58"/>
        <v>10668.8</v>
      </c>
      <c r="H144" s="113">
        <f t="shared" si="58"/>
        <v>9861.3</v>
      </c>
      <c r="I144" s="113">
        <f t="shared" si="58"/>
        <v>31470.4</v>
      </c>
      <c r="J144" s="113">
        <f t="shared" si="58"/>
        <v>20861.7</v>
      </c>
      <c r="K144" s="83">
        <f t="shared" si="55"/>
        <v>66.28991051909095</v>
      </c>
      <c r="L144" s="83">
        <f t="shared" si="56"/>
        <v>40.11826809357603</v>
      </c>
    </row>
    <row r="145" spans="1:12" ht="12.75">
      <c r="A145" s="149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1"/>
    </row>
    <row r="146" spans="1:12" ht="12.75">
      <c r="A146" s="146" t="s">
        <v>213</v>
      </c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8"/>
    </row>
    <row r="147" spans="1:12" ht="12.75">
      <c r="A147" s="81" t="s">
        <v>168</v>
      </c>
      <c r="B147" s="81"/>
      <c r="C147" s="82" t="s">
        <v>237</v>
      </c>
      <c r="D147" s="83">
        <f aca="true" t="shared" si="59" ref="D147:J147">D148+D149+D150+D151+D153+D154+D155+D152</f>
        <v>3590</v>
      </c>
      <c r="E147" s="83">
        <f t="shared" si="59"/>
        <v>630.5</v>
      </c>
      <c r="F147" s="83">
        <f t="shared" si="59"/>
        <v>862.5</v>
      </c>
      <c r="G147" s="83">
        <f t="shared" si="59"/>
        <v>766.5</v>
      </c>
      <c r="H147" s="83">
        <f t="shared" si="59"/>
        <v>1330.5</v>
      </c>
      <c r="I147" s="83">
        <f t="shared" si="59"/>
        <v>1493</v>
      </c>
      <c r="J147" s="83">
        <f t="shared" si="59"/>
        <v>1646.5000000000002</v>
      </c>
      <c r="K147" s="83">
        <f>J147/I147*100</f>
        <v>110.28131279303418</v>
      </c>
      <c r="L147" s="83">
        <f>J147/D147*100</f>
        <v>45.863509749303624</v>
      </c>
    </row>
    <row r="148" spans="1:12" ht="12.75">
      <c r="A148" s="84" t="s">
        <v>169</v>
      </c>
      <c r="B148" s="84"/>
      <c r="C148" s="85" t="s">
        <v>170</v>
      </c>
      <c r="D148" s="86">
        <f aca="true" t="shared" si="60" ref="D148:D155">E148+F148+G148+H148</f>
        <v>2996.5</v>
      </c>
      <c r="E148" s="87">
        <f>540</f>
        <v>540</v>
      </c>
      <c r="F148" s="87">
        <v>650</v>
      </c>
      <c r="G148" s="87">
        <f>650</f>
        <v>650</v>
      </c>
      <c r="H148" s="87">
        <v>1156.5</v>
      </c>
      <c r="I148" s="88">
        <f aca="true" t="shared" si="61" ref="I148:I157">E148+F148</f>
        <v>1190</v>
      </c>
      <c r="J148" s="87">
        <v>1150.4</v>
      </c>
      <c r="K148" s="88">
        <f aca="true" t="shared" si="62" ref="K148:K158">J148/I148*100</f>
        <v>96.67226890756304</v>
      </c>
      <c r="L148" s="88">
        <f aca="true" t="shared" si="63" ref="L148:L158">J148/D148*100</f>
        <v>38.39145669948273</v>
      </c>
    </row>
    <row r="149" spans="1:12" ht="12.75">
      <c r="A149" s="89" t="s">
        <v>173</v>
      </c>
      <c r="B149" s="89"/>
      <c r="C149" s="85" t="s">
        <v>174</v>
      </c>
      <c r="D149" s="86">
        <f t="shared" si="60"/>
        <v>219</v>
      </c>
      <c r="E149" s="87">
        <f>47</f>
        <v>47</v>
      </c>
      <c r="F149" s="87">
        <f>47</f>
        <v>47</v>
      </c>
      <c r="G149" s="87">
        <f>47</f>
        <v>47</v>
      </c>
      <c r="H149" s="87">
        <f>10+21+47</f>
        <v>78</v>
      </c>
      <c r="I149" s="88">
        <f t="shared" si="61"/>
        <v>94</v>
      </c>
      <c r="J149" s="87">
        <v>159.3</v>
      </c>
      <c r="K149" s="88">
        <f t="shared" si="62"/>
        <v>169.46808510638297</v>
      </c>
      <c r="L149" s="88">
        <f t="shared" si="63"/>
        <v>72.73972602739727</v>
      </c>
    </row>
    <row r="150" spans="1:12" ht="12.75">
      <c r="A150" s="89" t="s">
        <v>175</v>
      </c>
      <c r="B150" s="89"/>
      <c r="C150" s="85" t="s">
        <v>176</v>
      </c>
      <c r="D150" s="86">
        <f t="shared" si="60"/>
        <v>25</v>
      </c>
      <c r="E150" s="87">
        <v>4</v>
      </c>
      <c r="F150" s="87">
        <v>10</v>
      </c>
      <c r="G150" s="87">
        <v>5</v>
      </c>
      <c r="H150" s="87">
        <v>6</v>
      </c>
      <c r="I150" s="88">
        <f t="shared" si="61"/>
        <v>14</v>
      </c>
      <c r="J150" s="87">
        <v>21.3</v>
      </c>
      <c r="K150" s="88">
        <f>J150/I150*100</f>
        <v>152.14285714285717</v>
      </c>
      <c r="L150" s="88">
        <f>J150/D150*100</f>
        <v>85.2</v>
      </c>
    </row>
    <row r="151" spans="1:12" ht="24">
      <c r="A151" s="90" t="s">
        <v>179</v>
      </c>
      <c r="B151" s="91"/>
      <c r="C151" s="85" t="s">
        <v>180</v>
      </c>
      <c r="D151" s="86">
        <f t="shared" si="60"/>
        <v>304.5</v>
      </c>
      <c r="E151" s="87">
        <f>30</f>
        <v>30</v>
      </c>
      <c r="F151" s="87">
        <f>25+118</f>
        <v>143</v>
      </c>
      <c r="G151" s="87">
        <f>25+30</f>
        <v>55</v>
      </c>
      <c r="H151" s="87">
        <f>46.5+30</f>
        <v>76.5</v>
      </c>
      <c r="I151" s="88">
        <f t="shared" si="61"/>
        <v>173</v>
      </c>
      <c r="J151" s="87">
        <v>275.9</v>
      </c>
      <c r="K151" s="88">
        <f t="shared" si="62"/>
        <v>159.47976878612715</v>
      </c>
      <c r="L151" s="88">
        <f t="shared" si="63"/>
        <v>90.60755336617405</v>
      </c>
    </row>
    <row r="152" spans="1:12" ht="12.75">
      <c r="A152" s="93" t="s">
        <v>183</v>
      </c>
      <c r="B152" s="93"/>
      <c r="C152" s="85" t="s">
        <v>184</v>
      </c>
      <c r="D152" s="86">
        <f t="shared" si="60"/>
        <v>38</v>
      </c>
      <c r="E152" s="87">
        <v>9.5</v>
      </c>
      <c r="F152" s="87">
        <v>9.5</v>
      </c>
      <c r="G152" s="87">
        <v>9.5</v>
      </c>
      <c r="H152" s="87">
        <v>9.5</v>
      </c>
      <c r="I152" s="88">
        <f t="shared" si="61"/>
        <v>19</v>
      </c>
      <c r="J152" s="87">
        <v>30.7</v>
      </c>
      <c r="K152" s="88">
        <f t="shared" si="62"/>
        <v>161.57894736842104</v>
      </c>
      <c r="L152" s="88">
        <f t="shared" si="63"/>
        <v>80.78947368421052</v>
      </c>
    </row>
    <row r="153" spans="1:12" ht="12.75">
      <c r="A153" s="92" t="s">
        <v>185</v>
      </c>
      <c r="B153" s="92"/>
      <c r="C153" s="85" t="s">
        <v>186</v>
      </c>
      <c r="D153" s="86">
        <f t="shared" si="60"/>
        <v>7</v>
      </c>
      <c r="E153" s="87"/>
      <c r="F153" s="87">
        <f>3</f>
        <v>3</v>
      </c>
      <c r="G153" s="87"/>
      <c r="H153" s="87">
        <f>4</f>
        <v>4</v>
      </c>
      <c r="I153" s="88">
        <f t="shared" si="61"/>
        <v>3</v>
      </c>
      <c r="J153" s="87">
        <v>8.9</v>
      </c>
      <c r="K153" s="88">
        <f t="shared" si="62"/>
        <v>296.6666666666667</v>
      </c>
      <c r="L153" s="88">
        <f t="shared" si="63"/>
        <v>127.14285714285715</v>
      </c>
    </row>
    <row r="154" spans="1:12" ht="12.75">
      <c r="A154" s="84" t="s">
        <v>189</v>
      </c>
      <c r="B154" s="84"/>
      <c r="C154" s="85" t="s">
        <v>190</v>
      </c>
      <c r="D154" s="86">
        <f t="shared" si="60"/>
        <v>0</v>
      </c>
      <c r="E154" s="87"/>
      <c r="F154" s="87"/>
      <c r="G154" s="87"/>
      <c r="H154" s="87"/>
      <c r="I154" s="88">
        <f t="shared" si="61"/>
        <v>0</v>
      </c>
      <c r="J154" s="87"/>
      <c r="K154" s="88"/>
      <c r="L154" s="88"/>
    </row>
    <row r="155" spans="1:12" ht="12.75">
      <c r="A155" s="122" t="s">
        <v>191</v>
      </c>
      <c r="B155" s="95"/>
      <c r="C155" s="96" t="s">
        <v>192</v>
      </c>
      <c r="D155" s="86">
        <f t="shared" si="60"/>
        <v>0</v>
      </c>
      <c r="E155" s="87"/>
      <c r="F155" s="87"/>
      <c r="G155" s="87"/>
      <c r="H155" s="87"/>
      <c r="I155" s="88">
        <f t="shared" si="61"/>
        <v>0</v>
      </c>
      <c r="J155" s="87"/>
      <c r="K155" s="88"/>
      <c r="L155" s="88"/>
    </row>
    <row r="156" spans="1:12" ht="12.75">
      <c r="A156" s="81" t="s">
        <v>197</v>
      </c>
      <c r="B156" s="81"/>
      <c r="C156" s="97" t="s">
        <v>198</v>
      </c>
      <c r="D156" s="98">
        <f aca="true" t="shared" si="64" ref="D156:J156">D157</f>
        <v>28066.399999999998</v>
      </c>
      <c r="E156" s="98">
        <f t="shared" si="64"/>
        <v>5587</v>
      </c>
      <c r="F156" s="98">
        <f t="shared" si="64"/>
        <v>10273.8</v>
      </c>
      <c r="G156" s="98">
        <f t="shared" si="64"/>
        <v>7740.8</v>
      </c>
      <c r="H156" s="98">
        <f t="shared" si="64"/>
        <v>4464.799999999999</v>
      </c>
      <c r="I156" s="98">
        <f t="shared" si="64"/>
        <v>15860.8</v>
      </c>
      <c r="J156" s="98">
        <f t="shared" si="64"/>
        <v>9567.6</v>
      </c>
      <c r="K156" s="83">
        <f t="shared" si="62"/>
        <v>60.322304045193185</v>
      </c>
      <c r="L156" s="83">
        <f t="shared" si="63"/>
        <v>34.08915999201893</v>
      </c>
    </row>
    <row r="157" spans="1:12" ht="24">
      <c r="A157" s="99" t="s">
        <v>229</v>
      </c>
      <c r="B157" s="89"/>
      <c r="C157" s="100" t="s">
        <v>199</v>
      </c>
      <c r="D157" s="86">
        <f>E157+F157+G157+H157</f>
        <v>28066.399999999998</v>
      </c>
      <c r="E157" s="87">
        <v>5587</v>
      </c>
      <c r="F157" s="87">
        <v>10273.8</v>
      </c>
      <c r="G157" s="87">
        <f>2500.6+2740.8+2205.6+293.8</f>
        <v>7740.8</v>
      </c>
      <c r="H157" s="87">
        <f>2130.1+2334.7</f>
        <v>4464.799999999999</v>
      </c>
      <c r="I157" s="88">
        <f t="shared" si="61"/>
        <v>15860.8</v>
      </c>
      <c r="J157" s="87">
        <v>9567.6</v>
      </c>
      <c r="K157" s="88">
        <f t="shared" si="62"/>
        <v>60.322304045193185</v>
      </c>
      <c r="L157" s="88">
        <f t="shared" si="63"/>
        <v>34.08915999201893</v>
      </c>
    </row>
    <row r="158" spans="1:12" ht="12.75">
      <c r="A158" s="84"/>
      <c r="B158" s="111"/>
      <c r="C158" s="112" t="s">
        <v>204</v>
      </c>
      <c r="D158" s="113">
        <f>D156+D147</f>
        <v>31656.399999999998</v>
      </c>
      <c r="E158" s="113">
        <f aca="true" t="shared" si="65" ref="E158:J158">E156+E147</f>
        <v>6217.5</v>
      </c>
      <c r="F158" s="113">
        <f t="shared" si="65"/>
        <v>11136.3</v>
      </c>
      <c r="G158" s="113">
        <f t="shared" si="65"/>
        <v>8507.3</v>
      </c>
      <c r="H158" s="113">
        <f t="shared" si="65"/>
        <v>5795.299999999999</v>
      </c>
      <c r="I158" s="113">
        <f t="shared" si="65"/>
        <v>17353.8</v>
      </c>
      <c r="J158" s="113">
        <f t="shared" si="65"/>
        <v>11214.1</v>
      </c>
      <c r="K158" s="83">
        <f t="shared" si="62"/>
        <v>64.62042895504155</v>
      </c>
      <c r="L158" s="83">
        <f t="shared" si="63"/>
        <v>35.42443234227518</v>
      </c>
    </row>
    <row r="159" spans="1:12" ht="12.75">
      <c r="A159" s="149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1"/>
    </row>
    <row r="160" spans="1:12" ht="12.75">
      <c r="A160" s="146" t="s">
        <v>214</v>
      </c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8"/>
    </row>
    <row r="161" spans="1:12" ht="12.75">
      <c r="A161" s="81" t="s">
        <v>168</v>
      </c>
      <c r="B161" s="81"/>
      <c r="C161" s="82" t="s">
        <v>237</v>
      </c>
      <c r="D161" s="83">
        <f aca="true" t="shared" si="66" ref="D161:J161">D162+D163+D164+D165+D166+D168+D170+D169+D167</f>
        <v>16626.4</v>
      </c>
      <c r="E161" s="83">
        <f t="shared" si="66"/>
        <v>3971.4</v>
      </c>
      <c r="F161" s="83">
        <f t="shared" si="66"/>
        <v>4441.8</v>
      </c>
      <c r="G161" s="83">
        <f t="shared" si="66"/>
        <v>4058.4</v>
      </c>
      <c r="H161" s="83">
        <f t="shared" si="66"/>
        <v>4154.8</v>
      </c>
      <c r="I161" s="83">
        <f t="shared" si="66"/>
        <v>8413.2</v>
      </c>
      <c r="J161" s="83">
        <f t="shared" si="66"/>
        <v>7030.799999999999</v>
      </c>
      <c r="K161" s="83">
        <f>J161/I161*100</f>
        <v>83.56867779204106</v>
      </c>
      <c r="L161" s="83">
        <f>J161/D161*100</f>
        <v>42.28696530818456</v>
      </c>
    </row>
    <row r="162" spans="1:12" ht="12.75">
      <c r="A162" s="84" t="s">
        <v>169</v>
      </c>
      <c r="B162" s="84"/>
      <c r="C162" s="85" t="s">
        <v>170</v>
      </c>
      <c r="D162" s="86">
        <f>E162+F162+G162+H162</f>
        <v>13504</v>
      </c>
      <c r="E162" s="87">
        <v>3376</v>
      </c>
      <c r="F162" s="87">
        <v>3376</v>
      </c>
      <c r="G162" s="87">
        <v>3376</v>
      </c>
      <c r="H162" s="87">
        <v>3376</v>
      </c>
      <c r="I162" s="88">
        <f aca="true" t="shared" si="67" ref="I162:I172">E162+F162</f>
        <v>6752</v>
      </c>
      <c r="J162" s="87">
        <v>5760.3</v>
      </c>
      <c r="K162" s="88">
        <f aca="true" t="shared" si="68" ref="K162:K173">J162/I162*100</f>
        <v>85.3125</v>
      </c>
      <c r="L162" s="88">
        <f aca="true" t="shared" si="69" ref="L162:L173">J162/D162*100</f>
        <v>42.65625</v>
      </c>
    </row>
    <row r="163" spans="1:12" ht="12.75">
      <c r="A163" s="89" t="s">
        <v>171</v>
      </c>
      <c r="B163" s="89"/>
      <c r="C163" s="85" t="s">
        <v>172</v>
      </c>
      <c r="D163" s="86">
        <f>E163+F163+G163+H163</f>
        <v>0</v>
      </c>
      <c r="E163" s="87"/>
      <c r="F163" s="87"/>
      <c r="G163" s="87"/>
      <c r="H163" s="87"/>
      <c r="I163" s="88">
        <f t="shared" si="67"/>
        <v>0</v>
      </c>
      <c r="J163" s="87"/>
      <c r="K163" s="88"/>
      <c r="L163" s="88"/>
    </row>
    <row r="164" spans="1:12" ht="12.75">
      <c r="A164" s="89" t="s">
        <v>173</v>
      </c>
      <c r="B164" s="89"/>
      <c r="C164" s="85" t="s">
        <v>174</v>
      </c>
      <c r="D164" s="86">
        <f aca="true" t="shared" si="70" ref="D164:D170">E164+F164+G164+H164</f>
        <v>1700</v>
      </c>
      <c r="E164" s="87">
        <f>15+9+362.5</f>
        <v>386.5</v>
      </c>
      <c r="F164" s="87">
        <f>25+12+362.5</f>
        <v>399.5</v>
      </c>
      <c r="G164" s="87">
        <f>75+30+362.5</f>
        <v>467.5</v>
      </c>
      <c r="H164" s="87">
        <f>65+19+362.5</f>
        <v>446.5</v>
      </c>
      <c r="I164" s="88">
        <f t="shared" si="67"/>
        <v>786</v>
      </c>
      <c r="J164" s="87">
        <v>283.2</v>
      </c>
      <c r="K164" s="88">
        <f t="shared" si="68"/>
        <v>36.030534351145036</v>
      </c>
      <c r="L164" s="88">
        <f t="shared" si="69"/>
        <v>16.658823529411766</v>
      </c>
    </row>
    <row r="165" spans="1:12" ht="12.75">
      <c r="A165" s="89" t="s">
        <v>175</v>
      </c>
      <c r="B165" s="89"/>
      <c r="C165" s="85" t="s">
        <v>176</v>
      </c>
      <c r="D165" s="86">
        <f t="shared" si="70"/>
        <v>190</v>
      </c>
      <c r="E165" s="87">
        <v>47.4</v>
      </c>
      <c r="F165" s="87">
        <v>47.4</v>
      </c>
      <c r="G165" s="87">
        <v>47.4</v>
      </c>
      <c r="H165" s="87">
        <v>47.8</v>
      </c>
      <c r="I165" s="88">
        <f t="shared" si="67"/>
        <v>94.8</v>
      </c>
      <c r="J165" s="87">
        <v>60.9</v>
      </c>
      <c r="K165" s="88">
        <f t="shared" si="68"/>
        <v>64.24050632911393</v>
      </c>
      <c r="L165" s="88">
        <f t="shared" si="69"/>
        <v>32.05263157894736</v>
      </c>
    </row>
    <row r="166" spans="1:12" ht="24">
      <c r="A166" s="90" t="s">
        <v>179</v>
      </c>
      <c r="B166" s="91"/>
      <c r="C166" s="85" t="s">
        <v>180</v>
      </c>
      <c r="D166" s="86">
        <f t="shared" si="70"/>
        <v>500.5</v>
      </c>
      <c r="E166" s="87">
        <f>50+60</f>
        <v>110</v>
      </c>
      <c r="F166" s="87">
        <v>140</v>
      </c>
      <c r="G166" s="87">
        <v>140</v>
      </c>
      <c r="H166" s="87">
        <v>110.5</v>
      </c>
      <c r="I166" s="88">
        <f t="shared" si="67"/>
        <v>250</v>
      </c>
      <c r="J166" s="87">
        <v>316.6</v>
      </c>
      <c r="K166" s="88">
        <f t="shared" si="68"/>
        <v>126.64000000000001</v>
      </c>
      <c r="L166" s="88">
        <f t="shared" si="69"/>
        <v>63.25674325674326</v>
      </c>
    </row>
    <row r="167" spans="1:12" ht="12.75">
      <c r="A167" s="93" t="s">
        <v>183</v>
      </c>
      <c r="B167" s="93"/>
      <c r="C167" s="85" t="s">
        <v>184</v>
      </c>
      <c r="D167" s="86">
        <f t="shared" si="70"/>
        <v>85</v>
      </c>
      <c r="E167" s="87">
        <v>39</v>
      </c>
      <c r="F167" s="87">
        <v>15</v>
      </c>
      <c r="G167" s="87">
        <v>15</v>
      </c>
      <c r="H167" s="87">
        <v>16</v>
      </c>
      <c r="I167" s="88">
        <f t="shared" si="67"/>
        <v>54</v>
      </c>
      <c r="J167" s="87">
        <v>68.4</v>
      </c>
      <c r="K167" s="88">
        <f t="shared" si="68"/>
        <v>126.66666666666669</v>
      </c>
      <c r="L167" s="88">
        <f t="shared" si="69"/>
        <v>80.47058823529413</v>
      </c>
    </row>
    <row r="168" spans="1:12" ht="12.75">
      <c r="A168" s="93" t="s">
        <v>185</v>
      </c>
      <c r="B168" s="93"/>
      <c r="C168" s="85" t="s">
        <v>186</v>
      </c>
      <c r="D168" s="86">
        <f t="shared" si="70"/>
        <v>195.5</v>
      </c>
      <c r="E168" s="87">
        <v>12.5</v>
      </c>
      <c r="F168" s="87">
        <v>12.5</v>
      </c>
      <c r="G168" s="87">
        <v>12.5</v>
      </c>
      <c r="H168" s="87">
        <f>12.5+145.5</f>
        <v>158</v>
      </c>
      <c r="I168" s="88">
        <f t="shared" si="67"/>
        <v>25</v>
      </c>
      <c r="J168" s="87">
        <v>90</v>
      </c>
      <c r="K168" s="88">
        <f t="shared" si="68"/>
        <v>360</v>
      </c>
      <c r="L168" s="88">
        <f t="shared" si="69"/>
        <v>46.03580562659847</v>
      </c>
    </row>
    <row r="169" spans="1:12" ht="12.75">
      <c r="A169" s="84" t="s">
        <v>189</v>
      </c>
      <c r="B169" s="84"/>
      <c r="C169" s="85" t="s">
        <v>190</v>
      </c>
      <c r="D169" s="86">
        <f t="shared" si="70"/>
        <v>451.4</v>
      </c>
      <c r="E169" s="87"/>
      <c r="F169" s="87">
        <v>451.4</v>
      </c>
      <c r="G169" s="87"/>
      <c r="H169" s="87"/>
      <c r="I169" s="88">
        <f t="shared" si="67"/>
        <v>451.4</v>
      </c>
      <c r="J169" s="87">
        <v>451.4</v>
      </c>
      <c r="K169" s="88">
        <f t="shared" si="68"/>
        <v>100</v>
      </c>
      <c r="L169" s="88">
        <f t="shared" si="69"/>
        <v>100</v>
      </c>
    </row>
    <row r="170" spans="1:12" ht="12.75">
      <c r="A170" s="122" t="s">
        <v>191</v>
      </c>
      <c r="B170" s="95"/>
      <c r="C170" s="96" t="s">
        <v>192</v>
      </c>
      <c r="D170" s="86">
        <f t="shared" si="70"/>
        <v>0</v>
      </c>
      <c r="E170" s="87"/>
      <c r="F170" s="87"/>
      <c r="G170" s="87"/>
      <c r="H170" s="87"/>
      <c r="I170" s="88">
        <f t="shared" si="67"/>
        <v>0</v>
      </c>
      <c r="J170" s="87"/>
      <c r="K170" s="88"/>
      <c r="L170" s="88"/>
    </row>
    <row r="171" spans="1:12" ht="12.75">
      <c r="A171" s="81" t="s">
        <v>197</v>
      </c>
      <c r="B171" s="81"/>
      <c r="C171" s="97" t="s">
        <v>198</v>
      </c>
      <c r="D171" s="116">
        <f>D172</f>
        <v>53963.6</v>
      </c>
      <c r="E171" s="116">
        <f aca="true" t="shared" si="71" ref="E171:J171">E172</f>
        <v>14217</v>
      </c>
      <c r="F171" s="116">
        <f t="shared" si="71"/>
        <v>12483.7</v>
      </c>
      <c r="G171" s="116">
        <f t="shared" si="71"/>
        <v>19977.3</v>
      </c>
      <c r="H171" s="116">
        <f t="shared" si="71"/>
        <v>7285.6</v>
      </c>
      <c r="I171" s="116">
        <f t="shared" si="71"/>
        <v>26700.7</v>
      </c>
      <c r="J171" s="116">
        <f t="shared" si="71"/>
        <v>12951.6</v>
      </c>
      <c r="K171" s="83">
        <f t="shared" si="68"/>
        <v>48.50659346009655</v>
      </c>
      <c r="L171" s="83">
        <f t="shared" si="69"/>
        <v>24.000622641929006</v>
      </c>
    </row>
    <row r="172" spans="1:12" ht="24">
      <c r="A172" s="99" t="s">
        <v>229</v>
      </c>
      <c r="B172" s="89"/>
      <c r="C172" s="100" t="s">
        <v>199</v>
      </c>
      <c r="D172" s="86">
        <f>E172+F172+G172+H172</f>
        <v>53963.6</v>
      </c>
      <c r="E172" s="87">
        <v>14217</v>
      </c>
      <c r="F172" s="87">
        <v>12483.7</v>
      </c>
      <c r="G172" s="87">
        <f>2710.5+4575+2647.6+9279.5+764.7</f>
        <v>19977.3</v>
      </c>
      <c r="H172" s="87">
        <f>2710.6+4575</f>
        <v>7285.6</v>
      </c>
      <c r="I172" s="88">
        <f t="shared" si="67"/>
        <v>26700.7</v>
      </c>
      <c r="J172" s="87">
        <v>12951.6</v>
      </c>
      <c r="K172" s="88">
        <f t="shared" si="68"/>
        <v>48.50659346009655</v>
      </c>
      <c r="L172" s="88">
        <f t="shared" si="69"/>
        <v>24.000622641929006</v>
      </c>
    </row>
    <row r="173" spans="1:12" ht="12.75">
      <c r="A173" s="84"/>
      <c r="B173" s="111"/>
      <c r="C173" s="112" t="s">
        <v>204</v>
      </c>
      <c r="D173" s="113">
        <f>D171+D161</f>
        <v>70590</v>
      </c>
      <c r="E173" s="113">
        <f aca="true" t="shared" si="72" ref="E173:J173">E171+E161</f>
        <v>18188.4</v>
      </c>
      <c r="F173" s="113">
        <f t="shared" si="72"/>
        <v>16925.5</v>
      </c>
      <c r="G173" s="113">
        <f t="shared" si="72"/>
        <v>24035.7</v>
      </c>
      <c r="H173" s="113">
        <f t="shared" si="72"/>
        <v>11440.400000000001</v>
      </c>
      <c r="I173" s="113">
        <f t="shared" si="72"/>
        <v>35113.9</v>
      </c>
      <c r="J173" s="113">
        <f t="shared" si="72"/>
        <v>19982.4</v>
      </c>
      <c r="K173" s="83">
        <f t="shared" si="68"/>
        <v>56.90737855948784</v>
      </c>
      <c r="L173" s="83">
        <f t="shared" si="69"/>
        <v>28.30769230769231</v>
      </c>
    </row>
    <row r="174" spans="1:12" ht="12.75">
      <c r="A174" s="149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1"/>
    </row>
    <row r="175" spans="1:12" ht="12.75">
      <c r="A175" s="146" t="s">
        <v>215</v>
      </c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8"/>
    </row>
    <row r="176" spans="1:12" ht="12.75">
      <c r="A176" s="81" t="s">
        <v>168</v>
      </c>
      <c r="B176" s="81"/>
      <c r="C176" s="82" t="s">
        <v>237</v>
      </c>
      <c r="D176" s="83">
        <f>D177+D179+D181+D182+D180+D183+D184+D185+D178</f>
        <v>1347.8</v>
      </c>
      <c r="E176" s="83">
        <f aca="true" t="shared" si="73" ref="E176:J176">E177+E179+E181+E182+E180+E183+E184+E185+E178</f>
        <v>178.2</v>
      </c>
      <c r="F176" s="83">
        <f t="shared" si="73"/>
        <v>369</v>
      </c>
      <c r="G176" s="83">
        <f t="shared" si="73"/>
        <v>380.3</v>
      </c>
      <c r="H176" s="83">
        <f t="shared" si="73"/>
        <v>420.3</v>
      </c>
      <c r="I176" s="83">
        <f t="shared" si="73"/>
        <v>547.2</v>
      </c>
      <c r="J176" s="83">
        <f t="shared" si="73"/>
        <v>727.3000000000001</v>
      </c>
      <c r="K176" s="83">
        <f>J176/I176*100</f>
        <v>132.91301169590645</v>
      </c>
      <c r="L176" s="83">
        <f>J176/D176*100</f>
        <v>53.96201216797745</v>
      </c>
    </row>
    <row r="177" spans="1:12" ht="12.75">
      <c r="A177" s="84" t="s">
        <v>169</v>
      </c>
      <c r="B177" s="84"/>
      <c r="C177" s="85" t="s">
        <v>170</v>
      </c>
      <c r="D177" s="86">
        <f aca="true" t="shared" si="74" ref="D177:D185">E177+F177+G177+H177</f>
        <v>1018.1</v>
      </c>
      <c r="E177" s="87">
        <v>120</v>
      </c>
      <c r="F177" s="87">
        <v>300</v>
      </c>
      <c r="G177" s="87">
        <v>280</v>
      </c>
      <c r="H177" s="87">
        <v>318.1</v>
      </c>
      <c r="I177" s="88">
        <f aca="true" t="shared" si="75" ref="I177:I184">E177+F177</f>
        <v>420</v>
      </c>
      <c r="J177" s="87">
        <v>383.8</v>
      </c>
      <c r="K177" s="88">
        <f>J177/I177*100</f>
        <v>91.38095238095238</v>
      </c>
      <c r="L177" s="88">
        <f aca="true" t="shared" si="76" ref="L177:L188">J177/D177*100</f>
        <v>37.69767213436794</v>
      </c>
    </row>
    <row r="178" spans="1:12" ht="12.75">
      <c r="A178" s="89" t="s">
        <v>171</v>
      </c>
      <c r="B178" s="131" t="s">
        <v>218</v>
      </c>
      <c r="C178" s="85" t="s">
        <v>172</v>
      </c>
      <c r="D178" s="86"/>
      <c r="E178" s="87"/>
      <c r="F178" s="87"/>
      <c r="G178" s="87"/>
      <c r="H178" s="87"/>
      <c r="I178" s="88"/>
      <c r="J178" s="87">
        <v>13.2</v>
      </c>
      <c r="K178" s="88"/>
      <c r="L178" s="88"/>
    </row>
    <row r="179" spans="1:12" ht="12.75">
      <c r="A179" s="89" t="s">
        <v>173</v>
      </c>
      <c r="B179" s="89"/>
      <c r="C179" s="85" t="s">
        <v>174</v>
      </c>
      <c r="D179" s="86">
        <f t="shared" si="74"/>
        <v>127</v>
      </c>
      <c r="E179" s="87">
        <f>4+11+1</f>
        <v>16</v>
      </c>
      <c r="F179" s="87">
        <f>3+10+1</f>
        <v>14</v>
      </c>
      <c r="G179" s="87">
        <f>25+22+1</f>
        <v>48</v>
      </c>
      <c r="H179" s="87">
        <f>10+37+2</f>
        <v>49</v>
      </c>
      <c r="I179" s="88">
        <f t="shared" si="75"/>
        <v>30</v>
      </c>
      <c r="J179" s="87">
        <v>7.5</v>
      </c>
      <c r="K179" s="88">
        <f>J179/I179*100</f>
        <v>25</v>
      </c>
      <c r="L179" s="88">
        <f t="shared" si="76"/>
        <v>5.905511811023622</v>
      </c>
    </row>
    <row r="180" spans="1:12" ht="12.75">
      <c r="A180" s="89" t="s">
        <v>175</v>
      </c>
      <c r="B180" s="89"/>
      <c r="C180" s="85" t="s">
        <v>176</v>
      </c>
      <c r="D180" s="86">
        <f t="shared" si="74"/>
        <v>27</v>
      </c>
      <c r="E180" s="87">
        <v>5</v>
      </c>
      <c r="F180" s="87">
        <v>7</v>
      </c>
      <c r="G180" s="87">
        <v>8</v>
      </c>
      <c r="H180" s="87">
        <v>7</v>
      </c>
      <c r="I180" s="88">
        <f t="shared" si="75"/>
        <v>12</v>
      </c>
      <c r="J180" s="87">
        <v>1.2</v>
      </c>
      <c r="K180" s="88">
        <f>J180/I180*100</f>
        <v>10</v>
      </c>
      <c r="L180" s="88">
        <f t="shared" si="76"/>
        <v>4.444444444444445</v>
      </c>
    </row>
    <row r="181" spans="1:12" ht="24">
      <c r="A181" s="90" t="s">
        <v>179</v>
      </c>
      <c r="B181" s="91"/>
      <c r="C181" s="85" t="s">
        <v>180</v>
      </c>
      <c r="D181" s="86">
        <f t="shared" si="74"/>
        <v>175</v>
      </c>
      <c r="E181" s="87">
        <f>21+11.2+5</f>
        <v>37.2</v>
      </c>
      <c r="F181" s="87">
        <f>36+11.3</f>
        <v>47.3</v>
      </c>
      <c r="G181" s="87">
        <f>33+11.3</f>
        <v>44.3</v>
      </c>
      <c r="H181" s="87">
        <f>35+11.2</f>
        <v>46.2</v>
      </c>
      <c r="I181" s="88">
        <f t="shared" si="75"/>
        <v>84.5</v>
      </c>
      <c r="J181" s="87">
        <v>132.1</v>
      </c>
      <c r="K181" s="88">
        <f>J181/I181*100</f>
        <v>156.33136094674555</v>
      </c>
      <c r="L181" s="88">
        <f t="shared" si="76"/>
        <v>75.48571428571428</v>
      </c>
    </row>
    <row r="182" spans="1:12" ht="12.75">
      <c r="A182" s="92" t="s">
        <v>185</v>
      </c>
      <c r="B182" s="92"/>
      <c r="C182" s="85" t="s">
        <v>186</v>
      </c>
      <c r="D182" s="86">
        <f t="shared" si="74"/>
        <v>0.7</v>
      </c>
      <c r="E182" s="87"/>
      <c r="F182" s="87">
        <v>0.7</v>
      </c>
      <c r="G182" s="87"/>
      <c r="H182" s="87"/>
      <c r="I182" s="88">
        <f t="shared" si="75"/>
        <v>0.7</v>
      </c>
      <c r="J182" s="87">
        <v>0.4</v>
      </c>
      <c r="K182" s="88">
        <f>J182/I182*100</f>
        <v>57.14285714285715</v>
      </c>
      <c r="L182" s="88">
        <f t="shared" si="76"/>
        <v>57.14285714285715</v>
      </c>
    </row>
    <row r="183" spans="1:12" ht="12.75">
      <c r="A183" s="92" t="s">
        <v>189</v>
      </c>
      <c r="B183" s="130"/>
      <c r="C183" s="85" t="s">
        <v>190</v>
      </c>
      <c r="D183" s="86">
        <f t="shared" si="74"/>
        <v>0</v>
      </c>
      <c r="E183" s="87"/>
      <c r="F183" s="87"/>
      <c r="G183" s="87"/>
      <c r="H183" s="87"/>
      <c r="I183" s="88">
        <f t="shared" si="75"/>
        <v>0</v>
      </c>
      <c r="J183" s="87">
        <v>189.1</v>
      </c>
      <c r="K183" s="88"/>
      <c r="L183" s="88"/>
    </row>
    <row r="184" spans="1:12" ht="12.75">
      <c r="A184" s="122" t="s">
        <v>191</v>
      </c>
      <c r="B184" s="95"/>
      <c r="C184" s="96" t="s">
        <v>192</v>
      </c>
      <c r="D184" s="86">
        <f t="shared" si="74"/>
        <v>0</v>
      </c>
      <c r="E184" s="87"/>
      <c r="F184" s="87"/>
      <c r="G184" s="87"/>
      <c r="H184" s="87"/>
      <c r="I184" s="88">
        <f t="shared" si="75"/>
        <v>0</v>
      </c>
      <c r="J184" s="87"/>
      <c r="K184" s="88"/>
      <c r="L184" s="88"/>
    </row>
    <row r="185" spans="1:12" ht="12.75">
      <c r="A185" s="94" t="s">
        <v>195</v>
      </c>
      <c r="B185" s="95"/>
      <c r="C185" s="96" t="s">
        <v>196</v>
      </c>
      <c r="D185" s="86">
        <f t="shared" si="74"/>
        <v>0</v>
      </c>
      <c r="E185" s="86"/>
      <c r="F185" s="86"/>
      <c r="G185" s="86"/>
      <c r="H185" s="86"/>
      <c r="I185" s="83">
        <f>E185</f>
        <v>0</v>
      </c>
      <c r="J185" s="87"/>
      <c r="K185" s="83"/>
      <c r="L185" s="83"/>
    </row>
    <row r="186" spans="1:12" ht="12.75">
      <c r="A186" s="81" t="s">
        <v>197</v>
      </c>
      <c r="B186" s="81"/>
      <c r="C186" s="97" t="s">
        <v>198</v>
      </c>
      <c r="D186" s="98">
        <f aca="true" t="shared" si="77" ref="D186:J186">D187</f>
        <v>25206.999999999996</v>
      </c>
      <c r="E186" s="98">
        <f t="shared" si="77"/>
        <v>4784</v>
      </c>
      <c r="F186" s="98">
        <f t="shared" si="77"/>
        <v>10818.899999999998</v>
      </c>
      <c r="G186" s="98">
        <f t="shared" si="77"/>
        <v>4802.4</v>
      </c>
      <c r="H186" s="98">
        <f t="shared" si="77"/>
        <v>4801.7</v>
      </c>
      <c r="I186" s="98">
        <f t="shared" si="77"/>
        <v>15602.899999999998</v>
      </c>
      <c r="J186" s="98">
        <f t="shared" si="77"/>
        <v>8775.6</v>
      </c>
      <c r="K186" s="83">
        <f>J186/I186*100</f>
        <v>56.243390651737826</v>
      </c>
      <c r="L186" s="83">
        <f t="shared" si="76"/>
        <v>34.814138929662406</v>
      </c>
    </row>
    <row r="187" spans="1:12" ht="24">
      <c r="A187" s="99" t="s">
        <v>229</v>
      </c>
      <c r="B187" s="89"/>
      <c r="C187" s="100" t="s">
        <v>199</v>
      </c>
      <c r="D187" s="86">
        <f>E187+F187+G187+H187</f>
        <v>25206.999999999996</v>
      </c>
      <c r="E187" s="87">
        <f>1548+2293+700+30+33+144+15+21</f>
        <v>4784</v>
      </c>
      <c r="F187" s="87">
        <f>2325.4+3441+2201.4+125.7+929.1+1796.3</f>
        <v>10818.899999999998</v>
      </c>
      <c r="G187" s="87">
        <f>1935+2867.4</f>
        <v>4802.4</v>
      </c>
      <c r="H187" s="87">
        <f>1932.6+2869.1</f>
        <v>4801.7</v>
      </c>
      <c r="I187" s="88">
        <f>E187+F187</f>
        <v>15602.899999999998</v>
      </c>
      <c r="J187" s="87">
        <v>8775.6</v>
      </c>
      <c r="K187" s="88">
        <f>J187/I187*100</f>
        <v>56.243390651737826</v>
      </c>
      <c r="L187" s="88">
        <f t="shared" si="76"/>
        <v>34.814138929662406</v>
      </c>
    </row>
    <row r="188" spans="1:12" ht="12.75">
      <c r="A188" s="84"/>
      <c r="B188" s="111"/>
      <c r="C188" s="112" t="s">
        <v>204</v>
      </c>
      <c r="D188" s="113">
        <f>D186+D176</f>
        <v>26554.799999999996</v>
      </c>
      <c r="E188" s="113">
        <f aca="true" t="shared" si="78" ref="E188:J188">E186+E176</f>
        <v>4962.2</v>
      </c>
      <c r="F188" s="113">
        <f t="shared" si="78"/>
        <v>11187.899999999998</v>
      </c>
      <c r="G188" s="113">
        <f t="shared" si="78"/>
        <v>5182.7</v>
      </c>
      <c r="H188" s="113">
        <f t="shared" si="78"/>
        <v>5222</v>
      </c>
      <c r="I188" s="113">
        <f t="shared" si="78"/>
        <v>16150.099999999999</v>
      </c>
      <c r="J188" s="113">
        <f t="shared" si="78"/>
        <v>9502.9</v>
      </c>
      <c r="K188" s="83">
        <f>J188/I188*100</f>
        <v>58.84112172680046</v>
      </c>
      <c r="L188" s="83">
        <f t="shared" si="76"/>
        <v>35.78599725849941</v>
      </c>
    </row>
    <row r="189" spans="1:12" ht="12.75">
      <c r="A189" s="149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1"/>
    </row>
    <row r="190" spans="1:12" ht="12.75">
      <c r="A190" s="146" t="s">
        <v>216</v>
      </c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8"/>
    </row>
    <row r="191" spans="1:12" ht="12.75">
      <c r="A191" s="81" t="s">
        <v>168</v>
      </c>
      <c r="B191" s="132"/>
      <c r="C191" s="82" t="s">
        <v>237</v>
      </c>
      <c r="D191" s="83">
        <f aca="true" t="shared" si="79" ref="D191:J191">D192+D193+D194+D195+D197+D198+D200+D202+D199+D196+D205+D203+D201+D204</f>
        <v>811346.3</v>
      </c>
      <c r="E191" s="83">
        <f t="shared" si="79"/>
        <v>168988.99999999997</v>
      </c>
      <c r="F191" s="83">
        <f t="shared" si="79"/>
        <v>233610.60000000003</v>
      </c>
      <c r="G191" s="83">
        <f t="shared" si="79"/>
        <v>193381.80000000005</v>
      </c>
      <c r="H191" s="83">
        <f t="shared" si="79"/>
        <v>215364.90000000002</v>
      </c>
      <c r="I191" s="83">
        <f t="shared" si="79"/>
        <v>402599.6000000001</v>
      </c>
      <c r="J191" s="83">
        <f t="shared" si="79"/>
        <v>381842.8</v>
      </c>
      <c r="K191" s="83">
        <f>J191/I191*100</f>
        <v>94.84430684978324</v>
      </c>
      <c r="L191" s="83">
        <f>J191/D191*100</f>
        <v>47.062863292776456</v>
      </c>
    </row>
    <row r="192" spans="1:12" ht="12.75">
      <c r="A192" s="84" t="s">
        <v>169</v>
      </c>
      <c r="B192" s="133" t="s">
        <v>217</v>
      </c>
      <c r="C192" s="85" t="s">
        <v>170</v>
      </c>
      <c r="D192" s="86">
        <f aca="true" t="shared" si="80" ref="D192:D205">E192+F192+G192+H192</f>
        <v>612690.8</v>
      </c>
      <c r="E192" s="87">
        <f>E9+E32+E44+E59+E74+E91+E105+E119+E133+E148+E162+E177</f>
        <v>133974.8</v>
      </c>
      <c r="F192" s="87">
        <f>F9+F32+F44+F59+F74+F91+F105+F119+F133+F148+F162+F177</f>
        <v>156104.00000000006</v>
      </c>
      <c r="G192" s="87">
        <f>G9+G32+G44+G59+G74+G91+G105+G119+G133+G148+G162+G177</f>
        <v>150725.80000000005</v>
      </c>
      <c r="H192" s="87">
        <f>H9+H32+H44+H59+H74+H91+H105+H119+H133+H148+H162+H177</f>
        <v>171886.2</v>
      </c>
      <c r="I192" s="87">
        <f>I9+I32+I44+I59+I74+I91+I105+I119+I133+I148+I162+I177</f>
        <v>290078.8</v>
      </c>
      <c r="J192" s="87">
        <f>J9+J32+J44+J59+J74+J91+J105+J119+J133+J148+J162+J177+0.1</f>
        <v>280211.3</v>
      </c>
      <c r="K192" s="88">
        <f aca="true" t="shared" si="81" ref="K192:K210">J192/I192*100</f>
        <v>96.59833810674893</v>
      </c>
      <c r="L192" s="88">
        <f aca="true" t="shared" si="82" ref="L192:L210">J192/D192*100</f>
        <v>45.73453689854654</v>
      </c>
    </row>
    <row r="193" spans="1:12" ht="12.75">
      <c r="A193" s="89" t="s">
        <v>171</v>
      </c>
      <c r="B193" s="131" t="s">
        <v>218</v>
      </c>
      <c r="C193" s="85" t="s">
        <v>172</v>
      </c>
      <c r="D193" s="86">
        <f t="shared" si="80"/>
        <v>32208.1</v>
      </c>
      <c r="E193" s="87">
        <f>E10+E45+E60</f>
        <v>6928.4</v>
      </c>
      <c r="F193" s="87">
        <f>F10+F45+F60</f>
        <v>11828.3</v>
      </c>
      <c r="G193" s="87">
        <f>G10+G45+G60</f>
        <v>7393.9</v>
      </c>
      <c r="H193" s="87">
        <f>H10+H45+H60</f>
        <v>6057.5</v>
      </c>
      <c r="I193" s="87">
        <f>I10+I45+I60+I178</f>
        <v>18756.699999999997</v>
      </c>
      <c r="J193" s="87">
        <f>J10+J45+J60+J178+0.1</f>
        <v>17447.6</v>
      </c>
      <c r="K193" s="88">
        <f t="shared" si="81"/>
        <v>93.0206272958463</v>
      </c>
      <c r="L193" s="88">
        <f t="shared" si="82"/>
        <v>54.17146618397235</v>
      </c>
    </row>
    <row r="194" spans="1:12" ht="12.75">
      <c r="A194" s="89" t="s">
        <v>173</v>
      </c>
      <c r="B194" s="131" t="s">
        <v>219</v>
      </c>
      <c r="C194" s="85" t="s">
        <v>174</v>
      </c>
      <c r="D194" s="86">
        <f t="shared" si="80"/>
        <v>30382</v>
      </c>
      <c r="E194" s="87">
        <f aca="true" t="shared" si="83" ref="E194:J194">E11+E33+E46+E61+E76+E92+E106+E120+E134+E149+E164+E179</f>
        <v>5740.999999999999</v>
      </c>
      <c r="F194" s="87">
        <f t="shared" si="83"/>
        <v>9732.2</v>
      </c>
      <c r="G194" s="87">
        <f t="shared" si="83"/>
        <v>5449.400000000001</v>
      </c>
      <c r="H194" s="87">
        <f t="shared" si="83"/>
        <v>9459.4</v>
      </c>
      <c r="I194" s="87">
        <f t="shared" si="83"/>
        <v>15473.2</v>
      </c>
      <c r="J194" s="87">
        <f t="shared" si="83"/>
        <v>11732.400000000001</v>
      </c>
      <c r="K194" s="88">
        <f t="shared" si="81"/>
        <v>75.82400537703901</v>
      </c>
      <c r="L194" s="88">
        <f t="shared" si="82"/>
        <v>38.616285958791394</v>
      </c>
    </row>
    <row r="195" spans="1:12" ht="12.75">
      <c r="A195" s="89" t="s">
        <v>175</v>
      </c>
      <c r="B195" s="131" t="s">
        <v>220</v>
      </c>
      <c r="C195" s="85" t="s">
        <v>176</v>
      </c>
      <c r="D195" s="86">
        <f t="shared" si="80"/>
        <v>3589</v>
      </c>
      <c r="E195" s="87">
        <f>E12+E34+E62+E77+E93+E107+E121+E135+E150+E165+E180</f>
        <v>774.8</v>
      </c>
      <c r="F195" s="87">
        <f>F12+F34+F62+F77+F93+F107+F121+F135+F150+F165+F180</f>
        <v>890.6</v>
      </c>
      <c r="G195" s="87">
        <f>G12+G34+G62+G77+G93+G107+G121+G135+G150+G165+G180</f>
        <v>995.1</v>
      </c>
      <c r="H195" s="87">
        <f>H12+H34+H62+H77+H93+H107+H121+H135+H150+H165+H180</f>
        <v>928.4999999999999</v>
      </c>
      <c r="I195" s="87">
        <f>I12+I34+I62+I77+I93+I107+I121+I135+I150+I165+I180</f>
        <v>1665.3999999999999</v>
      </c>
      <c r="J195" s="87">
        <f>J12+J34+J47+J62+J77+J93+J107+J121+J135+J150+J165+J180</f>
        <v>1412.5000000000002</v>
      </c>
      <c r="K195" s="88">
        <f t="shared" si="81"/>
        <v>84.81445898883153</v>
      </c>
      <c r="L195" s="88">
        <f t="shared" si="82"/>
        <v>39.35636667595431</v>
      </c>
    </row>
    <row r="196" spans="1:12" ht="24">
      <c r="A196" s="134" t="s">
        <v>177</v>
      </c>
      <c r="B196" s="131" t="s">
        <v>221</v>
      </c>
      <c r="C196" s="85" t="s">
        <v>178</v>
      </c>
      <c r="D196" s="86">
        <f t="shared" si="80"/>
        <v>0</v>
      </c>
      <c r="E196" s="135">
        <f aca="true" t="shared" si="84" ref="E196:J196">E13</f>
        <v>0</v>
      </c>
      <c r="F196" s="135">
        <f t="shared" si="84"/>
        <v>0</v>
      </c>
      <c r="G196" s="135">
        <f t="shared" si="84"/>
        <v>0</v>
      </c>
      <c r="H196" s="135">
        <f t="shared" si="84"/>
        <v>0</v>
      </c>
      <c r="I196" s="135">
        <f t="shared" si="84"/>
        <v>0</v>
      </c>
      <c r="J196" s="135">
        <f t="shared" si="84"/>
        <v>0</v>
      </c>
      <c r="K196" s="88"/>
      <c r="L196" s="88"/>
    </row>
    <row r="197" spans="1:12" ht="24">
      <c r="A197" s="90" t="s">
        <v>179</v>
      </c>
      <c r="B197" s="136" t="s">
        <v>222</v>
      </c>
      <c r="C197" s="85" t="s">
        <v>180</v>
      </c>
      <c r="D197" s="86">
        <f t="shared" si="80"/>
        <v>84375</v>
      </c>
      <c r="E197" s="87">
        <f aca="true" t="shared" si="85" ref="E197:J197">E14+E35+E48+E63+E78+E94+E108+E122+E136+E151+E166+E181</f>
        <v>10891.800000000001</v>
      </c>
      <c r="F197" s="87">
        <f t="shared" si="85"/>
        <v>32560.199999999997</v>
      </c>
      <c r="G197" s="87">
        <f t="shared" si="85"/>
        <v>22303.399999999994</v>
      </c>
      <c r="H197" s="87">
        <f t="shared" si="85"/>
        <v>18619.600000000002</v>
      </c>
      <c r="I197" s="87">
        <f t="shared" si="85"/>
        <v>43452</v>
      </c>
      <c r="J197" s="87">
        <f t="shared" si="85"/>
        <v>28659.299999999996</v>
      </c>
      <c r="K197" s="88">
        <f t="shared" si="81"/>
        <v>65.9562275614471</v>
      </c>
      <c r="L197" s="88">
        <f t="shared" si="82"/>
        <v>33.96657777777777</v>
      </c>
    </row>
    <row r="198" spans="1:12" ht="12.75">
      <c r="A198" s="92" t="s">
        <v>181</v>
      </c>
      <c r="B198" s="137" t="s">
        <v>223</v>
      </c>
      <c r="C198" s="85" t="s">
        <v>182</v>
      </c>
      <c r="D198" s="86">
        <f t="shared" si="80"/>
        <v>16000</v>
      </c>
      <c r="E198" s="87">
        <f aca="true" t="shared" si="86" ref="E198:J198">E15</f>
        <v>5600</v>
      </c>
      <c r="F198" s="87">
        <f t="shared" si="86"/>
        <v>4900</v>
      </c>
      <c r="G198" s="87">
        <f t="shared" si="86"/>
        <v>2700</v>
      </c>
      <c r="H198" s="87">
        <f t="shared" si="86"/>
        <v>2800</v>
      </c>
      <c r="I198" s="87">
        <f t="shared" si="86"/>
        <v>10500</v>
      </c>
      <c r="J198" s="87">
        <f t="shared" si="86"/>
        <v>10429.7</v>
      </c>
      <c r="K198" s="88">
        <f t="shared" si="81"/>
        <v>99.3304761904762</v>
      </c>
      <c r="L198" s="88">
        <f t="shared" si="82"/>
        <v>65.185625</v>
      </c>
    </row>
    <row r="199" spans="1:12" ht="12.75">
      <c r="A199" s="93" t="s">
        <v>183</v>
      </c>
      <c r="B199" s="138" t="s">
        <v>224</v>
      </c>
      <c r="C199" s="85" t="s">
        <v>184</v>
      </c>
      <c r="D199" s="86">
        <f t="shared" si="80"/>
        <v>9880</v>
      </c>
      <c r="E199" s="139">
        <f aca="true" t="shared" si="87" ref="E199:J199">E16+E79+E95+E123+E137+E152+E167+E109</f>
        <v>431.6</v>
      </c>
      <c r="F199" s="139">
        <f t="shared" si="87"/>
        <v>8419.8</v>
      </c>
      <c r="G199" s="139">
        <f t="shared" si="87"/>
        <v>399.7</v>
      </c>
      <c r="H199" s="139">
        <f t="shared" si="87"/>
        <v>628.9000000000001</v>
      </c>
      <c r="I199" s="139">
        <f t="shared" si="87"/>
        <v>8851.399999999998</v>
      </c>
      <c r="J199" s="139">
        <f t="shared" si="87"/>
        <v>17641</v>
      </c>
      <c r="K199" s="88">
        <f>J199/I199*100</f>
        <v>199.30180536412323</v>
      </c>
      <c r="L199" s="88">
        <f>J199/D199*100</f>
        <v>178.55263157894737</v>
      </c>
    </row>
    <row r="200" spans="1:12" ht="12.75">
      <c r="A200" s="93" t="s">
        <v>185</v>
      </c>
      <c r="B200" s="138" t="s">
        <v>225</v>
      </c>
      <c r="C200" s="85" t="s">
        <v>186</v>
      </c>
      <c r="D200" s="86">
        <f t="shared" si="80"/>
        <v>12200</v>
      </c>
      <c r="E200" s="87">
        <f aca="true" t="shared" si="88" ref="E200:J200">E17+E36+E49+E64+E80+E96+E110+E138+E153+E168+E182+E124</f>
        <v>3543.4</v>
      </c>
      <c r="F200" s="87">
        <f t="shared" si="88"/>
        <v>2719.9999999999995</v>
      </c>
      <c r="G200" s="87">
        <f t="shared" si="88"/>
        <v>2182</v>
      </c>
      <c r="H200" s="87">
        <f t="shared" si="88"/>
        <v>3754.6</v>
      </c>
      <c r="I200" s="87">
        <f t="shared" si="88"/>
        <v>6263.399999999999</v>
      </c>
      <c r="J200" s="87">
        <f t="shared" si="88"/>
        <v>5574.199999999999</v>
      </c>
      <c r="K200" s="88">
        <f t="shared" si="81"/>
        <v>88.99639173611776</v>
      </c>
      <c r="L200" s="88">
        <f t="shared" si="82"/>
        <v>45.690163934426224</v>
      </c>
    </row>
    <row r="201" spans="1:12" ht="12.75">
      <c r="A201" s="93" t="s">
        <v>187</v>
      </c>
      <c r="B201" s="93"/>
      <c r="C201" s="85" t="s">
        <v>188</v>
      </c>
      <c r="D201" s="86">
        <f t="shared" si="80"/>
        <v>10</v>
      </c>
      <c r="E201" s="87">
        <f aca="true" t="shared" si="89" ref="E201:J201">E18</f>
        <v>3.2</v>
      </c>
      <c r="F201" s="87">
        <f t="shared" si="89"/>
        <v>4.1</v>
      </c>
      <c r="G201" s="87">
        <f t="shared" si="89"/>
        <v>2.5</v>
      </c>
      <c r="H201" s="87">
        <f t="shared" si="89"/>
        <v>0.2</v>
      </c>
      <c r="I201" s="87">
        <f t="shared" si="89"/>
        <v>7.3</v>
      </c>
      <c r="J201" s="87">
        <f t="shared" si="89"/>
        <v>6.4</v>
      </c>
      <c r="K201" s="88">
        <f t="shared" si="81"/>
        <v>87.67123287671234</v>
      </c>
      <c r="L201" s="88">
        <f t="shared" si="82"/>
        <v>64</v>
      </c>
    </row>
    <row r="202" spans="1:12" ht="12.75">
      <c r="A202" s="84" t="s">
        <v>189</v>
      </c>
      <c r="B202" s="133" t="s">
        <v>226</v>
      </c>
      <c r="C202" s="85" t="s">
        <v>190</v>
      </c>
      <c r="D202" s="87">
        <f aca="true" t="shared" si="90" ref="D202:I202">D19+D169+D183+D65+D125+D50+D139</f>
        <v>10011.4</v>
      </c>
      <c r="E202" s="87">
        <f t="shared" si="90"/>
        <v>1100</v>
      </c>
      <c r="F202" s="87">
        <f t="shared" si="90"/>
        <v>6451.4</v>
      </c>
      <c r="G202" s="87">
        <f t="shared" si="90"/>
        <v>1230</v>
      </c>
      <c r="H202" s="87">
        <f t="shared" si="90"/>
        <v>1230</v>
      </c>
      <c r="I202" s="87">
        <f t="shared" si="90"/>
        <v>7551.4</v>
      </c>
      <c r="J202" s="87">
        <f>J19+J169+J183+J65+J125+J50+J139</f>
        <v>8083.599999999999</v>
      </c>
      <c r="K202" s="88">
        <f t="shared" si="81"/>
        <v>107.04769976428213</v>
      </c>
      <c r="L202" s="88">
        <f t="shared" si="82"/>
        <v>80.74395189483988</v>
      </c>
    </row>
    <row r="203" spans="1:12" ht="12.75">
      <c r="A203" s="94" t="s">
        <v>191</v>
      </c>
      <c r="B203" s="140" t="s">
        <v>221</v>
      </c>
      <c r="C203" s="96" t="s">
        <v>192</v>
      </c>
      <c r="D203" s="86">
        <f t="shared" si="80"/>
        <v>0</v>
      </c>
      <c r="E203" s="87">
        <f aca="true" t="shared" si="91" ref="E203:J203">E20+E37+E51+E66+E82+E97+E112+E126+E140+E155+E170+E184</f>
        <v>0</v>
      </c>
      <c r="F203" s="87">
        <f t="shared" si="91"/>
        <v>0</v>
      </c>
      <c r="G203" s="87">
        <f t="shared" si="91"/>
        <v>0</v>
      </c>
      <c r="H203" s="87">
        <f t="shared" si="91"/>
        <v>0</v>
      </c>
      <c r="I203" s="87">
        <f t="shared" si="91"/>
        <v>0</v>
      </c>
      <c r="J203" s="87">
        <f t="shared" si="91"/>
        <v>644.8000000000001</v>
      </c>
      <c r="K203" s="88"/>
      <c r="L203" s="88"/>
    </row>
    <row r="204" spans="1:12" ht="12.75">
      <c r="A204" s="94" t="s">
        <v>193</v>
      </c>
      <c r="B204" s="95"/>
      <c r="C204" s="96" t="s">
        <v>194</v>
      </c>
      <c r="D204" s="86">
        <f t="shared" si="80"/>
        <v>0</v>
      </c>
      <c r="E204" s="87">
        <f aca="true" t="shared" si="92" ref="E204:H205">E21</f>
        <v>0</v>
      </c>
      <c r="F204" s="87">
        <f t="shared" si="92"/>
        <v>0</v>
      </c>
      <c r="G204" s="87">
        <f t="shared" si="92"/>
        <v>0</v>
      </c>
      <c r="H204" s="87">
        <f t="shared" si="92"/>
        <v>0</v>
      </c>
      <c r="I204" s="88">
        <f>E204</f>
        <v>0</v>
      </c>
      <c r="J204" s="87">
        <f>J21</f>
        <v>0</v>
      </c>
      <c r="K204" s="88"/>
      <c r="L204" s="88"/>
    </row>
    <row r="205" spans="1:12" ht="12.75">
      <c r="A205" s="94" t="s">
        <v>195</v>
      </c>
      <c r="B205" s="140" t="s">
        <v>221</v>
      </c>
      <c r="C205" s="96" t="s">
        <v>196</v>
      </c>
      <c r="D205" s="86">
        <f t="shared" si="80"/>
        <v>0</v>
      </c>
      <c r="E205" s="87">
        <f t="shared" si="92"/>
        <v>0</v>
      </c>
      <c r="F205" s="87">
        <f t="shared" si="92"/>
        <v>0</v>
      </c>
      <c r="G205" s="87">
        <f t="shared" si="92"/>
        <v>0</v>
      </c>
      <c r="H205" s="87">
        <f t="shared" si="92"/>
        <v>0</v>
      </c>
      <c r="I205" s="88">
        <f>E205</f>
        <v>0</v>
      </c>
      <c r="J205" s="87">
        <f>J22+J185+J83+J141</f>
        <v>0</v>
      </c>
      <c r="K205" s="88"/>
      <c r="L205" s="88"/>
    </row>
    <row r="206" spans="1:12" ht="12.75">
      <c r="A206" s="81" t="s">
        <v>197</v>
      </c>
      <c r="B206" s="132"/>
      <c r="C206" s="97" t="s">
        <v>198</v>
      </c>
      <c r="D206" s="98">
        <f>D207+D208+D209</f>
        <v>3286077.3</v>
      </c>
      <c r="E206" s="98">
        <f aca="true" t="shared" si="93" ref="E206:J206">E207+E208+E209</f>
        <v>616519.7999999999</v>
      </c>
      <c r="F206" s="98">
        <f t="shared" si="93"/>
        <v>1096475.4000000001</v>
      </c>
      <c r="G206" s="98">
        <f t="shared" si="93"/>
        <v>675791.2</v>
      </c>
      <c r="H206" s="98">
        <f t="shared" si="93"/>
        <v>897290.9</v>
      </c>
      <c r="I206" s="98">
        <f t="shared" si="93"/>
        <v>1712995.2000000002</v>
      </c>
      <c r="J206" s="98">
        <f t="shared" si="93"/>
        <v>1419158.7999999998</v>
      </c>
      <c r="K206" s="83">
        <f t="shared" si="81"/>
        <v>82.84663027660554</v>
      </c>
      <c r="L206" s="83">
        <f t="shared" si="82"/>
        <v>43.1870181507903</v>
      </c>
    </row>
    <row r="207" spans="1:12" ht="24">
      <c r="A207" s="99" t="s">
        <v>229</v>
      </c>
      <c r="B207" s="131" t="s">
        <v>227</v>
      </c>
      <c r="C207" s="100" t="s">
        <v>199</v>
      </c>
      <c r="D207" s="105">
        <f>E207+F207+G207+H207</f>
        <v>3259164.6999999997</v>
      </c>
      <c r="E207" s="105">
        <f>E24-5301.3</f>
        <v>607224.7999999999</v>
      </c>
      <c r="F207" s="105">
        <f>F24-7951.9-535.1</f>
        <v>1091447.8</v>
      </c>
      <c r="G207" s="105">
        <f>G24-7243</f>
        <v>669496.2</v>
      </c>
      <c r="H207" s="105">
        <f>H24-6170</f>
        <v>890995.9</v>
      </c>
      <c r="I207" s="105">
        <f>E207+F207</f>
        <v>1698672.6</v>
      </c>
      <c r="J207" s="105">
        <f>J24-5401.9</f>
        <v>1408376</v>
      </c>
      <c r="K207" s="107">
        <f t="shared" si="81"/>
        <v>82.91038543860658</v>
      </c>
      <c r="L207" s="107">
        <f t="shared" si="82"/>
        <v>43.21279007470841</v>
      </c>
    </row>
    <row r="208" spans="1:12" ht="12.75">
      <c r="A208" s="101" t="s">
        <v>200</v>
      </c>
      <c r="B208" s="101" t="s">
        <v>228</v>
      </c>
      <c r="C208" s="102" t="s">
        <v>201</v>
      </c>
      <c r="D208" s="106">
        <f aca="true" t="shared" si="94" ref="D208:I208">D25+D86+D100</f>
        <v>33200</v>
      </c>
      <c r="E208" s="106">
        <f>E25+E86+E100</f>
        <v>9295</v>
      </c>
      <c r="F208" s="106">
        <f t="shared" si="94"/>
        <v>11315</v>
      </c>
      <c r="G208" s="106">
        <f t="shared" si="94"/>
        <v>6295</v>
      </c>
      <c r="H208" s="106">
        <f t="shared" si="94"/>
        <v>6295</v>
      </c>
      <c r="I208" s="106">
        <f t="shared" si="94"/>
        <v>20610</v>
      </c>
      <c r="J208" s="106">
        <f>J25+J86+J100</f>
        <v>17355.9</v>
      </c>
      <c r="K208" s="107">
        <f t="shared" si="81"/>
        <v>84.21106259097526</v>
      </c>
      <c r="L208" s="107">
        <f t="shared" si="82"/>
        <v>52.276807228915665</v>
      </c>
    </row>
    <row r="209" spans="1:12" ht="24">
      <c r="A209" s="99" t="s">
        <v>230</v>
      </c>
      <c r="B209" s="141"/>
      <c r="C209" s="124" t="s">
        <v>203</v>
      </c>
      <c r="D209" s="105">
        <f>E209+F209+G209+H209</f>
        <v>-6287.4</v>
      </c>
      <c r="E209" s="106">
        <f aca="true" t="shared" si="95" ref="E209:J209">E27</f>
        <v>0</v>
      </c>
      <c r="F209" s="106">
        <f t="shared" si="95"/>
        <v>-6287.4</v>
      </c>
      <c r="G209" s="106">
        <f t="shared" si="95"/>
        <v>0</v>
      </c>
      <c r="H209" s="106">
        <f t="shared" si="95"/>
        <v>0</v>
      </c>
      <c r="I209" s="105">
        <f t="shared" si="95"/>
        <v>-6287.4</v>
      </c>
      <c r="J209" s="106">
        <f t="shared" si="95"/>
        <v>-6573.1</v>
      </c>
      <c r="K209" s="110"/>
      <c r="L209" s="110"/>
    </row>
    <row r="210" spans="1:12" ht="12.75">
      <c r="A210" s="142"/>
      <c r="B210" s="143"/>
      <c r="C210" s="144" t="s">
        <v>204</v>
      </c>
      <c r="D210" s="145">
        <f>D206+D191</f>
        <v>4097423.5999999996</v>
      </c>
      <c r="E210" s="145">
        <f aca="true" t="shared" si="96" ref="E210:J210">E206+E191</f>
        <v>785508.7999999999</v>
      </c>
      <c r="F210" s="145">
        <f t="shared" si="96"/>
        <v>1330086.0000000002</v>
      </c>
      <c r="G210" s="145">
        <f t="shared" si="96"/>
        <v>869173</v>
      </c>
      <c r="H210" s="145">
        <f t="shared" si="96"/>
        <v>1112655.8</v>
      </c>
      <c r="I210" s="145">
        <f t="shared" si="96"/>
        <v>2115594.8000000003</v>
      </c>
      <c r="J210" s="145">
        <f t="shared" si="96"/>
        <v>1801001.5999999999</v>
      </c>
      <c r="K210" s="83">
        <f t="shared" si="81"/>
        <v>85.129798957721</v>
      </c>
      <c r="L210" s="83">
        <f t="shared" si="82"/>
        <v>43.9544888646612</v>
      </c>
    </row>
  </sheetData>
  <sheetProtection/>
  <mergeCells count="27">
    <mergeCell ref="A146:L146"/>
    <mergeCell ref="A159:L159"/>
    <mergeCell ref="A160:L160"/>
    <mergeCell ref="A174:L174"/>
    <mergeCell ref="A175:L175"/>
    <mergeCell ref="A103:L103"/>
    <mergeCell ref="A116:L116"/>
    <mergeCell ref="A117:L117"/>
    <mergeCell ref="A130:L130"/>
    <mergeCell ref="A131:L131"/>
    <mergeCell ref="A145:L145"/>
    <mergeCell ref="A57:L57"/>
    <mergeCell ref="A71:L71"/>
    <mergeCell ref="A72:L72"/>
    <mergeCell ref="A88:L88"/>
    <mergeCell ref="A89:L89"/>
    <mergeCell ref="A102:L102"/>
    <mergeCell ref="A42:L42"/>
    <mergeCell ref="A189:L189"/>
    <mergeCell ref="A190:L190"/>
    <mergeCell ref="A1:L1"/>
    <mergeCell ref="A2:L2"/>
    <mergeCell ref="A7:L7"/>
    <mergeCell ref="A29:L29"/>
    <mergeCell ref="A30:L30"/>
    <mergeCell ref="C41:L41"/>
    <mergeCell ref="A56:L56"/>
  </mergeCells>
  <printOptions/>
  <pageMargins left="0.79" right="0.1968503937007874" top="0.1968503937007874" bottom="0.19" header="0.15748031496062992" footer="0.1968503937007874"/>
  <pageSetup fitToHeight="7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1"/>
  <sheetViews>
    <sheetView zoomScalePageLayoutView="0" workbookViewId="0" topLeftCell="A1">
      <selection activeCell="A1" sqref="A1:K137"/>
    </sheetView>
  </sheetViews>
  <sheetFormatPr defaultColWidth="9.00390625" defaultRowHeight="12.75"/>
  <cols>
    <col min="2" max="2" width="46.25390625" style="0" customWidth="1"/>
    <col min="3" max="3" width="13.625" style="0" customWidth="1"/>
    <col min="4" max="4" width="12.375" style="0" customWidth="1"/>
    <col min="5" max="5" width="11.25390625" style="0" customWidth="1"/>
    <col min="6" max="6" width="14.00390625" style="0" customWidth="1"/>
    <col min="7" max="7" width="11.375" style="0" customWidth="1"/>
    <col min="9" max="9" width="12.00390625" style="0" customWidth="1"/>
    <col min="10" max="10" width="12.875" style="0" customWidth="1"/>
  </cols>
  <sheetData>
    <row r="1" spans="1:11" ht="14.25" customHeight="1">
      <c r="A1" s="178" t="s">
        <v>246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4.25" customHeight="1" thickBot="1">
      <c r="A2" s="57"/>
      <c r="B2" s="58"/>
      <c r="C2" s="59"/>
      <c r="D2" s="2"/>
      <c r="E2" s="60"/>
      <c r="F2" s="3"/>
      <c r="G2" s="4"/>
      <c r="H2" s="4"/>
      <c r="I2" s="5"/>
      <c r="J2" s="6"/>
      <c r="K2" s="6"/>
    </row>
    <row r="3" spans="1:11" ht="12.75" customHeight="1">
      <c r="A3" s="179" t="s">
        <v>0</v>
      </c>
      <c r="B3" s="181" t="s">
        <v>1</v>
      </c>
      <c r="C3" s="183" t="s">
        <v>2</v>
      </c>
      <c r="D3" s="183"/>
      <c r="E3" s="183"/>
      <c r="F3" s="184" t="s">
        <v>3</v>
      </c>
      <c r="G3" s="184"/>
      <c r="H3" s="184"/>
      <c r="I3" s="164" t="s">
        <v>4</v>
      </c>
      <c r="J3" s="164"/>
      <c r="K3" s="165"/>
    </row>
    <row r="4" spans="1:11" ht="12.75" customHeight="1">
      <c r="A4" s="180"/>
      <c r="B4" s="182"/>
      <c r="C4" s="166" t="s">
        <v>5</v>
      </c>
      <c r="D4" s="166" t="s">
        <v>247</v>
      </c>
      <c r="E4" s="166" t="s">
        <v>6</v>
      </c>
      <c r="F4" s="166" t="s">
        <v>5</v>
      </c>
      <c r="G4" s="173" t="s">
        <v>247</v>
      </c>
      <c r="H4" s="173" t="s">
        <v>6</v>
      </c>
      <c r="I4" s="174" t="s">
        <v>5</v>
      </c>
      <c r="J4" s="169" t="s">
        <v>248</v>
      </c>
      <c r="K4" s="170" t="s">
        <v>6</v>
      </c>
    </row>
    <row r="5" spans="1:11" ht="12.75" customHeight="1">
      <c r="A5" s="180"/>
      <c r="B5" s="182"/>
      <c r="C5" s="167"/>
      <c r="D5" s="166"/>
      <c r="E5" s="168"/>
      <c r="F5" s="167"/>
      <c r="G5" s="173"/>
      <c r="H5" s="167"/>
      <c r="I5" s="175"/>
      <c r="J5" s="169"/>
      <c r="K5" s="171"/>
    </row>
    <row r="6" spans="1:11" ht="24.75" customHeight="1">
      <c r="A6" s="180"/>
      <c r="B6" s="176" t="s">
        <v>7</v>
      </c>
      <c r="C6" s="176"/>
      <c r="D6" s="176"/>
      <c r="E6" s="176"/>
      <c r="F6" s="176"/>
      <c r="G6" s="176"/>
      <c r="H6" s="176"/>
      <c r="I6" s="176"/>
      <c r="J6" s="176"/>
      <c r="K6" s="177"/>
    </row>
    <row r="7" spans="1:11" ht="12.75">
      <c r="A7" s="180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2.75">
      <c r="A8" s="180"/>
      <c r="B8" s="176"/>
      <c r="C8" s="176"/>
      <c r="D8" s="176"/>
      <c r="E8" s="176"/>
      <c r="F8" s="176"/>
      <c r="G8" s="176"/>
      <c r="H8" s="176"/>
      <c r="I8" s="176"/>
      <c r="J8" s="176"/>
      <c r="K8" s="177"/>
    </row>
    <row r="9" spans="1:11" ht="12.75">
      <c r="A9" s="32" t="s">
        <v>8</v>
      </c>
      <c r="B9" s="33" t="s">
        <v>9</v>
      </c>
      <c r="C9" s="34">
        <f>SUM(C10:C17)</f>
        <v>244170.8</v>
      </c>
      <c r="D9" s="34">
        <f>SUM(D10:D17)</f>
        <v>113941.1</v>
      </c>
      <c r="E9" s="34">
        <f>D9/C9*100</f>
        <v>46.66450697626416</v>
      </c>
      <c r="F9" s="34">
        <f>F10+F11+F12+F13+F14+F16+F17+F15</f>
        <v>185315.00000000003</v>
      </c>
      <c r="G9" s="34">
        <f>SUM(G10:G17)</f>
        <v>77645</v>
      </c>
      <c r="H9" s="35">
        <f>G9/F9*100</f>
        <v>41.89892885087553</v>
      </c>
      <c r="I9" s="34">
        <f>SUM(I10:I17)</f>
        <v>428811.79999999993</v>
      </c>
      <c r="J9" s="34">
        <f>SUM(J10:J17)</f>
        <v>190992.09999999998</v>
      </c>
      <c r="K9" s="36">
        <f>J9/I9*100</f>
        <v>44.53984242038116</v>
      </c>
    </row>
    <row r="10" spans="1:11" ht="12.75">
      <c r="A10" s="37" t="s">
        <v>10</v>
      </c>
      <c r="B10" s="38" t="s">
        <v>11</v>
      </c>
      <c r="C10" s="29">
        <v>14331</v>
      </c>
      <c r="D10" s="29">
        <v>8118.1</v>
      </c>
      <c r="E10" s="29">
        <f>D10/C10*100</f>
        <v>56.64712860233061</v>
      </c>
      <c r="F10" s="39">
        <v>33541.3</v>
      </c>
      <c r="G10" s="30">
        <v>16495</v>
      </c>
      <c r="H10" s="39">
        <f>G10/F10*100</f>
        <v>49.17817735150396</v>
      </c>
      <c r="I10" s="40">
        <f aca="true" t="shared" si="0" ref="I10:J84">C10+F10</f>
        <v>47872.3</v>
      </c>
      <c r="J10" s="31">
        <f t="shared" si="0"/>
        <v>24613.1</v>
      </c>
      <c r="K10" s="41">
        <f aca="true" t="shared" si="1" ref="K10:K86">J10/I10*100</f>
        <v>51.414074527440704</v>
      </c>
    </row>
    <row r="11" spans="1:11" ht="22.5">
      <c r="A11" s="37" t="s">
        <v>12</v>
      </c>
      <c r="B11" s="38" t="s">
        <v>13</v>
      </c>
      <c r="C11" s="29">
        <v>24324</v>
      </c>
      <c r="D11" s="29">
        <v>11975.8</v>
      </c>
      <c r="E11" s="29">
        <f aca="true" t="shared" si="2" ref="E11:E19">D11/C11*100</f>
        <v>49.2345009044565</v>
      </c>
      <c r="F11" s="39">
        <v>0</v>
      </c>
      <c r="G11" s="30">
        <v>0</v>
      </c>
      <c r="H11" s="39">
        <v>0</v>
      </c>
      <c r="I11" s="40">
        <f t="shared" si="0"/>
        <v>24324</v>
      </c>
      <c r="J11" s="31">
        <f t="shared" si="0"/>
        <v>11975.8</v>
      </c>
      <c r="K11" s="41">
        <f t="shared" si="1"/>
        <v>49.2345009044565</v>
      </c>
    </row>
    <row r="12" spans="1:11" ht="12.75">
      <c r="A12" s="37" t="s">
        <v>14</v>
      </c>
      <c r="B12" s="38" t="s">
        <v>15</v>
      </c>
      <c r="C12" s="29">
        <v>110106.4</v>
      </c>
      <c r="D12" s="29">
        <v>54409.4</v>
      </c>
      <c r="E12" s="29">
        <f t="shared" si="2"/>
        <v>49.415292844012704</v>
      </c>
      <c r="F12" s="39">
        <v>113615.6</v>
      </c>
      <c r="G12" s="30">
        <v>49261.7</v>
      </c>
      <c r="H12" s="39">
        <f aca="true" t="shared" si="3" ref="H12:H19">G12/F12*100</f>
        <v>43.358218413668546</v>
      </c>
      <c r="I12" s="40">
        <f t="shared" si="0"/>
        <v>223722</v>
      </c>
      <c r="J12" s="31">
        <f t="shared" si="0"/>
        <v>103671.1</v>
      </c>
      <c r="K12" s="41">
        <f t="shared" si="1"/>
        <v>46.33925139235301</v>
      </c>
    </row>
    <row r="13" spans="1:11" ht="12.75">
      <c r="A13" s="37" t="s">
        <v>16</v>
      </c>
      <c r="B13" s="38" t="s">
        <v>17</v>
      </c>
      <c r="C13" s="29">
        <v>5.8</v>
      </c>
      <c r="D13" s="29">
        <v>3.8</v>
      </c>
      <c r="E13" s="29">
        <f t="shared" si="2"/>
        <v>65.51724137931035</v>
      </c>
      <c r="F13" s="39">
        <v>0</v>
      </c>
      <c r="G13" s="30">
        <v>0</v>
      </c>
      <c r="H13" s="39">
        <v>0</v>
      </c>
      <c r="I13" s="40">
        <f t="shared" si="0"/>
        <v>5.8</v>
      </c>
      <c r="J13" s="31">
        <f t="shared" si="0"/>
        <v>3.8</v>
      </c>
      <c r="K13" s="41">
        <f t="shared" si="1"/>
        <v>65.51724137931035</v>
      </c>
    </row>
    <row r="14" spans="1:11" ht="12.75">
      <c r="A14" s="37" t="s">
        <v>18</v>
      </c>
      <c r="B14" s="38" t="s">
        <v>19</v>
      </c>
      <c r="C14" s="29">
        <v>28951.6</v>
      </c>
      <c r="D14" s="29">
        <v>14598.3</v>
      </c>
      <c r="E14" s="29">
        <f t="shared" si="2"/>
        <v>50.42311996573592</v>
      </c>
      <c r="F14" s="39">
        <v>594</v>
      </c>
      <c r="G14" s="30">
        <v>229.2</v>
      </c>
      <c r="H14" s="39">
        <f t="shared" si="3"/>
        <v>38.58585858585858</v>
      </c>
      <c r="I14" s="40">
        <f>C14+F14-594</f>
        <v>28951.6</v>
      </c>
      <c r="J14" s="31">
        <f>D14+G14-594</f>
        <v>14233.5</v>
      </c>
      <c r="K14" s="41">
        <f t="shared" si="1"/>
        <v>49.16308597797704</v>
      </c>
    </row>
    <row r="15" spans="1:11" ht="12.75">
      <c r="A15" s="42" t="s">
        <v>239</v>
      </c>
      <c r="B15" s="38" t="s">
        <v>240</v>
      </c>
      <c r="C15" s="29"/>
      <c r="D15" s="29"/>
      <c r="E15" s="29"/>
      <c r="F15" s="39">
        <v>8625</v>
      </c>
      <c r="G15" s="30">
        <v>0</v>
      </c>
      <c r="H15" s="39">
        <f t="shared" si="3"/>
        <v>0</v>
      </c>
      <c r="I15" s="40">
        <f>C15+F15</f>
        <v>8625</v>
      </c>
      <c r="J15" s="31">
        <f t="shared" si="0"/>
        <v>0</v>
      </c>
      <c r="K15" s="41">
        <f t="shared" si="1"/>
        <v>0</v>
      </c>
    </row>
    <row r="16" spans="1:11" ht="12.75">
      <c r="A16" s="42" t="s">
        <v>20</v>
      </c>
      <c r="B16" s="38" t="s">
        <v>21</v>
      </c>
      <c r="C16" s="29">
        <v>4536</v>
      </c>
      <c r="D16" s="29">
        <v>0</v>
      </c>
      <c r="E16" s="29">
        <f t="shared" si="2"/>
        <v>0</v>
      </c>
      <c r="F16" s="39">
        <v>1340.5</v>
      </c>
      <c r="G16" s="30">
        <v>0</v>
      </c>
      <c r="H16" s="39">
        <f t="shared" si="3"/>
        <v>0</v>
      </c>
      <c r="I16" s="40">
        <f t="shared" si="0"/>
        <v>5876.5</v>
      </c>
      <c r="J16" s="31">
        <f t="shared" si="0"/>
        <v>0</v>
      </c>
      <c r="K16" s="41">
        <f t="shared" si="1"/>
        <v>0</v>
      </c>
    </row>
    <row r="17" spans="1:11" ht="12.75">
      <c r="A17" s="37" t="s">
        <v>22</v>
      </c>
      <c r="B17" s="38" t="s">
        <v>23</v>
      </c>
      <c r="C17" s="29">
        <v>61916</v>
      </c>
      <c r="D17" s="29">
        <v>24835.7</v>
      </c>
      <c r="E17" s="29">
        <f t="shared" si="2"/>
        <v>40.11192583500226</v>
      </c>
      <c r="F17" s="39">
        <v>27598.6</v>
      </c>
      <c r="G17" s="30">
        <v>11659.1</v>
      </c>
      <c r="H17" s="39">
        <f t="shared" si="3"/>
        <v>42.24525881747625</v>
      </c>
      <c r="I17" s="40">
        <f>C17+F17-80</f>
        <v>89434.6</v>
      </c>
      <c r="J17" s="31">
        <f>D17+G17</f>
        <v>36494.8</v>
      </c>
      <c r="K17" s="41">
        <f t="shared" si="1"/>
        <v>40.806130960500745</v>
      </c>
    </row>
    <row r="18" spans="1:11" ht="12.75" customHeight="1">
      <c r="A18" s="32" t="s">
        <v>24</v>
      </c>
      <c r="B18" s="33" t="s">
        <v>25</v>
      </c>
      <c r="C18" s="34">
        <f aca="true" t="shared" si="4" ref="C18:J18">C19</f>
        <v>3567.9</v>
      </c>
      <c r="D18" s="34">
        <f t="shared" si="4"/>
        <v>3567.9</v>
      </c>
      <c r="E18" s="34">
        <f t="shared" si="4"/>
        <v>100</v>
      </c>
      <c r="F18" s="34">
        <f t="shared" si="4"/>
        <v>3567.9</v>
      </c>
      <c r="G18" s="34">
        <f t="shared" si="4"/>
        <v>1052.9</v>
      </c>
      <c r="H18" s="43">
        <f t="shared" si="4"/>
        <v>29.510356231957175</v>
      </c>
      <c r="I18" s="34">
        <f t="shared" si="4"/>
        <v>3567.9</v>
      </c>
      <c r="J18" s="34">
        <f t="shared" si="4"/>
        <v>1052.9</v>
      </c>
      <c r="K18" s="44">
        <f t="shared" si="1"/>
        <v>29.510356231957175</v>
      </c>
    </row>
    <row r="19" spans="1:11" ht="12.75" customHeight="1">
      <c r="A19" s="37" t="s">
        <v>26</v>
      </c>
      <c r="B19" s="38" t="s">
        <v>27</v>
      </c>
      <c r="C19" s="29">
        <v>3567.9</v>
      </c>
      <c r="D19" s="29">
        <v>3567.9</v>
      </c>
      <c r="E19" s="29">
        <f t="shared" si="2"/>
        <v>100</v>
      </c>
      <c r="F19" s="39">
        <v>3567.9</v>
      </c>
      <c r="G19" s="30">
        <v>1052.9</v>
      </c>
      <c r="H19" s="39">
        <f t="shared" si="3"/>
        <v>29.510356231957175</v>
      </c>
      <c r="I19" s="40">
        <f>C19+F19-3567.9</f>
        <v>3567.9</v>
      </c>
      <c r="J19" s="31">
        <f>D19+G19-3567.9</f>
        <v>1052.9</v>
      </c>
      <c r="K19" s="41">
        <f t="shared" si="1"/>
        <v>29.510356231957175</v>
      </c>
    </row>
    <row r="20" spans="1:11" ht="12.75" customHeight="1">
      <c r="A20" s="186" t="s">
        <v>28</v>
      </c>
      <c r="B20" s="185" t="s">
        <v>29</v>
      </c>
      <c r="C20" s="172">
        <f>C23+C24+C22</f>
        <v>31614.7</v>
      </c>
      <c r="D20" s="172">
        <f>D23+D24+D22</f>
        <v>8679.2</v>
      </c>
      <c r="E20" s="172">
        <f>D20/C20*100</f>
        <v>27.453051903070406</v>
      </c>
      <c r="F20" s="172">
        <f>F23+F24+F22</f>
        <v>11360.8</v>
      </c>
      <c r="G20" s="172">
        <f>G23+G24+G22</f>
        <v>1189.6</v>
      </c>
      <c r="H20" s="172">
        <f>G20/F20*100</f>
        <v>10.471093584958806</v>
      </c>
      <c r="I20" s="172">
        <f>I23+I24+I22</f>
        <v>40854.5</v>
      </c>
      <c r="J20" s="172">
        <f>SUM(J22:J24)</f>
        <v>9067.8</v>
      </c>
      <c r="K20" s="172">
        <f>J20/I20*100</f>
        <v>22.195351797231638</v>
      </c>
    </row>
    <row r="21" spans="1:11" ht="12.75" customHeight="1">
      <c r="A21" s="186"/>
      <c r="B21" s="185"/>
      <c r="C21" s="172"/>
      <c r="D21" s="172"/>
      <c r="E21" s="172"/>
      <c r="F21" s="172"/>
      <c r="G21" s="172"/>
      <c r="H21" s="172"/>
      <c r="I21" s="172"/>
      <c r="J21" s="172"/>
      <c r="K21" s="172"/>
    </row>
    <row r="22" spans="1:11" ht="12.75">
      <c r="A22" s="42" t="s">
        <v>30</v>
      </c>
      <c r="B22" s="38" t="s">
        <v>31</v>
      </c>
      <c r="C22" s="29">
        <v>5428.2</v>
      </c>
      <c r="D22" s="29">
        <v>2503.7</v>
      </c>
      <c r="E22" s="29">
        <f aca="true" t="shared" si="5" ref="E22:E99">D22/C22*100</f>
        <v>46.1239453225747</v>
      </c>
      <c r="F22" s="28">
        <v>761</v>
      </c>
      <c r="G22" s="30">
        <v>170.8</v>
      </c>
      <c r="H22" s="39">
        <f>G22/F22*100</f>
        <v>22.444152431011826</v>
      </c>
      <c r="I22" s="40">
        <f>C22+F22-761</f>
        <v>5428.2</v>
      </c>
      <c r="J22" s="31">
        <f>D22+G22-761</f>
        <v>1913.5</v>
      </c>
      <c r="K22" s="41">
        <f>J22/I22*100</f>
        <v>35.251096127629786</v>
      </c>
    </row>
    <row r="23" spans="1:11" ht="12.75">
      <c r="A23" s="37" t="s">
        <v>32</v>
      </c>
      <c r="B23" s="38" t="s">
        <v>33</v>
      </c>
      <c r="C23" s="29">
        <v>16640.8</v>
      </c>
      <c r="D23" s="29">
        <v>6120</v>
      </c>
      <c r="E23" s="29">
        <f t="shared" si="5"/>
        <v>36.77707802509495</v>
      </c>
      <c r="F23" s="39">
        <v>10559.8</v>
      </c>
      <c r="G23" s="30">
        <v>987.3</v>
      </c>
      <c r="H23" s="39">
        <f>G23/F23*100</f>
        <v>9.349608894107844</v>
      </c>
      <c r="I23" s="40">
        <f>C23+F23-1320</f>
        <v>25880.6</v>
      </c>
      <c r="J23" s="31">
        <f>D23+G23</f>
        <v>7107.3</v>
      </c>
      <c r="K23" s="41">
        <f>J23/I23*100</f>
        <v>27.46188264568828</v>
      </c>
    </row>
    <row r="24" spans="1:11" ht="22.5">
      <c r="A24" s="42" t="s">
        <v>34</v>
      </c>
      <c r="B24" s="38" t="s">
        <v>35</v>
      </c>
      <c r="C24" s="29">
        <v>9545.7</v>
      </c>
      <c r="D24" s="29">
        <v>55.5</v>
      </c>
      <c r="E24" s="29">
        <f t="shared" si="5"/>
        <v>0.5814136207926082</v>
      </c>
      <c r="F24" s="39">
        <v>40</v>
      </c>
      <c r="G24" s="30">
        <v>31.5</v>
      </c>
      <c r="H24" s="39">
        <f>G24/F24*100</f>
        <v>78.75</v>
      </c>
      <c r="I24" s="40">
        <f>C24+F24-40</f>
        <v>9545.7</v>
      </c>
      <c r="J24" s="31">
        <f>D24+G24-40</f>
        <v>47</v>
      </c>
      <c r="K24" s="41">
        <f>J24/I24*100</f>
        <v>0.4923682914820285</v>
      </c>
    </row>
    <row r="25" spans="1:11" ht="12.75">
      <c r="A25" s="32" t="s">
        <v>36</v>
      </c>
      <c r="B25" s="33" t="s">
        <v>37</v>
      </c>
      <c r="C25" s="34">
        <f>SUM(C26:C46)</f>
        <v>221519.5</v>
      </c>
      <c r="D25" s="34">
        <f>SUM(D26:D46)</f>
        <v>61603.100000000006</v>
      </c>
      <c r="E25" s="34">
        <f>D25/C25*100</f>
        <v>27.809335069824552</v>
      </c>
      <c r="F25" s="34">
        <f>SUM(F26:F46)</f>
        <v>96807</v>
      </c>
      <c r="G25" s="34">
        <f>SUM(G26:G46)</f>
        <v>19731.2</v>
      </c>
      <c r="H25" s="35">
        <f>G25/F25*100</f>
        <v>20.381997169626164</v>
      </c>
      <c r="I25" s="34">
        <f>SUM(I26:I46)</f>
        <v>267524.10000000003</v>
      </c>
      <c r="J25" s="34">
        <f>SUM(J26:J46)</f>
        <v>71153.70000000001</v>
      </c>
      <c r="K25" s="36">
        <f t="shared" si="1"/>
        <v>26.597117792378334</v>
      </c>
    </row>
    <row r="26" spans="1:11" ht="22.5">
      <c r="A26" s="42" t="s">
        <v>38</v>
      </c>
      <c r="B26" s="45" t="s">
        <v>39</v>
      </c>
      <c r="C26" s="29">
        <v>10341.5</v>
      </c>
      <c r="D26" s="29">
        <v>3861.6</v>
      </c>
      <c r="E26" s="29">
        <f t="shared" si="5"/>
        <v>37.34081129429966</v>
      </c>
      <c r="F26" s="27">
        <v>4279.7</v>
      </c>
      <c r="G26" s="28">
        <v>3753.6</v>
      </c>
      <c r="H26" s="39">
        <f>G26/F26*100</f>
        <v>87.70708227212188</v>
      </c>
      <c r="I26" s="40">
        <f>C26+F26-3327.6</f>
        <v>11293.6</v>
      </c>
      <c r="J26" s="40">
        <f>D26+G26-3327.6</f>
        <v>4287.6</v>
      </c>
      <c r="K26" s="41">
        <f t="shared" si="1"/>
        <v>37.964865056315084</v>
      </c>
    </row>
    <row r="27" spans="1:11" ht="12.75">
      <c r="A27" s="37" t="s">
        <v>40</v>
      </c>
      <c r="B27" s="38" t="s">
        <v>41</v>
      </c>
      <c r="C27" s="29">
        <v>59781.5</v>
      </c>
      <c r="D27" s="29">
        <v>16716.5</v>
      </c>
      <c r="E27" s="29">
        <f t="shared" si="5"/>
        <v>27.962664034860286</v>
      </c>
      <c r="F27" s="39">
        <v>0</v>
      </c>
      <c r="G27" s="30">
        <v>0</v>
      </c>
      <c r="H27" s="39">
        <v>0</v>
      </c>
      <c r="I27" s="40">
        <f t="shared" si="0"/>
        <v>59781.5</v>
      </c>
      <c r="J27" s="31">
        <f t="shared" si="0"/>
        <v>16716.5</v>
      </c>
      <c r="K27" s="41">
        <f t="shared" si="1"/>
        <v>27.962664034860286</v>
      </c>
    </row>
    <row r="28" spans="1:11" ht="12.75">
      <c r="A28" s="37" t="s">
        <v>42</v>
      </c>
      <c r="B28" s="38" t="s">
        <v>43</v>
      </c>
      <c r="C28" s="27">
        <v>6650</v>
      </c>
      <c r="D28" s="29">
        <v>5895.6</v>
      </c>
      <c r="E28" s="29">
        <f t="shared" si="5"/>
        <v>88.65563909774437</v>
      </c>
      <c r="F28" s="39">
        <v>0</v>
      </c>
      <c r="G28" s="30">
        <v>0</v>
      </c>
      <c r="H28" s="39">
        <v>0</v>
      </c>
      <c r="I28" s="40">
        <f t="shared" si="0"/>
        <v>6650</v>
      </c>
      <c r="J28" s="31">
        <f t="shared" si="0"/>
        <v>5895.6</v>
      </c>
      <c r="K28" s="41">
        <f t="shared" si="1"/>
        <v>88.65563909774437</v>
      </c>
    </row>
    <row r="29" spans="1:11" ht="12.75">
      <c r="A29" s="37" t="s">
        <v>42</v>
      </c>
      <c r="B29" s="38" t="s">
        <v>44</v>
      </c>
      <c r="C29" s="27">
        <v>14815</v>
      </c>
      <c r="D29" s="29">
        <v>8142.3</v>
      </c>
      <c r="E29" s="29">
        <f t="shared" si="5"/>
        <v>54.95983800202497</v>
      </c>
      <c r="F29" s="28">
        <v>14031</v>
      </c>
      <c r="G29" s="28">
        <v>5355.5</v>
      </c>
      <c r="H29" s="39">
        <f>G29/F29*100</f>
        <v>38.16905423704654</v>
      </c>
      <c r="I29" s="40">
        <f t="shared" si="0"/>
        <v>28846</v>
      </c>
      <c r="J29" s="31">
        <f t="shared" si="0"/>
        <v>13497.8</v>
      </c>
      <c r="K29" s="41">
        <f t="shared" si="1"/>
        <v>46.792622893988764</v>
      </c>
    </row>
    <row r="30" spans="1:11" ht="12.75">
      <c r="A30" s="37" t="s">
        <v>42</v>
      </c>
      <c r="B30" s="38" t="s">
        <v>45</v>
      </c>
      <c r="C30" s="27">
        <v>7931</v>
      </c>
      <c r="D30" s="29">
        <v>1203.2</v>
      </c>
      <c r="E30" s="29">
        <f t="shared" si="5"/>
        <v>15.170848568906822</v>
      </c>
      <c r="F30" s="28">
        <v>0</v>
      </c>
      <c r="G30" s="28">
        <v>0</v>
      </c>
      <c r="H30" s="39">
        <v>0</v>
      </c>
      <c r="I30" s="40">
        <f t="shared" si="0"/>
        <v>7931</v>
      </c>
      <c r="J30" s="31">
        <f t="shared" si="0"/>
        <v>1203.2</v>
      </c>
      <c r="K30" s="41">
        <f t="shared" si="1"/>
        <v>15.170848568906822</v>
      </c>
    </row>
    <row r="31" spans="1:11" ht="12.75">
      <c r="A31" s="37" t="s">
        <v>46</v>
      </c>
      <c r="B31" s="38" t="s">
        <v>47</v>
      </c>
      <c r="C31" s="27">
        <v>40682</v>
      </c>
      <c r="D31" s="29">
        <v>2115.3</v>
      </c>
      <c r="E31" s="29">
        <f t="shared" si="5"/>
        <v>5.199596873310064</v>
      </c>
      <c r="F31" s="28">
        <v>40488.3</v>
      </c>
      <c r="G31" s="28">
        <v>1162.3</v>
      </c>
      <c r="H31" s="39">
        <f>G31/F31*100</f>
        <v>2.8707058582355884</v>
      </c>
      <c r="I31" s="40">
        <f>C31+F31-36021.8</f>
        <v>45148.5</v>
      </c>
      <c r="J31" s="31">
        <f>D31+G31</f>
        <v>3277.6000000000004</v>
      </c>
      <c r="K31" s="41">
        <f t="shared" si="1"/>
        <v>7.2595988792540185</v>
      </c>
    </row>
    <row r="32" spans="1:11" ht="33.75">
      <c r="A32" s="37" t="s">
        <v>46</v>
      </c>
      <c r="B32" s="46" t="s">
        <v>136</v>
      </c>
      <c r="C32" s="27">
        <v>2092.2</v>
      </c>
      <c r="D32" s="29">
        <v>1058.8</v>
      </c>
      <c r="E32" s="29">
        <f t="shared" si="5"/>
        <v>50.60701653761591</v>
      </c>
      <c r="F32" s="28">
        <v>0</v>
      </c>
      <c r="G32" s="28">
        <v>0</v>
      </c>
      <c r="H32" s="39">
        <v>0</v>
      </c>
      <c r="I32" s="40">
        <f t="shared" si="0"/>
        <v>2092.2</v>
      </c>
      <c r="J32" s="31">
        <f t="shared" si="0"/>
        <v>1058.8</v>
      </c>
      <c r="K32" s="41">
        <f t="shared" si="1"/>
        <v>50.60701653761591</v>
      </c>
    </row>
    <row r="33" spans="1:11" ht="12.75">
      <c r="A33" s="42" t="s">
        <v>46</v>
      </c>
      <c r="B33" s="38" t="s">
        <v>120</v>
      </c>
      <c r="C33" s="27">
        <v>0</v>
      </c>
      <c r="D33" s="29">
        <v>0</v>
      </c>
      <c r="E33" s="29">
        <v>0</v>
      </c>
      <c r="F33" s="28">
        <v>22418.1</v>
      </c>
      <c r="G33" s="28">
        <v>7846.7</v>
      </c>
      <c r="H33" s="39">
        <f>G33/F33*100</f>
        <v>35.00162814868343</v>
      </c>
      <c r="I33" s="40">
        <f>C33+F33</f>
        <v>22418.1</v>
      </c>
      <c r="J33" s="31">
        <f>D33+G33</f>
        <v>7846.7</v>
      </c>
      <c r="K33" s="41">
        <f>J33/I33*100</f>
        <v>35.00162814868343</v>
      </c>
    </row>
    <row r="34" spans="1:11" ht="33.75">
      <c r="A34" s="42" t="s">
        <v>46</v>
      </c>
      <c r="B34" s="38" t="s">
        <v>148</v>
      </c>
      <c r="C34" s="27">
        <v>5406.3</v>
      </c>
      <c r="D34" s="29">
        <v>5406.3</v>
      </c>
      <c r="E34" s="29">
        <f t="shared" si="5"/>
        <v>100</v>
      </c>
      <c r="F34" s="28">
        <v>5942.7</v>
      </c>
      <c r="G34" s="28">
        <v>98.4</v>
      </c>
      <c r="H34" s="39">
        <f>G34/F34*100</f>
        <v>1.6558130142864356</v>
      </c>
      <c r="I34" s="40">
        <f>C34+F34-5406.3</f>
        <v>5942.7</v>
      </c>
      <c r="J34" s="31">
        <f>D34+G34-5406.3</f>
        <v>98.39999999999964</v>
      </c>
      <c r="K34" s="41">
        <f>J34/I34*100</f>
        <v>1.6558130142864294</v>
      </c>
    </row>
    <row r="35" spans="1:11" ht="45">
      <c r="A35" s="42" t="s">
        <v>46</v>
      </c>
      <c r="B35" s="38" t="s">
        <v>249</v>
      </c>
      <c r="C35" s="27">
        <v>4600</v>
      </c>
      <c r="D35" s="29"/>
      <c r="E35" s="29"/>
      <c r="F35" s="28">
        <v>4600</v>
      </c>
      <c r="G35" s="28"/>
      <c r="H35" s="39">
        <f>G35/F35*100</f>
        <v>0</v>
      </c>
      <c r="I35" s="40">
        <f>C35+F35-4600</f>
        <v>4600</v>
      </c>
      <c r="J35" s="31">
        <f>D35+G35</f>
        <v>0</v>
      </c>
      <c r="K35" s="41">
        <f>J35/I35*100</f>
        <v>0</v>
      </c>
    </row>
    <row r="36" spans="1:11" ht="12.75">
      <c r="A36" s="37" t="s">
        <v>48</v>
      </c>
      <c r="B36" s="38" t="s">
        <v>49</v>
      </c>
      <c r="C36" s="27">
        <v>4357.1</v>
      </c>
      <c r="D36" s="29">
        <v>1308.4</v>
      </c>
      <c r="E36" s="29">
        <f t="shared" si="5"/>
        <v>30.02914782768355</v>
      </c>
      <c r="F36" s="28">
        <v>3100.5</v>
      </c>
      <c r="G36" s="28">
        <v>1177.7</v>
      </c>
      <c r="H36" s="39">
        <f>G36/F36*100</f>
        <v>37.98419609740365</v>
      </c>
      <c r="I36" s="40">
        <f t="shared" si="0"/>
        <v>7457.6</v>
      </c>
      <c r="J36" s="31">
        <f t="shared" si="0"/>
        <v>2486.1000000000004</v>
      </c>
      <c r="K36" s="41">
        <f t="shared" si="1"/>
        <v>33.33646213258958</v>
      </c>
    </row>
    <row r="37" spans="1:11" ht="12.75">
      <c r="A37" s="37" t="s">
        <v>50</v>
      </c>
      <c r="B37" s="38" t="s">
        <v>51</v>
      </c>
      <c r="C37" s="27">
        <v>1730</v>
      </c>
      <c r="D37" s="27">
        <v>89.1</v>
      </c>
      <c r="E37" s="27">
        <f t="shared" si="5"/>
        <v>5.15028901734104</v>
      </c>
      <c r="F37" s="28">
        <v>500</v>
      </c>
      <c r="G37" s="28">
        <v>128.7</v>
      </c>
      <c r="H37" s="39">
        <f>G37/F37*100</f>
        <v>25.739999999999995</v>
      </c>
      <c r="I37" s="40">
        <f t="shared" si="0"/>
        <v>2230</v>
      </c>
      <c r="J37" s="31">
        <f t="shared" si="0"/>
        <v>217.79999999999998</v>
      </c>
      <c r="K37" s="41">
        <f t="shared" si="1"/>
        <v>9.766816143497756</v>
      </c>
    </row>
    <row r="38" spans="1:11" ht="56.25">
      <c r="A38" s="37" t="s">
        <v>50</v>
      </c>
      <c r="B38" s="46" t="s">
        <v>241</v>
      </c>
      <c r="C38" s="27">
        <v>26459.3</v>
      </c>
      <c r="D38" s="27">
        <v>5387.1</v>
      </c>
      <c r="E38" s="27">
        <f t="shared" si="5"/>
        <v>20.359949053829844</v>
      </c>
      <c r="F38" s="28">
        <v>0</v>
      </c>
      <c r="G38" s="28">
        <v>0</v>
      </c>
      <c r="H38" s="39">
        <v>0</v>
      </c>
      <c r="I38" s="40">
        <f t="shared" si="0"/>
        <v>26459.3</v>
      </c>
      <c r="J38" s="31">
        <f t="shared" si="0"/>
        <v>5387.1</v>
      </c>
      <c r="K38" s="41">
        <f t="shared" si="1"/>
        <v>20.359949053829844</v>
      </c>
    </row>
    <row r="39" spans="1:11" ht="33.75">
      <c r="A39" s="37" t="s">
        <v>50</v>
      </c>
      <c r="B39" s="46" t="s">
        <v>137</v>
      </c>
      <c r="C39" s="27">
        <v>2738.3</v>
      </c>
      <c r="D39" s="28">
        <v>2663.8</v>
      </c>
      <c r="E39" s="27">
        <f t="shared" si="5"/>
        <v>97.27933389329145</v>
      </c>
      <c r="F39" s="28">
        <v>0</v>
      </c>
      <c r="G39" s="28">
        <v>0</v>
      </c>
      <c r="H39" s="39">
        <v>0</v>
      </c>
      <c r="I39" s="40">
        <f t="shared" si="0"/>
        <v>2738.3</v>
      </c>
      <c r="J39" s="31">
        <f t="shared" si="0"/>
        <v>2663.8</v>
      </c>
      <c r="K39" s="41">
        <f t="shared" si="1"/>
        <v>97.27933389329145</v>
      </c>
    </row>
    <row r="40" spans="1:11" ht="33.75">
      <c r="A40" s="37" t="s">
        <v>50</v>
      </c>
      <c r="B40" s="46" t="s">
        <v>138</v>
      </c>
      <c r="C40" s="27">
        <v>4500</v>
      </c>
      <c r="D40" s="28">
        <v>843.9</v>
      </c>
      <c r="E40" s="27">
        <f t="shared" si="5"/>
        <v>18.753333333333334</v>
      </c>
      <c r="F40" s="28">
        <v>0</v>
      </c>
      <c r="G40" s="28">
        <v>0</v>
      </c>
      <c r="H40" s="39">
        <v>0</v>
      </c>
      <c r="I40" s="40">
        <f t="shared" si="0"/>
        <v>4500</v>
      </c>
      <c r="J40" s="31">
        <f t="shared" si="0"/>
        <v>843.9</v>
      </c>
      <c r="K40" s="41">
        <f t="shared" si="1"/>
        <v>18.753333333333334</v>
      </c>
    </row>
    <row r="41" spans="1:11" ht="22.5">
      <c r="A41" s="42" t="s">
        <v>50</v>
      </c>
      <c r="B41" s="46" t="s">
        <v>52</v>
      </c>
      <c r="C41" s="27">
        <v>18107.5</v>
      </c>
      <c r="D41" s="28">
        <v>4149.2</v>
      </c>
      <c r="E41" s="27">
        <f t="shared" si="5"/>
        <v>22.914262046113485</v>
      </c>
      <c r="F41" s="28">
        <v>0</v>
      </c>
      <c r="G41" s="28">
        <v>0</v>
      </c>
      <c r="H41" s="39">
        <v>0</v>
      </c>
      <c r="I41" s="40">
        <f t="shared" si="0"/>
        <v>18107.5</v>
      </c>
      <c r="J41" s="31">
        <f t="shared" si="0"/>
        <v>4149.2</v>
      </c>
      <c r="K41" s="41">
        <f t="shared" si="1"/>
        <v>22.914262046113485</v>
      </c>
    </row>
    <row r="42" spans="1:11" ht="22.5">
      <c r="A42" s="42" t="s">
        <v>50</v>
      </c>
      <c r="B42" s="46" t="s">
        <v>53</v>
      </c>
      <c r="C42" s="27">
        <v>1588.6</v>
      </c>
      <c r="D42" s="28">
        <v>270.3</v>
      </c>
      <c r="E42" s="27">
        <f>D42/C42*100</f>
        <v>17.014981744932648</v>
      </c>
      <c r="F42" s="28">
        <v>0</v>
      </c>
      <c r="G42" s="28">
        <v>0</v>
      </c>
      <c r="H42" s="39">
        <v>0</v>
      </c>
      <c r="I42" s="40">
        <f t="shared" si="0"/>
        <v>1588.6</v>
      </c>
      <c r="J42" s="31">
        <f t="shared" si="0"/>
        <v>270.3</v>
      </c>
      <c r="K42" s="41">
        <f>J42/I42*100</f>
        <v>17.014981744932648</v>
      </c>
    </row>
    <row r="43" spans="1:11" ht="45">
      <c r="A43" s="42" t="s">
        <v>50</v>
      </c>
      <c r="B43" s="46" t="s">
        <v>250</v>
      </c>
      <c r="C43" s="27">
        <v>1856.7</v>
      </c>
      <c r="D43" s="28">
        <v>660</v>
      </c>
      <c r="E43" s="27">
        <f>D43/C43*100</f>
        <v>35.54693811601228</v>
      </c>
      <c r="F43" s="28">
        <v>0</v>
      </c>
      <c r="G43" s="28">
        <v>0</v>
      </c>
      <c r="H43" s="39"/>
      <c r="I43" s="40">
        <f t="shared" si="0"/>
        <v>1856.7</v>
      </c>
      <c r="J43" s="31">
        <f t="shared" si="0"/>
        <v>660</v>
      </c>
      <c r="K43" s="41">
        <f>J43/I43*100</f>
        <v>35.54693811601228</v>
      </c>
    </row>
    <row r="44" spans="1:11" ht="22.5">
      <c r="A44" s="42" t="s">
        <v>50</v>
      </c>
      <c r="B44" s="46" t="s">
        <v>251</v>
      </c>
      <c r="C44" s="27">
        <v>3741</v>
      </c>
      <c r="D44" s="28">
        <v>0</v>
      </c>
      <c r="E44" s="27">
        <f>D44/C44*100</f>
        <v>0</v>
      </c>
      <c r="F44" s="28">
        <v>0</v>
      </c>
      <c r="G44" s="28">
        <v>0</v>
      </c>
      <c r="H44" s="39"/>
      <c r="I44" s="40">
        <f t="shared" si="0"/>
        <v>3741</v>
      </c>
      <c r="J44" s="31">
        <f t="shared" si="0"/>
        <v>0</v>
      </c>
      <c r="K44" s="41">
        <f>J44/I44*100</f>
        <v>0</v>
      </c>
    </row>
    <row r="45" spans="1:11" ht="45">
      <c r="A45" s="42" t="s">
        <v>50</v>
      </c>
      <c r="B45" s="38" t="s">
        <v>249</v>
      </c>
      <c r="C45" s="27">
        <v>1800</v>
      </c>
      <c r="D45" s="28"/>
      <c r="E45" s="27"/>
      <c r="F45" s="28"/>
      <c r="G45" s="28"/>
      <c r="H45" s="39"/>
      <c r="I45" s="40">
        <f t="shared" si="0"/>
        <v>1800</v>
      </c>
      <c r="J45" s="31">
        <f t="shared" si="0"/>
        <v>0</v>
      </c>
      <c r="K45" s="41">
        <f>J45/I45*100</f>
        <v>0</v>
      </c>
    </row>
    <row r="46" spans="1:11" ht="33.75">
      <c r="A46" s="42" t="s">
        <v>50</v>
      </c>
      <c r="B46" s="46" t="s">
        <v>155</v>
      </c>
      <c r="C46" s="27">
        <v>2341.5</v>
      </c>
      <c r="D46" s="28">
        <v>1831.7</v>
      </c>
      <c r="E46" s="27">
        <f>D46/C46*100</f>
        <v>78.22763185991886</v>
      </c>
      <c r="F46" s="28">
        <f>1446.7</f>
        <v>1446.7</v>
      </c>
      <c r="G46" s="28">
        <v>208.3</v>
      </c>
      <c r="H46" s="39">
        <f>G46/F46*100</f>
        <v>14.398285753784476</v>
      </c>
      <c r="I46" s="40">
        <f>C46+F46-1446.7</f>
        <v>2341.5</v>
      </c>
      <c r="J46" s="31">
        <f>D46+G46-1446.7</f>
        <v>593.3</v>
      </c>
      <c r="K46" s="41">
        <f>J46/I46*100</f>
        <v>25.33845825325646</v>
      </c>
    </row>
    <row r="47" spans="1:11" ht="12.75">
      <c r="A47" s="32" t="s">
        <v>54</v>
      </c>
      <c r="B47" s="33" t="s">
        <v>55</v>
      </c>
      <c r="C47" s="34">
        <f>SUM(C48:C74)</f>
        <v>931231.8999999999</v>
      </c>
      <c r="D47" s="34">
        <f>SUM(D48:D74)</f>
        <v>257591.30000000005</v>
      </c>
      <c r="E47" s="34">
        <f>D47/C47*100</f>
        <v>27.66134837090526</v>
      </c>
      <c r="F47" s="34">
        <f>SUM(F48:F74)</f>
        <v>174734.1</v>
      </c>
      <c r="G47" s="34">
        <f>SUM(G48:G74)</f>
        <v>31957.6</v>
      </c>
      <c r="H47" s="47">
        <f>G47/F47*100</f>
        <v>18.28927496121249</v>
      </c>
      <c r="I47" s="34">
        <f>SUM(I48:I74)</f>
        <v>1036423.6</v>
      </c>
      <c r="J47" s="34">
        <f>SUM(J48:J74)</f>
        <v>281429.20000000007</v>
      </c>
      <c r="K47" s="36">
        <f t="shared" si="1"/>
        <v>27.153878008953104</v>
      </c>
    </row>
    <row r="48" spans="1:11" ht="12.75">
      <c r="A48" s="37" t="s">
        <v>56</v>
      </c>
      <c r="B48" s="38" t="s">
        <v>57</v>
      </c>
      <c r="C48" s="27">
        <v>1235</v>
      </c>
      <c r="D48" s="27"/>
      <c r="E48" s="27"/>
      <c r="F48" s="28">
        <v>31918.9</v>
      </c>
      <c r="G48" s="28">
        <v>4468.5</v>
      </c>
      <c r="H48" s="39">
        <f>G48/F48*100</f>
        <v>13.999542590753439</v>
      </c>
      <c r="I48" s="40">
        <f t="shared" si="0"/>
        <v>33153.9</v>
      </c>
      <c r="J48" s="31">
        <f t="shared" si="0"/>
        <v>4468.5</v>
      </c>
      <c r="K48" s="41">
        <f t="shared" si="1"/>
        <v>13.47805235583144</v>
      </c>
    </row>
    <row r="49" spans="1:11" ht="45">
      <c r="A49" s="37" t="s">
        <v>56</v>
      </c>
      <c r="B49" s="38" t="s">
        <v>121</v>
      </c>
      <c r="C49" s="27">
        <v>572309.6</v>
      </c>
      <c r="D49" s="27">
        <v>150847.9</v>
      </c>
      <c r="E49" s="29">
        <f t="shared" si="5"/>
        <v>26.357744130100215</v>
      </c>
      <c r="F49" s="39">
        <v>0</v>
      </c>
      <c r="G49" s="30">
        <v>0</v>
      </c>
      <c r="H49" s="39">
        <v>0</v>
      </c>
      <c r="I49" s="40">
        <f>C49+F49</f>
        <v>572309.6</v>
      </c>
      <c r="J49" s="31">
        <f>D49+G49</f>
        <v>150847.9</v>
      </c>
      <c r="K49" s="41">
        <f t="shared" si="1"/>
        <v>26.357744130100215</v>
      </c>
    </row>
    <row r="50" spans="1:11" ht="45">
      <c r="A50" s="37" t="s">
        <v>56</v>
      </c>
      <c r="B50" s="38" t="s">
        <v>252</v>
      </c>
      <c r="C50" s="27">
        <v>4200</v>
      </c>
      <c r="D50" s="27">
        <v>0</v>
      </c>
      <c r="E50" s="29">
        <f t="shared" si="5"/>
        <v>0</v>
      </c>
      <c r="F50" s="39"/>
      <c r="G50" s="30"/>
      <c r="H50" s="39"/>
      <c r="I50" s="40">
        <f t="shared" si="0"/>
        <v>4200</v>
      </c>
      <c r="J50" s="31">
        <f t="shared" si="0"/>
        <v>0</v>
      </c>
      <c r="K50" s="41">
        <f t="shared" si="1"/>
        <v>0</v>
      </c>
    </row>
    <row r="51" spans="1:11" ht="33.75">
      <c r="A51" s="37" t="s">
        <v>56</v>
      </c>
      <c r="B51" s="38" t="s">
        <v>253</v>
      </c>
      <c r="C51" s="27">
        <v>43106.2</v>
      </c>
      <c r="D51" s="27">
        <v>16412.9</v>
      </c>
      <c r="E51" s="29">
        <f t="shared" si="5"/>
        <v>38.075497260254906</v>
      </c>
      <c r="F51" s="39">
        <v>0</v>
      </c>
      <c r="G51" s="30">
        <v>0</v>
      </c>
      <c r="H51" s="39">
        <v>0</v>
      </c>
      <c r="I51" s="40">
        <f t="shared" si="0"/>
        <v>43106.2</v>
      </c>
      <c r="J51" s="31">
        <f t="shared" si="0"/>
        <v>16412.9</v>
      </c>
      <c r="K51" s="41">
        <f t="shared" si="1"/>
        <v>38.075497260254906</v>
      </c>
    </row>
    <row r="52" spans="1:11" ht="22.5">
      <c r="A52" s="42" t="s">
        <v>56</v>
      </c>
      <c r="B52" s="38" t="s">
        <v>149</v>
      </c>
      <c r="C52" s="27">
        <v>29636.7</v>
      </c>
      <c r="D52" s="27">
        <v>160.7</v>
      </c>
      <c r="E52" s="29">
        <f t="shared" si="5"/>
        <v>0.5422331096242159</v>
      </c>
      <c r="F52" s="39">
        <v>34047.9</v>
      </c>
      <c r="G52" s="30">
        <v>3544.2</v>
      </c>
      <c r="H52" s="39">
        <f aca="true" t="shared" si="6" ref="H52:H57">G52/F52*100</f>
        <v>10.409452565356453</v>
      </c>
      <c r="I52" s="40">
        <f>C52+F52-29636.7</f>
        <v>34047.90000000001</v>
      </c>
      <c r="J52" s="31">
        <f>D52+G52-160.7</f>
        <v>3544.2</v>
      </c>
      <c r="K52" s="41">
        <f t="shared" si="1"/>
        <v>10.40945256535645</v>
      </c>
    </row>
    <row r="53" spans="1:11" ht="33.75">
      <c r="A53" s="42" t="s">
        <v>56</v>
      </c>
      <c r="B53" s="38" t="s">
        <v>139</v>
      </c>
      <c r="C53" s="27">
        <v>200</v>
      </c>
      <c r="D53" s="27"/>
      <c r="E53" s="29">
        <v>0</v>
      </c>
      <c r="F53" s="39">
        <v>200</v>
      </c>
      <c r="G53" s="30">
        <v>20.8</v>
      </c>
      <c r="H53" s="39">
        <f t="shared" si="6"/>
        <v>10.4</v>
      </c>
      <c r="I53" s="40">
        <f>C53+F53-200</f>
        <v>200</v>
      </c>
      <c r="J53" s="31">
        <f t="shared" si="0"/>
        <v>20.8</v>
      </c>
      <c r="K53" s="41">
        <f t="shared" si="1"/>
        <v>10.4</v>
      </c>
    </row>
    <row r="54" spans="1:11" ht="45">
      <c r="A54" s="42" t="s">
        <v>56</v>
      </c>
      <c r="B54" s="46" t="s">
        <v>132</v>
      </c>
      <c r="C54" s="27">
        <v>107.7</v>
      </c>
      <c r="D54" s="27">
        <v>107.7</v>
      </c>
      <c r="E54" s="29">
        <v>0</v>
      </c>
      <c r="F54" s="39"/>
      <c r="G54" s="30"/>
      <c r="H54" s="39"/>
      <c r="I54" s="40">
        <f>C54+F54</f>
        <v>107.7</v>
      </c>
      <c r="J54" s="31">
        <f t="shared" si="0"/>
        <v>107.7</v>
      </c>
      <c r="K54" s="41">
        <f t="shared" si="1"/>
        <v>100</v>
      </c>
    </row>
    <row r="55" spans="1:11" ht="33.75">
      <c r="A55" s="37" t="s">
        <v>58</v>
      </c>
      <c r="B55" s="38" t="s">
        <v>59</v>
      </c>
      <c r="C55" s="27">
        <v>5786.2</v>
      </c>
      <c r="D55" s="27">
        <v>1746.9</v>
      </c>
      <c r="E55" s="29">
        <f t="shared" si="5"/>
        <v>30.19079879713802</v>
      </c>
      <c r="F55" s="39">
        <v>5000</v>
      </c>
      <c r="G55" s="30">
        <v>5000</v>
      </c>
      <c r="H55" s="39">
        <f t="shared" si="6"/>
        <v>100</v>
      </c>
      <c r="I55" s="40">
        <f t="shared" si="0"/>
        <v>10786.2</v>
      </c>
      <c r="J55" s="31">
        <f t="shared" si="0"/>
        <v>6746.9</v>
      </c>
      <c r="K55" s="41">
        <f t="shared" si="1"/>
        <v>62.55122285883814</v>
      </c>
    </row>
    <row r="56" spans="1:11" ht="33.75">
      <c r="A56" s="37" t="s">
        <v>58</v>
      </c>
      <c r="B56" s="38" t="s">
        <v>60</v>
      </c>
      <c r="C56" s="27">
        <v>10419.8</v>
      </c>
      <c r="D56" s="24">
        <v>2199.6</v>
      </c>
      <c r="E56" s="29">
        <f t="shared" si="5"/>
        <v>21.109810169101134</v>
      </c>
      <c r="F56" s="28">
        <v>650</v>
      </c>
      <c r="G56" s="28"/>
      <c r="H56" s="39"/>
      <c r="I56" s="40">
        <f t="shared" si="0"/>
        <v>11069.8</v>
      </c>
      <c r="J56" s="31">
        <f t="shared" si="0"/>
        <v>2199.6</v>
      </c>
      <c r="K56" s="41">
        <f t="shared" si="1"/>
        <v>19.87027769246057</v>
      </c>
    </row>
    <row r="57" spans="1:11" ht="12.75">
      <c r="A57" s="37" t="s">
        <v>58</v>
      </c>
      <c r="B57" s="38" t="s">
        <v>61</v>
      </c>
      <c r="C57" s="27">
        <v>962</v>
      </c>
      <c r="D57" s="24">
        <v>329.6</v>
      </c>
      <c r="E57" s="29">
        <f>D57/C57*100</f>
        <v>34.261954261954266</v>
      </c>
      <c r="F57" s="39">
        <v>19026.2</v>
      </c>
      <c r="G57" s="28">
        <v>2008.6</v>
      </c>
      <c r="H57" s="39">
        <f t="shared" si="6"/>
        <v>10.55702137053116</v>
      </c>
      <c r="I57" s="40">
        <f>C57+F57-230</f>
        <v>19758.2</v>
      </c>
      <c r="J57" s="31">
        <f>D57+G57-230</f>
        <v>2108.2</v>
      </c>
      <c r="K57" s="41">
        <f>J57/I57*100</f>
        <v>10.670000303671385</v>
      </c>
    </row>
    <row r="58" spans="1:11" ht="33.75">
      <c r="A58" s="37" t="s">
        <v>58</v>
      </c>
      <c r="B58" s="38" t="s">
        <v>254</v>
      </c>
      <c r="C58" s="27">
        <v>22438.5</v>
      </c>
      <c r="D58" s="24">
        <v>8011.9</v>
      </c>
      <c r="E58" s="29">
        <f>D58/C58*100</f>
        <v>35.70604095639192</v>
      </c>
      <c r="F58" s="39">
        <v>0</v>
      </c>
      <c r="G58" s="28"/>
      <c r="H58" s="39">
        <v>0</v>
      </c>
      <c r="I58" s="40">
        <f>C58+F58</f>
        <v>22438.5</v>
      </c>
      <c r="J58" s="31">
        <f>D58+G58</f>
        <v>8011.9</v>
      </c>
      <c r="K58" s="41">
        <f>J58/I58*100</f>
        <v>35.70604095639192</v>
      </c>
    </row>
    <row r="59" spans="1:11" ht="33.75">
      <c r="A59" s="42" t="s">
        <v>58</v>
      </c>
      <c r="B59" s="38" t="s">
        <v>140</v>
      </c>
      <c r="C59" s="27">
        <v>137.3</v>
      </c>
      <c r="D59" s="24">
        <v>80.8</v>
      </c>
      <c r="E59" s="29">
        <f t="shared" si="5"/>
        <v>58.84923525127458</v>
      </c>
      <c r="F59" s="39">
        <v>0</v>
      </c>
      <c r="G59" s="28"/>
      <c r="H59" s="39">
        <v>0</v>
      </c>
      <c r="I59" s="48">
        <f>C59+F59</f>
        <v>137.3</v>
      </c>
      <c r="J59" s="40">
        <f>D59+G59</f>
        <v>80.8</v>
      </c>
      <c r="K59" s="31">
        <f>J59/I59*100</f>
        <v>58.84923525127458</v>
      </c>
    </row>
    <row r="60" spans="1:11" ht="33.75">
      <c r="A60" s="37" t="s">
        <v>58</v>
      </c>
      <c r="B60" s="46" t="s">
        <v>122</v>
      </c>
      <c r="C60" s="27">
        <v>27478.8</v>
      </c>
      <c r="D60" s="24">
        <v>4947.7</v>
      </c>
      <c r="E60" s="29">
        <f t="shared" si="5"/>
        <v>18.005516980363044</v>
      </c>
      <c r="F60" s="39"/>
      <c r="G60" s="28"/>
      <c r="H60" s="39">
        <v>0</v>
      </c>
      <c r="I60" s="40">
        <f t="shared" si="0"/>
        <v>27478.8</v>
      </c>
      <c r="J60" s="31">
        <f t="shared" si="0"/>
        <v>4947.7</v>
      </c>
      <c r="K60" s="41">
        <f t="shared" si="1"/>
        <v>18.005516980363044</v>
      </c>
    </row>
    <row r="61" spans="1:11" ht="33.75">
      <c r="A61" s="37" t="s">
        <v>58</v>
      </c>
      <c r="B61" s="46" t="s">
        <v>123</v>
      </c>
      <c r="C61" s="27">
        <v>139408</v>
      </c>
      <c r="D61" s="27">
        <v>57728.1</v>
      </c>
      <c r="E61" s="29">
        <f t="shared" si="5"/>
        <v>41.40946000229542</v>
      </c>
      <c r="F61" s="39">
        <v>0</v>
      </c>
      <c r="G61" s="28"/>
      <c r="H61" s="39">
        <v>0</v>
      </c>
      <c r="I61" s="40">
        <f t="shared" si="0"/>
        <v>139408</v>
      </c>
      <c r="J61" s="31">
        <f t="shared" si="0"/>
        <v>57728.1</v>
      </c>
      <c r="K61" s="41">
        <f t="shared" si="1"/>
        <v>41.40946000229542</v>
      </c>
    </row>
    <row r="62" spans="1:11" ht="56.25">
      <c r="A62" s="42" t="s">
        <v>58</v>
      </c>
      <c r="B62" s="46" t="s">
        <v>131</v>
      </c>
      <c r="C62" s="27">
        <v>13819.4</v>
      </c>
      <c r="D62" s="24">
        <v>2959</v>
      </c>
      <c r="E62" s="29">
        <f t="shared" si="5"/>
        <v>21.411928158964937</v>
      </c>
      <c r="F62" s="39">
        <v>5734.1</v>
      </c>
      <c r="G62" s="28">
        <v>980.7</v>
      </c>
      <c r="H62" s="39">
        <f>G62/F62*100</f>
        <v>17.102945536352696</v>
      </c>
      <c r="I62" s="40">
        <f>C62+F62-5734.1</f>
        <v>13819.4</v>
      </c>
      <c r="J62" s="31">
        <f>D62+G62-1300</f>
        <v>2639.7</v>
      </c>
      <c r="K62" s="41">
        <f t="shared" si="1"/>
        <v>19.101408165332792</v>
      </c>
    </row>
    <row r="63" spans="1:11" ht="56.25">
      <c r="A63" s="42" t="s">
        <v>58</v>
      </c>
      <c r="B63" s="46" t="s">
        <v>255</v>
      </c>
      <c r="C63" s="27">
        <v>26612.6</v>
      </c>
      <c r="D63" s="24"/>
      <c r="E63" s="29"/>
      <c r="F63" s="39">
        <f>24612.6+1168.1</f>
        <v>25780.699999999997</v>
      </c>
      <c r="G63" s="28"/>
      <c r="H63" s="39">
        <f>G63/F63*100</f>
        <v>0</v>
      </c>
      <c r="I63" s="40">
        <f>C63+F63-24612.6</f>
        <v>27780.699999999997</v>
      </c>
      <c r="J63" s="31">
        <f>D63+G63</f>
        <v>0</v>
      </c>
      <c r="K63" s="41">
        <f t="shared" si="1"/>
        <v>0</v>
      </c>
    </row>
    <row r="64" spans="1:11" ht="56.25">
      <c r="A64" s="42" t="s">
        <v>58</v>
      </c>
      <c r="B64" s="46" t="s">
        <v>242</v>
      </c>
      <c r="C64" s="27">
        <v>6429</v>
      </c>
      <c r="D64" s="24">
        <v>6429</v>
      </c>
      <c r="E64" s="29">
        <f t="shared" si="5"/>
        <v>100</v>
      </c>
      <c r="F64" s="39">
        <v>6429</v>
      </c>
      <c r="G64" s="28">
        <v>381.4</v>
      </c>
      <c r="H64" s="39">
        <f>G64/F64*100</f>
        <v>5.9324933893296</v>
      </c>
      <c r="I64" s="40">
        <f>C64+F64-6429</f>
        <v>6429</v>
      </c>
      <c r="J64" s="31">
        <f>D64+G64-6429</f>
        <v>381.39999999999964</v>
      </c>
      <c r="K64" s="41">
        <f t="shared" si="1"/>
        <v>5.932493389329594</v>
      </c>
    </row>
    <row r="65" spans="1:11" ht="45">
      <c r="A65" s="42" t="s">
        <v>58</v>
      </c>
      <c r="B65" s="46" t="s">
        <v>132</v>
      </c>
      <c r="C65" s="27">
        <v>248.1</v>
      </c>
      <c r="D65" s="24">
        <v>248.1</v>
      </c>
      <c r="E65" s="29">
        <f t="shared" si="5"/>
        <v>100</v>
      </c>
      <c r="F65" s="39"/>
      <c r="G65" s="28"/>
      <c r="H65" s="39"/>
      <c r="I65" s="40">
        <f>C65+F65</f>
        <v>248.1</v>
      </c>
      <c r="J65" s="31">
        <f>D65+G65</f>
        <v>248.1</v>
      </c>
      <c r="K65" s="41">
        <f t="shared" si="1"/>
        <v>100</v>
      </c>
    </row>
    <row r="66" spans="1:11" ht="22.5">
      <c r="A66" s="37" t="s">
        <v>58</v>
      </c>
      <c r="B66" s="38" t="s">
        <v>141</v>
      </c>
      <c r="C66" s="27">
        <v>2733</v>
      </c>
      <c r="D66" s="27">
        <v>319.7</v>
      </c>
      <c r="E66" s="29">
        <f t="shared" si="5"/>
        <v>11.697768020490305</v>
      </c>
      <c r="F66" s="39">
        <v>0</v>
      </c>
      <c r="G66" s="28"/>
      <c r="H66" s="39">
        <v>0</v>
      </c>
      <c r="I66" s="40">
        <f t="shared" si="0"/>
        <v>2733</v>
      </c>
      <c r="J66" s="31">
        <f t="shared" si="0"/>
        <v>319.7</v>
      </c>
      <c r="K66" s="41">
        <f t="shared" si="1"/>
        <v>11.697768020490305</v>
      </c>
    </row>
    <row r="67" spans="1:11" ht="22.5">
      <c r="A67" s="37" t="s">
        <v>58</v>
      </c>
      <c r="B67" s="38" t="s">
        <v>142</v>
      </c>
      <c r="C67" s="27">
        <v>11673.1</v>
      </c>
      <c r="D67" s="27">
        <v>3232</v>
      </c>
      <c r="E67" s="29">
        <f t="shared" si="5"/>
        <v>27.68758941497974</v>
      </c>
      <c r="F67" s="39">
        <v>0</v>
      </c>
      <c r="G67" s="28"/>
      <c r="H67" s="39">
        <v>0</v>
      </c>
      <c r="I67" s="40">
        <f t="shared" si="0"/>
        <v>11673.1</v>
      </c>
      <c r="J67" s="31">
        <f t="shared" si="0"/>
        <v>3232</v>
      </c>
      <c r="K67" s="41">
        <f t="shared" si="1"/>
        <v>27.68758941497974</v>
      </c>
    </row>
    <row r="68" spans="1:11" ht="22.5">
      <c r="A68" s="37" t="s">
        <v>58</v>
      </c>
      <c r="B68" s="38" t="s">
        <v>143</v>
      </c>
      <c r="C68" s="27">
        <v>613</v>
      </c>
      <c r="D68" s="27">
        <v>113.5</v>
      </c>
      <c r="E68" s="29">
        <f t="shared" si="5"/>
        <v>18.515497553017944</v>
      </c>
      <c r="F68" s="39">
        <v>0</v>
      </c>
      <c r="G68" s="28"/>
      <c r="H68" s="39">
        <v>0</v>
      </c>
      <c r="I68" s="40">
        <f t="shared" si="0"/>
        <v>613</v>
      </c>
      <c r="J68" s="31">
        <f t="shared" si="0"/>
        <v>113.5</v>
      </c>
      <c r="K68" s="41">
        <f t="shared" si="1"/>
        <v>18.515497553017944</v>
      </c>
    </row>
    <row r="69" spans="1:11" ht="22.5">
      <c r="A69" s="37" t="s">
        <v>58</v>
      </c>
      <c r="B69" s="38" t="s">
        <v>144</v>
      </c>
      <c r="C69" s="27">
        <v>2042.9</v>
      </c>
      <c r="D69" s="27">
        <v>0</v>
      </c>
      <c r="E69" s="29">
        <f t="shared" si="5"/>
        <v>0</v>
      </c>
      <c r="F69" s="39">
        <v>0</v>
      </c>
      <c r="G69" s="28"/>
      <c r="H69" s="39">
        <v>0</v>
      </c>
      <c r="I69" s="40">
        <f>C69+F69</f>
        <v>2042.9</v>
      </c>
      <c r="J69" s="31">
        <f>D69+G69</f>
        <v>0</v>
      </c>
      <c r="K69" s="41">
        <f t="shared" si="1"/>
        <v>0</v>
      </c>
    </row>
    <row r="70" spans="1:11" ht="33.75">
      <c r="A70" s="42" t="s">
        <v>58</v>
      </c>
      <c r="B70" s="38" t="s">
        <v>145</v>
      </c>
      <c r="C70" s="27">
        <v>985</v>
      </c>
      <c r="D70" s="27">
        <v>0</v>
      </c>
      <c r="E70" s="29">
        <f t="shared" si="5"/>
        <v>0</v>
      </c>
      <c r="F70" s="39">
        <v>0</v>
      </c>
      <c r="G70" s="28"/>
      <c r="H70" s="39">
        <v>0</v>
      </c>
      <c r="I70" s="40">
        <f t="shared" si="0"/>
        <v>985</v>
      </c>
      <c r="J70" s="31">
        <f t="shared" si="0"/>
        <v>0</v>
      </c>
      <c r="K70" s="41">
        <f t="shared" si="1"/>
        <v>0</v>
      </c>
    </row>
    <row r="71" spans="1:11" ht="33.75">
      <c r="A71" s="37" t="s">
        <v>62</v>
      </c>
      <c r="B71" s="38" t="s">
        <v>243</v>
      </c>
      <c r="C71" s="27">
        <v>2650</v>
      </c>
      <c r="D71" s="27">
        <v>997.7</v>
      </c>
      <c r="E71" s="29">
        <f t="shared" si="5"/>
        <v>37.64905660377359</v>
      </c>
      <c r="F71" s="28">
        <v>700</v>
      </c>
      <c r="G71" s="28"/>
      <c r="H71" s="39">
        <v>0</v>
      </c>
      <c r="I71" s="40">
        <f>C71+F71-700</f>
        <v>2650</v>
      </c>
      <c r="J71" s="31">
        <f t="shared" si="0"/>
        <v>997.7</v>
      </c>
      <c r="K71" s="41">
        <f t="shared" si="1"/>
        <v>37.64905660377359</v>
      </c>
    </row>
    <row r="72" spans="1:11" ht="22.5">
      <c r="A72" s="37" t="s">
        <v>62</v>
      </c>
      <c r="B72" s="38" t="s">
        <v>63</v>
      </c>
      <c r="C72" s="27">
        <v>4000</v>
      </c>
      <c r="D72" s="27">
        <v>718.5</v>
      </c>
      <c r="E72" s="29">
        <f t="shared" si="5"/>
        <v>17.962500000000002</v>
      </c>
      <c r="F72" s="28">
        <v>43247.3</v>
      </c>
      <c r="G72" s="28">
        <v>15553.4</v>
      </c>
      <c r="H72" s="39">
        <f>G72/F72*100</f>
        <v>35.96386364004226</v>
      </c>
      <c r="I72" s="40">
        <f>C72+F72</f>
        <v>47247.3</v>
      </c>
      <c r="J72" s="31">
        <f>D72+G72</f>
        <v>16271.9</v>
      </c>
      <c r="K72" s="41">
        <f t="shared" si="1"/>
        <v>34.43985158940299</v>
      </c>
    </row>
    <row r="73" spans="1:11" ht="45">
      <c r="A73" s="37" t="s">
        <v>62</v>
      </c>
      <c r="B73" s="38" t="s">
        <v>249</v>
      </c>
      <c r="C73" s="27">
        <v>2000</v>
      </c>
      <c r="D73" s="27"/>
      <c r="E73" s="29">
        <f t="shared" si="5"/>
        <v>0</v>
      </c>
      <c r="F73" s="28">
        <v>2000</v>
      </c>
      <c r="G73" s="28"/>
      <c r="H73" s="39">
        <f>G73/F73*100</f>
        <v>0</v>
      </c>
      <c r="I73" s="40">
        <f>C73+F73-2000</f>
        <v>2000</v>
      </c>
      <c r="J73" s="31">
        <f>D73+G73</f>
        <v>0</v>
      </c>
      <c r="K73" s="41">
        <f t="shared" si="1"/>
        <v>0</v>
      </c>
    </row>
    <row r="74" spans="1:11" ht="22.5">
      <c r="A74" s="42" t="s">
        <v>133</v>
      </c>
      <c r="B74" s="38" t="s">
        <v>134</v>
      </c>
      <c r="C74" s="27">
        <v>0</v>
      </c>
      <c r="D74" s="29">
        <v>0</v>
      </c>
      <c r="E74" s="29"/>
      <c r="F74" s="28"/>
      <c r="G74" s="28"/>
      <c r="H74" s="39"/>
      <c r="I74" s="40">
        <f t="shared" si="0"/>
        <v>0</v>
      </c>
      <c r="J74" s="31">
        <f t="shared" si="0"/>
        <v>0</v>
      </c>
      <c r="K74" s="41"/>
    </row>
    <row r="75" spans="1:11" ht="12.75">
      <c r="A75" s="49" t="s">
        <v>64</v>
      </c>
      <c r="B75" s="50" t="s">
        <v>65</v>
      </c>
      <c r="C75" s="47">
        <f aca="true" t="shared" si="7" ref="C75:H75">C76</f>
        <v>350</v>
      </c>
      <c r="D75" s="47">
        <f t="shared" si="7"/>
        <v>41.7</v>
      </c>
      <c r="E75" s="34">
        <f>D75/C75*100</f>
        <v>11.914285714285715</v>
      </c>
      <c r="F75" s="47">
        <f t="shared" si="7"/>
        <v>0</v>
      </c>
      <c r="G75" s="47">
        <f t="shared" si="7"/>
        <v>0</v>
      </c>
      <c r="H75" s="35">
        <f t="shared" si="7"/>
        <v>0</v>
      </c>
      <c r="I75" s="47">
        <f t="shared" si="0"/>
        <v>350</v>
      </c>
      <c r="J75" s="47">
        <f t="shared" si="0"/>
        <v>41.7</v>
      </c>
      <c r="K75" s="36">
        <f t="shared" si="1"/>
        <v>11.914285714285715</v>
      </c>
    </row>
    <row r="76" spans="1:11" ht="22.5">
      <c r="A76" s="42" t="s">
        <v>66</v>
      </c>
      <c r="B76" s="51" t="s">
        <v>67</v>
      </c>
      <c r="C76" s="28">
        <v>350</v>
      </c>
      <c r="D76" s="39">
        <v>41.7</v>
      </c>
      <c r="E76" s="29">
        <f t="shared" si="5"/>
        <v>11.914285714285715</v>
      </c>
      <c r="F76" s="39">
        <v>0</v>
      </c>
      <c r="G76" s="30">
        <v>0</v>
      </c>
      <c r="H76" s="39">
        <v>0</v>
      </c>
      <c r="I76" s="40">
        <f t="shared" si="0"/>
        <v>350</v>
      </c>
      <c r="J76" s="31">
        <f t="shared" si="0"/>
        <v>41.7</v>
      </c>
      <c r="K76" s="41">
        <f t="shared" si="1"/>
        <v>11.914285714285715</v>
      </c>
    </row>
    <row r="77" spans="1:11" ht="12.75">
      <c r="A77" s="32" t="s">
        <v>68</v>
      </c>
      <c r="B77" s="33" t="s">
        <v>69</v>
      </c>
      <c r="C77" s="34">
        <f>SUM(C78:C84)</f>
        <v>2214346.8999999994</v>
      </c>
      <c r="D77" s="34">
        <f>SUM(D78:D84)</f>
        <v>712415.4</v>
      </c>
      <c r="E77" s="34">
        <f>D77/C77*100</f>
        <v>32.17270970506023</v>
      </c>
      <c r="F77" s="47">
        <f>F78+F79+F80+F83+F84</f>
        <v>5167</v>
      </c>
      <c r="G77" s="47">
        <f>SUM(G78:G84)</f>
        <v>1686.6</v>
      </c>
      <c r="H77" s="35">
        <f>G77/F77*100</f>
        <v>32.64176504741629</v>
      </c>
      <c r="I77" s="34">
        <f>SUM(I78:I84)</f>
        <v>2219513.8999999994</v>
      </c>
      <c r="J77" s="34">
        <f>SUM(J78:J84)</f>
        <v>714102.0000000001</v>
      </c>
      <c r="K77" s="36">
        <f t="shared" si="1"/>
        <v>32.17380165990401</v>
      </c>
    </row>
    <row r="78" spans="1:11" ht="12.75">
      <c r="A78" s="37" t="s">
        <v>70</v>
      </c>
      <c r="B78" s="38" t="s">
        <v>71</v>
      </c>
      <c r="C78" s="29">
        <v>364914.9</v>
      </c>
      <c r="D78" s="29">
        <v>204385.8</v>
      </c>
      <c r="E78" s="29">
        <f t="shared" si="5"/>
        <v>56.009168164961196</v>
      </c>
      <c r="F78" s="39">
        <v>0</v>
      </c>
      <c r="G78" s="30">
        <v>0</v>
      </c>
      <c r="H78" s="39">
        <v>0</v>
      </c>
      <c r="I78" s="40">
        <f t="shared" si="0"/>
        <v>364914.9</v>
      </c>
      <c r="J78" s="31">
        <f t="shared" si="0"/>
        <v>204385.8</v>
      </c>
      <c r="K78" s="41">
        <f t="shared" si="1"/>
        <v>56.009168164961196</v>
      </c>
    </row>
    <row r="79" spans="1:11" ht="12.75">
      <c r="A79" s="37" t="s">
        <v>72</v>
      </c>
      <c r="B79" s="38" t="s">
        <v>73</v>
      </c>
      <c r="C79" s="29">
        <f>1786385.7-C80-C81-C82</f>
        <v>1081896.6</v>
      </c>
      <c r="D79" s="29">
        <f>487980.9-D80-D81-D82</f>
        <v>378787.80000000005</v>
      </c>
      <c r="E79" s="29">
        <f t="shared" si="5"/>
        <v>35.0114604297675</v>
      </c>
      <c r="F79" s="39">
        <v>0</v>
      </c>
      <c r="G79" s="30">
        <v>0</v>
      </c>
      <c r="H79" s="39">
        <v>0</v>
      </c>
      <c r="I79" s="40">
        <f t="shared" si="0"/>
        <v>1081896.6</v>
      </c>
      <c r="J79" s="31">
        <f t="shared" si="0"/>
        <v>378787.80000000005</v>
      </c>
      <c r="K79" s="41">
        <f t="shared" si="1"/>
        <v>35.0114604297675</v>
      </c>
    </row>
    <row r="80" spans="1:11" ht="12.75">
      <c r="A80" s="37" t="s">
        <v>72</v>
      </c>
      <c r="B80" s="38" t="s">
        <v>74</v>
      </c>
      <c r="C80" s="29">
        <v>41126.4</v>
      </c>
      <c r="D80" s="29">
        <v>17068.5</v>
      </c>
      <c r="E80" s="29">
        <f t="shared" si="5"/>
        <v>41.502538515406165</v>
      </c>
      <c r="F80" s="39">
        <v>0</v>
      </c>
      <c r="G80" s="30">
        <v>0</v>
      </c>
      <c r="H80" s="39">
        <v>0</v>
      </c>
      <c r="I80" s="40">
        <f t="shared" si="0"/>
        <v>41126.4</v>
      </c>
      <c r="J80" s="31">
        <f t="shared" si="0"/>
        <v>17068.5</v>
      </c>
      <c r="K80" s="41">
        <f t="shared" si="1"/>
        <v>41.502538515406165</v>
      </c>
    </row>
    <row r="81" spans="1:11" ht="22.5">
      <c r="A81" s="37" t="s">
        <v>72</v>
      </c>
      <c r="B81" s="38" t="s">
        <v>244</v>
      </c>
      <c r="C81" s="29">
        <v>114043</v>
      </c>
      <c r="D81" s="29">
        <v>22600.6</v>
      </c>
      <c r="E81" s="29">
        <f t="shared" si="5"/>
        <v>19.81761265487579</v>
      </c>
      <c r="F81" s="39">
        <v>0</v>
      </c>
      <c r="G81" s="30">
        <v>0</v>
      </c>
      <c r="H81" s="39">
        <v>0</v>
      </c>
      <c r="I81" s="40">
        <f t="shared" si="0"/>
        <v>114043</v>
      </c>
      <c r="J81" s="31">
        <f t="shared" si="0"/>
        <v>22600.6</v>
      </c>
      <c r="K81" s="41">
        <f t="shared" si="1"/>
        <v>19.81761265487579</v>
      </c>
    </row>
    <row r="82" spans="1:11" ht="33.75">
      <c r="A82" s="37" t="s">
        <v>72</v>
      </c>
      <c r="B82" s="38" t="s">
        <v>129</v>
      </c>
      <c r="C82" s="29">
        <v>549319.7</v>
      </c>
      <c r="D82" s="29">
        <v>69524</v>
      </c>
      <c r="E82" s="29">
        <f>D82/C82*100</f>
        <v>12.656382066763673</v>
      </c>
      <c r="F82" s="39">
        <v>0</v>
      </c>
      <c r="G82" s="30">
        <v>0</v>
      </c>
      <c r="H82" s="39">
        <v>0</v>
      </c>
      <c r="I82" s="40">
        <f>C82+F82</f>
        <v>549319.7</v>
      </c>
      <c r="J82" s="31">
        <f>D82+G82</f>
        <v>69524</v>
      </c>
      <c r="K82" s="41">
        <f>J82/I82*100</f>
        <v>12.656382066763673</v>
      </c>
    </row>
    <row r="83" spans="1:11" ht="12.75">
      <c r="A83" s="37" t="s">
        <v>75</v>
      </c>
      <c r="B83" s="38" t="s">
        <v>76</v>
      </c>
      <c r="C83" s="29">
        <v>21659.5</v>
      </c>
      <c r="D83" s="29">
        <v>5469.7</v>
      </c>
      <c r="E83" s="29">
        <f t="shared" si="5"/>
        <v>25.253122186569403</v>
      </c>
      <c r="F83" s="39">
        <v>5167</v>
      </c>
      <c r="G83" s="30">
        <v>1686.6</v>
      </c>
      <c r="H83" s="39">
        <f>G83/F83*100</f>
        <v>32.64176504741629</v>
      </c>
      <c r="I83" s="40">
        <f t="shared" si="0"/>
        <v>26826.5</v>
      </c>
      <c r="J83" s="31">
        <f t="shared" si="0"/>
        <v>7156.299999999999</v>
      </c>
      <c r="K83" s="41">
        <f t="shared" si="1"/>
        <v>26.676234320541255</v>
      </c>
    </row>
    <row r="84" spans="1:11" ht="12.75">
      <c r="A84" s="37" t="s">
        <v>77</v>
      </c>
      <c r="B84" s="38" t="s">
        <v>78</v>
      </c>
      <c r="C84" s="29">
        <v>41386.8</v>
      </c>
      <c r="D84" s="29">
        <v>14579</v>
      </c>
      <c r="E84" s="29">
        <f t="shared" si="5"/>
        <v>35.226207389795775</v>
      </c>
      <c r="F84" s="39">
        <v>0</v>
      </c>
      <c r="G84" s="30">
        <v>0</v>
      </c>
      <c r="H84" s="39">
        <v>0</v>
      </c>
      <c r="I84" s="40">
        <f t="shared" si="0"/>
        <v>41386.8</v>
      </c>
      <c r="J84" s="31">
        <f t="shared" si="0"/>
        <v>14579</v>
      </c>
      <c r="K84" s="41">
        <f t="shared" si="1"/>
        <v>35.226207389795775</v>
      </c>
    </row>
    <row r="85" spans="1:11" ht="12.75">
      <c r="A85" s="32" t="s">
        <v>79</v>
      </c>
      <c r="B85" s="33" t="s">
        <v>80</v>
      </c>
      <c r="C85" s="34">
        <f>SUM(C86:C91)</f>
        <v>293043.80000000005</v>
      </c>
      <c r="D85" s="34">
        <f>SUM(D86:D91)</f>
        <v>66286.5</v>
      </c>
      <c r="E85" s="34">
        <f>D85/C85*100</f>
        <v>22.61999742018087</v>
      </c>
      <c r="F85" s="47">
        <f>SUM(F86:F91)</f>
        <v>83459.9</v>
      </c>
      <c r="G85" s="47">
        <f>SUM(G86:G91)</f>
        <v>29160.800000000003</v>
      </c>
      <c r="H85" s="35">
        <f>G85/F85*100</f>
        <v>34.93989329007105</v>
      </c>
      <c r="I85" s="47">
        <f>SUM(I86:I91)</f>
        <v>372706.60000000003</v>
      </c>
      <c r="J85" s="47">
        <f>SUM(J86:J91)</f>
        <v>92710.3</v>
      </c>
      <c r="K85" s="36">
        <f t="shared" si="1"/>
        <v>24.874874767444418</v>
      </c>
    </row>
    <row r="86" spans="1:11" ht="12.75">
      <c r="A86" s="37" t="s">
        <v>81</v>
      </c>
      <c r="B86" s="38" t="s">
        <v>82</v>
      </c>
      <c r="C86" s="29">
        <f>284791.4-C87-C89-C88</f>
        <v>51591.300000000025</v>
      </c>
      <c r="D86" s="29">
        <f>61743.9-D87-D89-D88</f>
        <v>21076.600000000002</v>
      </c>
      <c r="E86" s="29">
        <f t="shared" si="5"/>
        <v>40.853012038851496</v>
      </c>
      <c r="F86" s="39">
        <f>82653-F88</f>
        <v>81614.8</v>
      </c>
      <c r="G86" s="30">
        <v>28866.4</v>
      </c>
      <c r="H86" s="39">
        <f>G86/F86*100</f>
        <v>35.3690752167499</v>
      </c>
      <c r="I86" s="40">
        <f>C86+F86-2587</f>
        <v>130619.10000000003</v>
      </c>
      <c r="J86" s="31">
        <f>D86+G86-2587</f>
        <v>47356</v>
      </c>
      <c r="K86" s="41">
        <f t="shared" si="1"/>
        <v>36.25503467716435</v>
      </c>
    </row>
    <row r="87" spans="1:11" ht="56.25">
      <c r="A87" s="52" t="s">
        <v>81</v>
      </c>
      <c r="B87" s="53" t="s">
        <v>156</v>
      </c>
      <c r="C87" s="29">
        <v>220240.5</v>
      </c>
      <c r="D87" s="29">
        <v>36122.6</v>
      </c>
      <c r="E87" s="29">
        <f t="shared" si="5"/>
        <v>16.401433887046206</v>
      </c>
      <c r="F87" s="39">
        <v>0</v>
      </c>
      <c r="G87" s="30">
        <v>0</v>
      </c>
      <c r="H87" s="39">
        <v>0</v>
      </c>
      <c r="I87" s="40">
        <f aca="true" t="shared" si="8" ref="I87:J102">C87+F87</f>
        <v>220240.5</v>
      </c>
      <c r="J87" s="31">
        <f t="shared" si="8"/>
        <v>36122.6</v>
      </c>
      <c r="K87" s="41">
        <f>J87/I87*100</f>
        <v>16.401433887046206</v>
      </c>
    </row>
    <row r="88" spans="1:11" ht="12.75">
      <c r="A88" s="52" t="s">
        <v>81</v>
      </c>
      <c r="B88" s="53" t="s">
        <v>135</v>
      </c>
      <c r="C88" s="29">
        <v>1855.6</v>
      </c>
      <c r="D88" s="29">
        <v>0</v>
      </c>
      <c r="E88" s="29">
        <f t="shared" si="5"/>
        <v>0</v>
      </c>
      <c r="F88" s="39">
        <v>1038.2</v>
      </c>
      <c r="G88" s="30">
        <v>0</v>
      </c>
      <c r="H88" s="39"/>
      <c r="I88" s="40">
        <f>C88+F88-1038.2</f>
        <v>1855.6000000000001</v>
      </c>
      <c r="J88" s="31">
        <f t="shared" si="8"/>
        <v>0</v>
      </c>
      <c r="K88" s="41">
        <f>J88/I88*100</f>
        <v>0</v>
      </c>
    </row>
    <row r="89" spans="1:11" ht="22.5">
      <c r="A89" s="52" t="s">
        <v>81</v>
      </c>
      <c r="B89" s="53" t="s">
        <v>146</v>
      </c>
      <c r="C89" s="29">
        <v>11104</v>
      </c>
      <c r="D89" s="29">
        <v>4544.7</v>
      </c>
      <c r="E89" s="29">
        <f t="shared" si="5"/>
        <v>40.92849423631124</v>
      </c>
      <c r="F89" s="39">
        <v>0</v>
      </c>
      <c r="G89" s="30">
        <v>0</v>
      </c>
      <c r="H89" s="39">
        <v>0</v>
      </c>
      <c r="I89" s="40">
        <f t="shared" si="8"/>
        <v>11104</v>
      </c>
      <c r="J89" s="31">
        <f>D89+G89</f>
        <v>4544.7</v>
      </c>
      <c r="K89" s="41">
        <f>J89/I89*100</f>
        <v>40.92849423631124</v>
      </c>
    </row>
    <row r="90" spans="1:11" ht="12.75">
      <c r="A90" s="37" t="s">
        <v>83</v>
      </c>
      <c r="B90" s="38" t="s">
        <v>84</v>
      </c>
      <c r="C90" s="29">
        <v>619</v>
      </c>
      <c r="D90" s="29">
        <v>310</v>
      </c>
      <c r="E90" s="29">
        <f t="shared" si="5"/>
        <v>50.080775444264944</v>
      </c>
      <c r="F90" s="39">
        <v>635</v>
      </c>
      <c r="G90" s="30">
        <v>209.4</v>
      </c>
      <c r="H90" s="39">
        <f>G90/F90*100</f>
        <v>32.97637795275591</v>
      </c>
      <c r="I90" s="40">
        <f t="shared" si="8"/>
        <v>1254</v>
      </c>
      <c r="J90" s="31">
        <f t="shared" si="8"/>
        <v>519.4</v>
      </c>
      <c r="K90" s="41">
        <f aca="true" t="shared" si="9" ref="K90:K121">J90/I90*100</f>
        <v>41.41945773524721</v>
      </c>
    </row>
    <row r="91" spans="1:11" ht="12.75">
      <c r="A91" s="37" t="s">
        <v>85</v>
      </c>
      <c r="B91" s="38" t="s">
        <v>86</v>
      </c>
      <c r="C91" s="29">
        <v>7633.4</v>
      </c>
      <c r="D91" s="29">
        <v>4232.6</v>
      </c>
      <c r="E91" s="29">
        <f t="shared" si="5"/>
        <v>55.448424031231184</v>
      </c>
      <c r="F91" s="39">
        <v>171.9</v>
      </c>
      <c r="G91" s="30">
        <v>85</v>
      </c>
      <c r="H91" s="39">
        <f>G91/F91*100</f>
        <v>49.44735311227458</v>
      </c>
      <c r="I91" s="40">
        <f>C91+F91-171.9</f>
        <v>7633.4</v>
      </c>
      <c r="J91" s="31">
        <f>D91+G91-150</f>
        <v>4167.6</v>
      </c>
      <c r="K91" s="41">
        <f t="shared" si="9"/>
        <v>54.596903083815874</v>
      </c>
    </row>
    <row r="92" spans="1:11" ht="12.75">
      <c r="A92" s="32" t="s">
        <v>87</v>
      </c>
      <c r="B92" s="33" t="s">
        <v>88</v>
      </c>
      <c r="C92" s="34">
        <f>SUM(C93:C96)</f>
        <v>266829.2</v>
      </c>
      <c r="D92" s="34">
        <f>SUM(D93:D96)</f>
        <v>56787.7</v>
      </c>
      <c r="E92" s="34">
        <f>D92/C92*100</f>
        <v>21.28241586752874</v>
      </c>
      <c r="F92" s="47">
        <f>SUM(F93:F95)</f>
        <v>0</v>
      </c>
      <c r="G92" s="47">
        <f>SUM(G93:G95)</f>
        <v>0</v>
      </c>
      <c r="H92" s="35"/>
      <c r="I92" s="47">
        <f>C92+F92</f>
        <v>266829.2</v>
      </c>
      <c r="J92" s="47">
        <f t="shared" si="8"/>
        <v>56787.7</v>
      </c>
      <c r="K92" s="36">
        <f t="shared" si="9"/>
        <v>21.28241586752874</v>
      </c>
    </row>
    <row r="93" spans="1:11" ht="12.75">
      <c r="A93" s="37" t="s">
        <v>89</v>
      </c>
      <c r="B93" s="38" t="s">
        <v>90</v>
      </c>
      <c r="C93" s="29">
        <v>90354.3</v>
      </c>
      <c r="D93" s="29">
        <v>28028.7</v>
      </c>
      <c r="E93" s="29">
        <f t="shared" si="5"/>
        <v>31.02088113127986</v>
      </c>
      <c r="F93" s="39">
        <v>0</v>
      </c>
      <c r="G93" s="30">
        <v>0</v>
      </c>
      <c r="H93" s="39">
        <v>0</v>
      </c>
      <c r="I93" s="40">
        <f t="shared" si="8"/>
        <v>90354.3</v>
      </c>
      <c r="J93" s="31">
        <f t="shared" si="8"/>
        <v>28028.7</v>
      </c>
      <c r="K93" s="41">
        <f t="shared" si="9"/>
        <v>31.02088113127986</v>
      </c>
    </row>
    <row r="94" spans="1:11" ht="12.75">
      <c r="A94" s="37" t="s">
        <v>91</v>
      </c>
      <c r="B94" s="38" t="s">
        <v>92</v>
      </c>
      <c r="C94" s="29">
        <v>13779.4</v>
      </c>
      <c r="D94" s="29">
        <v>5814.8</v>
      </c>
      <c r="E94" s="29">
        <f t="shared" si="5"/>
        <v>42.199224929967926</v>
      </c>
      <c r="F94" s="39">
        <v>0</v>
      </c>
      <c r="G94" s="30">
        <v>0</v>
      </c>
      <c r="H94" s="39">
        <v>0</v>
      </c>
      <c r="I94" s="40">
        <f t="shared" si="8"/>
        <v>13779.4</v>
      </c>
      <c r="J94" s="31">
        <f t="shared" si="8"/>
        <v>5814.8</v>
      </c>
      <c r="K94" s="41">
        <f t="shared" si="9"/>
        <v>42.199224929967926</v>
      </c>
    </row>
    <row r="95" spans="1:11" ht="12.75">
      <c r="A95" s="42" t="s">
        <v>93</v>
      </c>
      <c r="B95" s="38" t="s">
        <v>94</v>
      </c>
      <c r="C95" s="29">
        <f>162695.5-C96</f>
        <v>15316.5</v>
      </c>
      <c r="D95" s="39">
        <f>22944.2-D96</f>
        <v>8914.2</v>
      </c>
      <c r="E95" s="29">
        <f t="shared" si="5"/>
        <v>58.1999804132798</v>
      </c>
      <c r="F95" s="39">
        <v>0</v>
      </c>
      <c r="G95" s="30">
        <v>0</v>
      </c>
      <c r="H95" s="39">
        <v>0</v>
      </c>
      <c r="I95" s="40">
        <f t="shared" si="8"/>
        <v>15316.5</v>
      </c>
      <c r="J95" s="31">
        <f t="shared" si="8"/>
        <v>8914.2</v>
      </c>
      <c r="K95" s="41">
        <f t="shared" si="9"/>
        <v>58.1999804132798</v>
      </c>
    </row>
    <row r="96" spans="1:11" ht="22.5">
      <c r="A96" s="42" t="s">
        <v>93</v>
      </c>
      <c r="B96" s="53" t="s">
        <v>127</v>
      </c>
      <c r="C96" s="29">
        <v>147379</v>
      </c>
      <c r="D96" s="39">
        <v>14030</v>
      </c>
      <c r="E96" s="29">
        <f t="shared" si="5"/>
        <v>9.519673766276064</v>
      </c>
      <c r="F96" s="39">
        <v>0</v>
      </c>
      <c r="G96" s="30">
        <v>0</v>
      </c>
      <c r="H96" s="39">
        <v>0</v>
      </c>
      <c r="I96" s="40">
        <f t="shared" si="8"/>
        <v>147379</v>
      </c>
      <c r="J96" s="31">
        <f t="shared" si="8"/>
        <v>14030</v>
      </c>
      <c r="K96" s="41">
        <f t="shared" si="9"/>
        <v>9.519673766276064</v>
      </c>
    </row>
    <row r="97" spans="1:11" ht="12.75">
      <c r="A97" s="32">
        <v>10</v>
      </c>
      <c r="B97" s="33" t="s">
        <v>95</v>
      </c>
      <c r="C97" s="34">
        <f>SUM(C98:C108)</f>
        <v>161824.30000000002</v>
      </c>
      <c r="D97" s="34">
        <f>SUM(D98:D108)</f>
        <v>48785.1</v>
      </c>
      <c r="E97" s="34">
        <f>D97/C97*100</f>
        <v>30.146955679709407</v>
      </c>
      <c r="F97" s="34">
        <f>SUM(F98:F106)</f>
        <v>120</v>
      </c>
      <c r="G97" s="34">
        <f>SUM(G98:G106)</f>
        <v>45</v>
      </c>
      <c r="H97" s="35">
        <f>G97/F97*100</f>
        <v>37.5</v>
      </c>
      <c r="I97" s="34">
        <f>SUM(I98:I108)</f>
        <v>161944.30000000002</v>
      </c>
      <c r="J97" s="34">
        <f>SUM(J98:J108)</f>
        <v>48830.1</v>
      </c>
      <c r="K97" s="36">
        <f t="shared" si="9"/>
        <v>30.152404252573255</v>
      </c>
    </row>
    <row r="98" spans="1:11" ht="12.75">
      <c r="A98" s="42">
        <v>1001</v>
      </c>
      <c r="B98" s="38" t="s">
        <v>96</v>
      </c>
      <c r="C98" s="29">
        <v>3420</v>
      </c>
      <c r="D98" s="29">
        <v>1396.6</v>
      </c>
      <c r="E98" s="29">
        <f t="shared" si="5"/>
        <v>40.83625730994152</v>
      </c>
      <c r="F98" s="39">
        <v>120</v>
      </c>
      <c r="G98" s="30">
        <v>45</v>
      </c>
      <c r="H98" s="39">
        <f>G98/F98*100</f>
        <v>37.5</v>
      </c>
      <c r="I98" s="40">
        <f t="shared" si="8"/>
        <v>3540</v>
      </c>
      <c r="J98" s="31">
        <f t="shared" si="8"/>
        <v>1441.6</v>
      </c>
      <c r="K98" s="41">
        <f t="shared" si="9"/>
        <v>40.72316384180791</v>
      </c>
    </row>
    <row r="99" spans="1:11" ht="22.5">
      <c r="A99" s="42">
        <v>1003</v>
      </c>
      <c r="B99" s="38" t="s">
        <v>98</v>
      </c>
      <c r="C99" s="29">
        <v>2165.4</v>
      </c>
      <c r="D99" s="29">
        <v>0</v>
      </c>
      <c r="E99" s="29">
        <f t="shared" si="5"/>
        <v>0</v>
      </c>
      <c r="F99" s="39">
        <v>0</v>
      </c>
      <c r="G99" s="30">
        <v>0</v>
      </c>
      <c r="H99" s="39">
        <v>0</v>
      </c>
      <c r="I99" s="40">
        <f t="shared" si="8"/>
        <v>2165.4</v>
      </c>
      <c r="J99" s="31">
        <f t="shared" si="8"/>
        <v>0</v>
      </c>
      <c r="K99" s="41">
        <f t="shared" si="9"/>
        <v>0</v>
      </c>
    </row>
    <row r="100" spans="1:11" ht="22.5">
      <c r="A100" s="42">
        <v>1003</v>
      </c>
      <c r="B100" s="38" t="s">
        <v>99</v>
      </c>
      <c r="C100" s="29">
        <v>13827.1</v>
      </c>
      <c r="D100" s="29">
        <v>5645.8</v>
      </c>
      <c r="E100" s="29">
        <f aca="true" t="shared" si="10" ref="E100:E120">D100/C100*100</f>
        <v>40.831410780279306</v>
      </c>
      <c r="F100" s="39">
        <v>0</v>
      </c>
      <c r="G100" s="30">
        <v>0</v>
      </c>
      <c r="H100" s="39">
        <v>0</v>
      </c>
      <c r="I100" s="40">
        <f t="shared" si="8"/>
        <v>13827.1</v>
      </c>
      <c r="J100" s="31">
        <f t="shared" si="8"/>
        <v>5645.8</v>
      </c>
      <c r="K100" s="41">
        <f t="shared" si="9"/>
        <v>40.831410780279306</v>
      </c>
    </row>
    <row r="101" spans="1:11" ht="22.5">
      <c r="A101" s="42">
        <v>1003</v>
      </c>
      <c r="B101" s="38" t="s">
        <v>100</v>
      </c>
      <c r="C101" s="29">
        <v>11451</v>
      </c>
      <c r="D101" s="29">
        <v>6127.4</v>
      </c>
      <c r="E101" s="29">
        <f t="shared" si="10"/>
        <v>53.509737140861056</v>
      </c>
      <c r="F101" s="39">
        <v>0</v>
      </c>
      <c r="G101" s="30">
        <v>0</v>
      </c>
      <c r="H101" s="39">
        <v>0</v>
      </c>
      <c r="I101" s="40">
        <f t="shared" si="8"/>
        <v>11451</v>
      </c>
      <c r="J101" s="31">
        <f t="shared" si="8"/>
        <v>6127.4</v>
      </c>
      <c r="K101" s="41">
        <f t="shared" si="9"/>
        <v>53.509737140861056</v>
      </c>
    </row>
    <row r="102" spans="1:11" ht="22.5">
      <c r="A102" s="42" t="s">
        <v>245</v>
      </c>
      <c r="B102" s="38" t="s">
        <v>256</v>
      </c>
      <c r="C102" s="29">
        <f>734.6+63.2</f>
        <v>797.8000000000001</v>
      </c>
      <c r="D102" s="29">
        <v>0</v>
      </c>
      <c r="E102" s="29">
        <f t="shared" si="10"/>
        <v>0</v>
      </c>
      <c r="F102" s="39"/>
      <c r="G102" s="30"/>
      <c r="H102" s="39"/>
      <c r="I102" s="40">
        <f t="shared" si="8"/>
        <v>797.8000000000001</v>
      </c>
      <c r="J102" s="31">
        <f t="shared" si="8"/>
        <v>0</v>
      </c>
      <c r="K102" s="41">
        <f t="shared" si="9"/>
        <v>0</v>
      </c>
    </row>
    <row r="103" spans="1:11" ht="45">
      <c r="A103" s="42">
        <v>1004</v>
      </c>
      <c r="B103" s="38" t="s">
        <v>101</v>
      </c>
      <c r="C103" s="27">
        <v>13136.5</v>
      </c>
      <c r="D103" s="29">
        <v>5068.7</v>
      </c>
      <c r="E103" s="29">
        <f t="shared" si="10"/>
        <v>38.58485898070262</v>
      </c>
      <c r="F103" s="39">
        <v>0</v>
      </c>
      <c r="G103" s="30">
        <v>0</v>
      </c>
      <c r="H103" s="39">
        <v>0</v>
      </c>
      <c r="I103" s="40">
        <f aca="true" t="shared" si="11" ref="I103:J108">C103+F103</f>
        <v>13136.5</v>
      </c>
      <c r="J103" s="31">
        <f t="shared" si="11"/>
        <v>5068.7</v>
      </c>
      <c r="K103" s="41">
        <f t="shared" si="9"/>
        <v>38.58485898070262</v>
      </c>
    </row>
    <row r="104" spans="1:11" ht="33.75">
      <c r="A104" s="42">
        <v>1004</v>
      </c>
      <c r="B104" s="38" t="s">
        <v>128</v>
      </c>
      <c r="C104" s="27">
        <v>887</v>
      </c>
      <c r="D104" s="29">
        <v>329.6</v>
      </c>
      <c r="E104" s="29">
        <f t="shared" si="10"/>
        <v>37.15896279594138</v>
      </c>
      <c r="F104" s="39">
        <v>0</v>
      </c>
      <c r="G104" s="39">
        <v>0</v>
      </c>
      <c r="H104" s="39">
        <v>0</v>
      </c>
      <c r="I104" s="40">
        <f t="shared" si="11"/>
        <v>887</v>
      </c>
      <c r="J104" s="40">
        <f t="shared" si="11"/>
        <v>329.6</v>
      </c>
      <c r="K104" s="41">
        <f t="shared" si="9"/>
        <v>37.15896279594138</v>
      </c>
    </row>
    <row r="105" spans="1:11" ht="22.5">
      <c r="A105" s="42">
        <v>1004</v>
      </c>
      <c r="B105" s="38" t="s">
        <v>102</v>
      </c>
      <c r="C105" s="27">
        <v>60733.5</v>
      </c>
      <c r="D105" s="29">
        <v>23026.6</v>
      </c>
      <c r="E105" s="29">
        <f t="shared" si="10"/>
        <v>37.91416598746984</v>
      </c>
      <c r="F105" s="39">
        <v>0</v>
      </c>
      <c r="G105" s="30">
        <v>0</v>
      </c>
      <c r="H105" s="39">
        <v>0</v>
      </c>
      <c r="I105" s="40">
        <f t="shared" si="11"/>
        <v>60733.5</v>
      </c>
      <c r="J105" s="31">
        <f t="shared" si="11"/>
        <v>23026.6</v>
      </c>
      <c r="K105" s="41">
        <f t="shared" si="9"/>
        <v>37.91416598746984</v>
      </c>
    </row>
    <row r="106" spans="1:11" ht="12.75">
      <c r="A106" s="42">
        <v>1004</v>
      </c>
      <c r="B106" s="38" t="s">
        <v>97</v>
      </c>
      <c r="C106" s="27">
        <v>5995.3</v>
      </c>
      <c r="D106" s="29">
        <v>497</v>
      </c>
      <c r="E106" s="29">
        <f t="shared" si="10"/>
        <v>8.28982703117442</v>
      </c>
      <c r="F106" s="39">
        <v>0</v>
      </c>
      <c r="G106" s="30">
        <v>0</v>
      </c>
      <c r="H106" s="39">
        <v>0</v>
      </c>
      <c r="I106" s="40">
        <f t="shared" si="11"/>
        <v>5995.3</v>
      </c>
      <c r="J106" s="31">
        <f t="shared" si="11"/>
        <v>497</v>
      </c>
      <c r="K106" s="41">
        <f t="shared" si="9"/>
        <v>8.28982703117442</v>
      </c>
    </row>
    <row r="107" spans="1:11" ht="45">
      <c r="A107" s="42" t="s">
        <v>103</v>
      </c>
      <c r="B107" s="38" t="s">
        <v>130</v>
      </c>
      <c r="C107" s="27">
        <v>36015.6</v>
      </c>
      <c r="D107" s="29">
        <v>1556.4</v>
      </c>
      <c r="E107" s="29">
        <f>D107/C107*100</f>
        <v>4.321460700363176</v>
      </c>
      <c r="F107" s="39">
        <v>0</v>
      </c>
      <c r="G107" s="30">
        <v>0</v>
      </c>
      <c r="H107" s="39">
        <v>0</v>
      </c>
      <c r="I107" s="40">
        <f t="shared" si="11"/>
        <v>36015.6</v>
      </c>
      <c r="J107" s="31">
        <f t="shared" si="11"/>
        <v>1556.4</v>
      </c>
      <c r="K107" s="41">
        <f>J107/I107*100</f>
        <v>4.321460700363176</v>
      </c>
    </row>
    <row r="108" spans="1:11" ht="22.5">
      <c r="A108" s="42">
        <v>1006</v>
      </c>
      <c r="B108" s="38" t="s">
        <v>104</v>
      </c>
      <c r="C108" s="29">
        <v>13395.1</v>
      </c>
      <c r="D108" s="29">
        <v>5137</v>
      </c>
      <c r="E108" s="29">
        <f t="shared" si="10"/>
        <v>38.349844346066845</v>
      </c>
      <c r="F108" s="39">
        <v>0</v>
      </c>
      <c r="G108" s="30">
        <v>0</v>
      </c>
      <c r="H108" s="39">
        <v>0</v>
      </c>
      <c r="I108" s="40">
        <f t="shared" si="11"/>
        <v>13395.1</v>
      </c>
      <c r="J108" s="31">
        <f t="shared" si="11"/>
        <v>5137</v>
      </c>
      <c r="K108" s="41">
        <f t="shared" si="9"/>
        <v>38.349844346066845</v>
      </c>
    </row>
    <row r="109" spans="1:11" ht="12.75">
      <c r="A109" s="49">
        <v>1100</v>
      </c>
      <c r="B109" s="33" t="s">
        <v>105</v>
      </c>
      <c r="C109" s="34">
        <f>SUM(C110:C111)</f>
        <v>29628.2</v>
      </c>
      <c r="D109" s="34">
        <f>SUM(D110:D111)</f>
        <v>12663.1</v>
      </c>
      <c r="E109" s="34">
        <f>D109/C109*100</f>
        <v>42.740024706192074</v>
      </c>
      <c r="F109" s="47">
        <f>F110+F111</f>
        <v>10303</v>
      </c>
      <c r="G109" s="47">
        <f>G110+G111</f>
        <v>3673.8999999999996</v>
      </c>
      <c r="H109" s="35">
        <f>G109/F109*100</f>
        <v>35.658546054547216</v>
      </c>
      <c r="I109" s="47">
        <f>SUM(I110:I111)</f>
        <v>39721.2</v>
      </c>
      <c r="J109" s="47">
        <f>SUM(J110:J111)</f>
        <v>16127</v>
      </c>
      <c r="K109" s="36">
        <f t="shared" si="9"/>
        <v>40.60048538312035</v>
      </c>
    </row>
    <row r="110" spans="1:11" ht="12.75">
      <c r="A110" s="42">
        <v>1101</v>
      </c>
      <c r="B110" s="38" t="s">
        <v>106</v>
      </c>
      <c r="C110" s="29">
        <v>10850</v>
      </c>
      <c r="D110" s="29">
        <v>5396.3</v>
      </c>
      <c r="E110" s="29">
        <f t="shared" si="10"/>
        <v>49.73548387096775</v>
      </c>
      <c r="F110" s="39">
        <v>10093</v>
      </c>
      <c r="G110" s="30">
        <v>3630.2</v>
      </c>
      <c r="H110" s="39">
        <f>G110/F110*100</f>
        <v>35.96750222926781</v>
      </c>
      <c r="I110" s="40">
        <f>C110+F110</f>
        <v>20943</v>
      </c>
      <c r="J110" s="40">
        <f>D110+G110</f>
        <v>9026.5</v>
      </c>
      <c r="K110" s="41">
        <f t="shared" si="9"/>
        <v>43.10031991596237</v>
      </c>
    </row>
    <row r="111" spans="1:11" ht="12.75">
      <c r="A111" s="42">
        <v>1102</v>
      </c>
      <c r="B111" s="38" t="s">
        <v>107</v>
      </c>
      <c r="C111" s="29">
        <v>18778.2</v>
      </c>
      <c r="D111" s="29">
        <v>7266.8</v>
      </c>
      <c r="E111" s="29">
        <f t="shared" si="10"/>
        <v>38.69806477724169</v>
      </c>
      <c r="F111" s="39">
        <v>210</v>
      </c>
      <c r="G111" s="30">
        <v>43.7</v>
      </c>
      <c r="H111" s="39">
        <f>G111/F111*100</f>
        <v>20.80952380952381</v>
      </c>
      <c r="I111" s="40">
        <f>C111+F111-210</f>
        <v>18778.2</v>
      </c>
      <c r="J111" s="40">
        <f>D111+G111-210</f>
        <v>7100.5</v>
      </c>
      <c r="K111" s="41">
        <f t="shared" si="9"/>
        <v>37.812463388397184</v>
      </c>
    </row>
    <row r="112" spans="1:11" ht="12.75">
      <c r="A112" s="49">
        <v>1200</v>
      </c>
      <c r="B112" s="33" t="s">
        <v>108</v>
      </c>
      <c r="C112" s="34">
        <f>C114+C113</f>
        <v>9550</v>
      </c>
      <c r="D112" s="34">
        <f>D114+D113</f>
        <v>6275</v>
      </c>
      <c r="E112" s="34">
        <f>E114</f>
        <v>60.08771929824561</v>
      </c>
      <c r="F112" s="34">
        <f>F114+F113</f>
        <v>0</v>
      </c>
      <c r="G112" s="34">
        <f>G114+G113</f>
        <v>0</v>
      </c>
      <c r="H112" s="43">
        <f>H114</f>
        <v>0</v>
      </c>
      <c r="I112" s="34">
        <f aca="true" t="shared" si="12" ref="I112:J116">C112+F112</f>
        <v>9550</v>
      </c>
      <c r="J112" s="34">
        <f t="shared" si="12"/>
        <v>6275</v>
      </c>
      <c r="K112" s="44">
        <f t="shared" si="9"/>
        <v>65.70680628272252</v>
      </c>
    </row>
    <row r="113" spans="1:11" ht="12.75">
      <c r="A113" s="42" t="s">
        <v>109</v>
      </c>
      <c r="B113" s="38" t="s">
        <v>110</v>
      </c>
      <c r="C113" s="29">
        <v>3850</v>
      </c>
      <c r="D113" s="29">
        <v>2850</v>
      </c>
      <c r="E113" s="29">
        <f>D113/C113*100</f>
        <v>74.02597402597402</v>
      </c>
      <c r="F113" s="39">
        <v>0</v>
      </c>
      <c r="G113" s="30">
        <v>0</v>
      </c>
      <c r="H113" s="39">
        <v>0</v>
      </c>
      <c r="I113" s="40">
        <f t="shared" si="12"/>
        <v>3850</v>
      </c>
      <c r="J113" s="40">
        <f t="shared" si="12"/>
        <v>2850</v>
      </c>
      <c r="K113" s="41">
        <f>J113/I113*100</f>
        <v>74.02597402597402</v>
      </c>
    </row>
    <row r="114" spans="1:11" ht="12.75">
      <c r="A114" s="42">
        <v>1202</v>
      </c>
      <c r="B114" s="38" t="s">
        <v>111</v>
      </c>
      <c r="C114" s="29">
        <v>5700</v>
      </c>
      <c r="D114" s="29">
        <v>3425</v>
      </c>
      <c r="E114" s="29">
        <f t="shared" si="10"/>
        <v>60.08771929824561</v>
      </c>
      <c r="F114" s="39">
        <v>0</v>
      </c>
      <c r="G114" s="30">
        <v>0</v>
      </c>
      <c r="H114" s="39">
        <v>0</v>
      </c>
      <c r="I114" s="40">
        <f t="shared" si="12"/>
        <v>5700</v>
      </c>
      <c r="J114" s="40">
        <f t="shared" si="12"/>
        <v>3425</v>
      </c>
      <c r="K114" s="41">
        <f t="shared" si="9"/>
        <v>60.08771929824561</v>
      </c>
    </row>
    <row r="115" spans="1:11" ht="12.75">
      <c r="A115" s="49">
        <v>1300</v>
      </c>
      <c r="B115" s="33" t="s">
        <v>112</v>
      </c>
      <c r="C115" s="34">
        <f aca="true" t="shared" si="13" ref="C115:H115">C116</f>
        <v>1000</v>
      </c>
      <c r="D115" s="34">
        <f t="shared" si="13"/>
        <v>516</v>
      </c>
      <c r="E115" s="34">
        <f t="shared" si="13"/>
        <v>51.6</v>
      </c>
      <c r="F115" s="34">
        <f t="shared" si="13"/>
        <v>0</v>
      </c>
      <c r="G115" s="34">
        <f t="shared" si="13"/>
        <v>0</v>
      </c>
      <c r="H115" s="43">
        <f t="shared" si="13"/>
        <v>0</v>
      </c>
      <c r="I115" s="34">
        <f t="shared" si="12"/>
        <v>1000</v>
      </c>
      <c r="J115" s="34">
        <f t="shared" si="12"/>
        <v>516</v>
      </c>
      <c r="K115" s="44">
        <f t="shared" si="9"/>
        <v>51.6</v>
      </c>
    </row>
    <row r="116" spans="1:11" ht="22.5">
      <c r="A116" s="42">
        <v>1301</v>
      </c>
      <c r="B116" s="38" t="s">
        <v>113</v>
      </c>
      <c r="C116" s="29">
        <v>1000</v>
      </c>
      <c r="D116" s="29">
        <v>516</v>
      </c>
      <c r="E116" s="29">
        <f t="shared" si="10"/>
        <v>51.6</v>
      </c>
      <c r="F116" s="39"/>
      <c r="G116" s="30">
        <v>0</v>
      </c>
      <c r="H116" s="39">
        <v>0</v>
      </c>
      <c r="I116" s="40">
        <f t="shared" si="12"/>
        <v>1000</v>
      </c>
      <c r="J116" s="40">
        <f t="shared" si="12"/>
        <v>516</v>
      </c>
      <c r="K116" s="41">
        <f t="shared" si="9"/>
        <v>51.6</v>
      </c>
    </row>
    <row r="117" spans="1:11" ht="13.5" customHeight="1">
      <c r="A117" s="49">
        <v>1400</v>
      </c>
      <c r="B117" s="33" t="s">
        <v>114</v>
      </c>
      <c r="C117" s="34">
        <f>SUM(C118:C120)</f>
        <v>301182.4</v>
      </c>
      <c r="D117" s="34">
        <f>SUM(D118:D120)</f>
        <v>107951</v>
      </c>
      <c r="E117" s="34">
        <f>D117/C117*100</f>
        <v>35.84239982150351</v>
      </c>
      <c r="F117" s="47">
        <f>F118+F119+F120</f>
        <v>27201.3</v>
      </c>
      <c r="G117" s="47">
        <f>SUM(G118:G120)</f>
        <v>5401.9</v>
      </c>
      <c r="H117" s="47">
        <f>G117/F117*100</f>
        <v>19.858977328289455</v>
      </c>
      <c r="I117" s="47">
        <v>0</v>
      </c>
      <c r="J117" s="47">
        <v>0</v>
      </c>
      <c r="K117" s="36">
        <v>0</v>
      </c>
    </row>
    <row r="118" spans="1:11" ht="13.5" customHeight="1">
      <c r="A118" s="42">
        <v>1401</v>
      </c>
      <c r="B118" s="38" t="s">
        <v>115</v>
      </c>
      <c r="C118" s="29">
        <v>104609.8</v>
      </c>
      <c r="D118" s="29">
        <v>39641.8</v>
      </c>
      <c r="E118" s="29">
        <f t="shared" si="10"/>
        <v>37.89491997881652</v>
      </c>
      <c r="F118" s="39">
        <v>0</v>
      </c>
      <c r="G118" s="30">
        <v>0</v>
      </c>
      <c r="H118" s="39">
        <v>0</v>
      </c>
      <c r="I118" s="40">
        <v>0</v>
      </c>
      <c r="J118" s="31">
        <v>0</v>
      </c>
      <c r="K118" s="41">
        <v>0</v>
      </c>
    </row>
    <row r="119" spans="1:11" ht="13.5" customHeight="1">
      <c r="A119" s="42">
        <v>1402</v>
      </c>
      <c r="B119" s="38" t="s">
        <v>116</v>
      </c>
      <c r="C119" s="29">
        <v>195272.6</v>
      </c>
      <c r="D119" s="29">
        <v>67009.2</v>
      </c>
      <c r="E119" s="29">
        <f t="shared" si="10"/>
        <v>34.31572068994831</v>
      </c>
      <c r="F119" s="39">
        <v>0</v>
      </c>
      <c r="G119" s="30">
        <v>0</v>
      </c>
      <c r="H119" s="39">
        <v>0</v>
      </c>
      <c r="I119" s="40">
        <v>0</v>
      </c>
      <c r="J119" s="31">
        <v>0</v>
      </c>
      <c r="K119" s="41">
        <v>0</v>
      </c>
    </row>
    <row r="120" spans="1:11" ht="12.75">
      <c r="A120" s="42">
        <v>1403</v>
      </c>
      <c r="B120" s="38" t="s">
        <v>117</v>
      </c>
      <c r="C120" s="29">
        <v>1300</v>
      </c>
      <c r="D120" s="29">
        <v>1300</v>
      </c>
      <c r="E120" s="29">
        <f t="shared" si="10"/>
        <v>100</v>
      </c>
      <c r="F120" s="39">
        <v>27201.3</v>
      </c>
      <c r="G120" s="30">
        <v>5401.9</v>
      </c>
      <c r="H120" s="39">
        <f>G120/F120*100</f>
        <v>19.858977328289455</v>
      </c>
      <c r="I120" s="40">
        <v>0</v>
      </c>
      <c r="J120" s="31">
        <v>0</v>
      </c>
      <c r="K120" s="41">
        <v>0</v>
      </c>
    </row>
    <row r="121" spans="1:11" ht="13.5" customHeight="1" thickBot="1">
      <c r="A121" s="159" t="s">
        <v>118</v>
      </c>
      <c r="B121" s="160"/>
      <c r="C121" s="54">
        <f>C9+C18+C20+C25+C47+C75+C77+C85+C92+C97+C109+C112+C115+C117</f>
        <v>4709859.6</v>
      </c>
      <c r="D121" s="54">
        <f>D117+D115+D112+D109+D97+D92+D85+D77+D75+D47+D25+D20+D18+D9</f>
        <v>1457104.1</v>
      </c>
      <c r="E121" s="54">
        <f>D121/C121*100</f>
        <v>30.937314989177178</v>
      </c>
      <c r="F121" s="54">
        <f>F9+F18+F20+F25+F47+F75+F77+F85+F92+F97+F109+F112+F115+F117</f>
        <v>598036.0000000001</v>
      </c>
      <c r="G121" s="54">
        <f>G117+G115+G112+G97+G92+G85+G77+G47+G25+G21+G18+G9+G20+G109</f>
        <v>171544.5</v>
      </c>
      <c r="H121" s="55">
        <f>G121/F121*100</f>
        <v>28.684644402678096</v>
      </c>
      <c r="I121" s="54">
        <f>I117+I115+I112+I109+I97+I92+I85+I77+I75+I47+I25+I20+I18+I9</f>
        <v>4848797.1</v>
      </c>
      <c r="J121" s="54">
        <f>J117+J115+J112+J109+J97+J92+J85+J77+J75+J47+J25+J20+J18+J9</f>
        <v>1489085.5</v>
      </c>
      <c r="K121" s="56">
        <f t="shared" si="9"/>
        <v>30.710410629473444</v>
      </c>
    </row>
    <row r="122" spans="1:11" ht="12.75">
      <c r="A122" s="7"/>
      <c r="B122" s="8"/>
      <c r="C122" s="9"/>
      <c r="D122" s="2"/>
      <c r="E122" s="10"/>
      <c r="F122" s="3"/>
      <c r="G122" s="4"/>
      <c r="H122" s="4"/>
      <c r="I122" s="6"/>
      <c r="J122" s="6"/>
      <c r="K122" s="6"/>
    </row>
    <row r="123" spans="1:11" ht="12.75" customHeight="1">
      <c r="A123" s="11"/>
      <c r="B123" s="12"/>
      <c r="C123" s="13"/>
      <c r="D123" s="14"/>
      <c r="E123" s="10"/>
      <c r="F123" s="3"/>
      <c r="G123" s="4"/>
      <c r="H123" s="4"/>
      <c r="I123" s="5"/>
      <c r="J123" s="5"/>
      <c r="K123" s="6"/>
    </row>
    <row r="124" spans="1:11" ht="13.5" customHeight="1">
      <c r="A124" s="11"/>
      <c r="B124" s="12"/>
      <c r="C124" s="13"/>
      <c r="D124" s="14"/>
      <c r="E124" s="10"/>
      <c r="F124" s="3"/>
      <c r="G124" s="4"/>
      <c r="H124" s="4"/>
      <c r="I124" s="5"/>
      <c r="J124" s="5"/>
      <c r="K124" s="6"/>
    </row>
    <row r="125" spans="1:11" ht="12.75" customHeight="1">
      <c r="A125" s="11"/>
      <c r="B125" s="12"/>
      <c r="C125" s="13"/>
      <c r="D125" s="14"/>
      <c r="E125" s="10"/>
      <c r="F125" s="3"/>
      <c r="G125" s="4"/>
      <c r="H125" s="4"/>
      <c r="I125" s="5"/>
      <c r="J125" s="5"/>
      <c r="K125" s="6"/>
    </row>
    <row r="126" spans="1:11" ht="12.75" customHeight="1">
      <c r="A126" s="11"/>
      <c r="B126" s="12"/>
      <c r="C126" s="13"/>
      <c r="D126" s="14"/>
      <c r="E126" s="10"/>
      <c r="F126" s="3"/>
      <c r="G126" s="4"/>
      <c r="H126" s="4"/>
      <c r="I126" s="5"/>
      <c r="J126" s="5"/>
      <c r="K126" s="6"/>
    </row>
    <row r="127" spans="1:11" ht="12.75" customHeight="1">
      <c r="A127" s="161" t="s">
        <v>124</v>
      </c>
      <c r="B127" s="161"/>
      <c r="C127" s="161"/>
      <c r="D127" s="3"/>
      <c r="E127" s="4"/>
      <c r="F127" s="4"/>
      <c r="G127" s="4"/>
      <c r="H127" s="4"/>
      <c r="I127" s="6"/>
      <c r="J127" s="6"/>
      <c r="K127" s="6"/>
    </row>
    <row r="128" spans="1:11" ht="13.5" customHeight="1">
      <c r="A128" s="161" t="s">
        <v>125</v>
      </c>
      <c r="B128" s="161"/>
      <c r="C128" s="161"/>
      <c r="D128" s="15"/>
      <c r="E128" s="162" t="s">
        <v>126</v>
      </c>
      <c r="F128" s="162"/>
      <c r="G128" s="4"/>
      <c r="H128" s="4"/>
      <c r="I128" s="5"/>
      <c r="J128" s="6"/>
      <c r="K128" s="6"/>
    </row>
    <row r="129" spans="1:11" ht="12.75" customHeight="1">
      <c r="A129" s="16"/>
      <c r="B129" s="8"/>
      <c r="C129" s="9"/>
      <c r="D129" s="2"/>
      <c r="E129" s="17"/>
      <c r="F129" s="18"/>
      <c r="G129" s="4"/>
      <c r="H129" s="4"/>
      <c r="I129" s="5"/>
      <c r="J129" s="6"/>
      <c r="K129" s="6"/>
    </row>
    <row r="130" spans="1:11" ht="12.75" customHeight="1">
      <c r="A130" s="161" t="s">
        <v>147</v>
      </c>
      <c r="B130" s="161"/>
      <c r="C130" s="161"/>
      <c r="D130" s="19"/>
      <c r="E130" s="162" t="s">
        <v>119</v>
      </c>
      <c r="F130" s="162"/>
      <c r="G130" s="4"/>
      <c r="H130" s="4"/>
      <c r="I130" s="5"/>
      <c r="J130" s="6"/>
      <c r="K130" s="6"/>
    </row>
    <row r="131" spans="1:11" ht="12.75">
      <c r="A131" s="16"/>
      <c r="B131" s="12"/>
      <c r="C131" s="13"/>
      <c r="D131" s="14"/>
      <c r="E131" s="17"/>
      <c r="F131" s="18"/>
      <c r="G131" s="4"/>
      <c r="H131" s="4"/>
      <c r="I131" s="5"/>
      <c r="J131" s="6"/>
      <c r="K131" s="6"/>
    </row>
    <row r="132" spans="1:11" ht="12.75" customHeight="1">
      <c r="A132" s="161" t="s">
        <v>150</v>
      </c>
      <c r="B132" s="161"/>
      <c r="C132" s="161"/>
      <c r="D132" s="19"/>
      <c r="E132" s="163" t="s">
        <v>151</v>
      </c>
      <c r="F132" s="163"/>
      <c r="G132" s="4"/>
      <c r="H132" s="4"/>
      <c r="I132" s="5"/>
      <c r="J132" s="6"/>
      <c r="K132" s="6"/>
    </row>
    <row r="133" spans="1:11" ht="12.75">
      <c r="A133" s="20"/>
      <c r="B133" s="21"/>
      <c r="C133" s="22"/>
      <c r="D133" s="3"/>
      <c r="E133" s="3"/>
      <c r="F133" s="4"/>
      <c r="G133" s="4"/>
      <c r="H133" s="4"/>
      <c r="I133" s="6"/>
      <c r="J133" s="6"/>
      <c r="K133" s="6"/>
    </row>
    <row r="134" spans="3:5" ht="12.75" customHeight="1">
      <c r="C134" s="25" t="s">
        <v>152</v>
      </c>
      <c r="D134" t="s">
        <v>153</v>
      </c>
      <c r="E134" s="26" t="s">
        <v>154</v>
      </c>
    </row>
    <row r="135" ht="12.75" customHeight="1"/>
    <row r="137" ht="12.75">
      <c r="B137" s="21" t="s">
        <v>257</v>
      </c>
    </row>
    <row r="138" spans="1:11" ht="12.75">
      <c r="A138" s="16"/>
      <c r="B138" s="12"/>
      <c r="C138" s="13"/>
      <c r="D138" s="14"/>
      <c r="E138" s="17"/>
      <c r="F138" s="18"/>
      <c r="G138" s="4"/>
      <c r="H138" s="4"/>
      <c r="I138" s="5"/>
      <c r="J138" s="6"/>
      <c r="K138" s="6"/>
    </row>
    <row r="139" spans="1:11" ht="12.75">
      <c r="A139" s="161"/>
      <c r="B139" s="161"/>
      <c r="C139" s="161"/>
      <c r="D139" s="14"/>
      <c r="E139" s="163"/>
      <c r="F139" s="163"/>
      <c r="G139" s="4"/>
      <c r="H139" s="4"/>
      <c r="I139" s="5"/>
      <c r="J139" s="6"/>
      <c r="K139" s="6"/>
    </row>
    <row r="140" spans="1:11" ht="12.75">
      <c r="A140" s="20"/>
      <c r="B140" s="21"/>
      <c r="C140" s="22"/>
      <c r="D140" s="14"/>
      <c r="E140" s="3"/>
      <c r="F140" s="4"/>
      <c r="G140" s="4"/>
      <c r="H140" s="4"/>
      <c r="I140" s="6"/>
      <c r="J140" s="6"/>
      <c r="K140" s="6"/>
    </row>
    <row r="141" ht="12.75">
      <c r="D141" s="23"/>
    </row>
  </sheetData>
  <sheetProtection/>
  <mergeCells count="37">
    <mergeCell ref="K20:K21"/>
    <mergeCell ref="A127:C127"/>
    <mergeCell ref="A20:A21"/>
    <mergeCell ref="A1:K1"/>
    <mergeCell ref="A3:A8"/>
    <mergeCell ref="B3:B5"/>
    <mergeCell ref="C3:E3"/>
    <mergeCell ref="F3:H3"/>
    <mergeCell ref="B20:B21"/>
    <mergeCell ref="C20:C21"/>
    <mergeCell ref="D20:D21"/>
    <mergeCell ref="E20:E21"/>
    <mergeCell ref="F20:F21"/>
    <mergeCell ref="A139:C139"/>
    <mergeCell ref="E139:F139"/>
    <mergeCell ref="G20:G21"/>
    <mergeCell ref="H20:H21"/>
    <mergeCell ref="I20:I21"/>
    <mergeCell ref="H4:H5"/>
    <mergeCell ref="I4:I5"/>
    <mergeCell ref="B6:K8"/>
    <mergeCell ref="G4:G5"/>
    <mergeCell ref="J20:J21"/>
    <mergeCell ref="I3:K3"/>
    <mergeCell ref="C4:C5"/>
    <mergeCell ref="D4:D5"/>
    <mergeCell ref="E4:E5"/>
    <mergeCell ref="F4:F5"/>
    <mergeCell ref="J4:J5"/>
    <mergeCell ref="K4:K5"/>
    <mergeCell ref="A121:B121"/>
    <mergeCell ref="A128:C128"/>
    <mergeCell ref="E128:F128"/>
    <mergeCell ref="A130:C130"/>
    <mergeCell ref="E130:F130"/>
    <mergeCell ref="A132:C132"/>
    <mergeCell ref="E132:F13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2012-03-20T11:39:48Z</cp:lastPrinted>
  <dcterms:created xsi:type="dcterms:W3CDTF">2006-05-12T06:58:42Z</dcterms:created>
  <dcterms:modified xsi:type="dcterms:W3CDTF">2013-06-28T04:46:38Z</dcterms:modified>
  <cp:category/>
  <cp:version/>
  <cp:contentType/>
  <cp:contentStatus/>
</cp:coreProperties>
</file>