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05" activeTab="1"/>
  </bookViews>
  <sheets>
    <sheet name="доходы" sheetId="1" r:id="rId1"/>
    <sheet name="расходы" sheetId="2" r:id="rId2"/>
  </sheets>
  <definedNames>
    <definedName name="_xlnm.Print_Titles" localSheetId="0">'доходы'!$4:$6</definedName>
  </definedNames>
  <calcPr fullCalcOnLoad="1"/>
</workbook>
</file>

<file path=xl/sharedStrings.xml><?xml version="1.0" encoding="utf-8"?>
<sst xmlns="http://schemas.openxmlformats.org/spreadsheetml/2006/main" count="634" uniqueCount="247">
  <si>
    <t>БЕЗВОЗМЕЗДНЫЕ ПОСТУПЛЕНИЯ</t>
  </si>
  <si>
    <t>00020000000000000000</t>
  </si>
  <si>
    <t>00020700000000000180</t>
  </si>
  <si>
    <t>00010000000000000000</t>
  </si>
  <si>
    <t>ВСЕГО ДОХОДОВ</t>
  </si>
  <si>
    <t>Налоги на совокупный доход</t>
  </si>
  <si>
    <t>Налоги  на  имущество</t>
  </si>
  <si>
    <t>Штрафы, санкции, возмещение  ущерба</t>
  </si>
  <si>
    <t>00010500000000000000</t>
  </si>
  <si>
    <t>00010600000000000000</t>
  </si>
  <si>
    <t>00010800000000000000</t>
  </si>
  <si>
    <t>00011100000000000000</t>
  </si>
  <si>
    <t>00011600000000000000</t>
  </si>
  <si>
    <t>Платежи при пользовании  природными  ресурсами</t>
  </si>
  <si>
    <t>00011200000000000000</t>
  </si>
  <si>
    <t>Доходы от продажи материальных и нематериальных активов</t>
  </si>
  <si>
    <t>Наименование дохода</t>
  </si>
  <si>
    <t>Доходы от использования имущества , находящегося  в государственной и муниципальной собственности</t>
  </si>
  <si>
    <t>00011400000000000000</t>
  </si>
  <si>
    <t>Прочие безвозмездные поступления</t>
  </si>
  <si>
    <t>Безвозмездные поступления от других бюджетов бюджетной системы Российской Федерации</t>
  </si>
  <si>
    <t>Государственная пошлина</t>
  </si>
  <si>
    <t xml:space="preserve">Налоги на прибыль, доходы </t>
  </si>
  <si>
    <t>00010100000000000000</t>
  </si>
  <si>
    <t>Октябрьский район</t>
  </si>
  <si>
    <t>городское поселение Андра</t>
  </si>
  <si>
    <t>городское поселение Октябрьское</t>
  </si>
  <si>
    <t>городское поселение Приобье</t>
  </si>
  <si>
    <t>городское поселение Талинка</t>
  </si>
  <si>
    <t>сельское поселение Каменное</t>
  </si>
  <si>
    <t>сельское поселение Карымкары</t>
  </si>
  <si>
    <t>сельское поселение М-Атлым</t>
  </si>
  <si>
    <t>сельское поселение Перегрёбное</t>
  </si>
  <si>
    <t>сельское поселение Сергино</t>
  </si>
  <si>
    <t>сельское поселение Унъюган</t>
  </si>
  <si>
    <t>сельское поселение Шеркалы</t>
  </si>
  <si>
    <t>Октябрьский район (консолидированный бюджет)</t>
  </si>
  <si>
    <t>00010900000000000000</t>
  </si>
  <si>
    <t>Задолженность и перерасчеты по отмененным налогам, сборам и иным обязательным платежам</t>
  </si>
  <si>
    <t>00011700000000000000</t>
  </si>
  <si>
    <t>Прочие неналоговые доходы</t>
  </si>
  <si>
    <t xml:space="preserve"> </t>
  </si>
  <si>
    <t>00011300000000000000</t>
  </si>
  <si>
    <t>Доходы от оказания платных услуг и компенсации затрат государства</t>
  </si>
  <si>
    <t>00011900000000000000</t>
  </si>
  <si>
    <t>Возврат остатков субсидий и субвенций прошлых лет</t>
  </si>
  <si>
    <t>КБК</t>
  </si>
  <si>
    <t>112</t>
  </si>
  <si>
    <t>111</t>
  </si>
  <si>
    <t>108</t>
  </si>
  <si>
    <t>116</t>
  </si>
  <si>
    <t>202</t>
  </si>
  <si>
    <t>207</t>
  </si>
  <si>
    <t>114</t>
  </si>
  <si>
    <t>101</t>
  </si>
  <si>
    <t>105</t>
  </si>
  <si>
    <t>106</t>
  </si>
  <si>
    <t xml:space="preserve"> -</t>
  </si>
  <si>
    <t>113</t>
  </si>
  <si>
    <t>контроль</t>
  </si>
  <si>
    <t>00011500000000000000</t>
  </si>
  <si>
    <t>Административные платежи и сборы</t>
  </si>
  <si>
    <t>=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</si>
  <si>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</si>
  <si>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</si>
  <si>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00021800000000000151</t>
  </si>
  <si>
    <t>00021900000000000000</t>
  </si>
  <si>
    <t>00020200000000000000</t>
  </si>
  <si>
    <t>НАЛОГОВЫЕ И НЕНАЛОГОВЫЕ ДОХОДЫ</t>
  </si>
  <si>
    <t>(тыс.руб.)</t>
  </si>
  <si>
    <t>00010300000000000000</t>
  </si>
  <si>
    <t>Акцизы</t>
  </si>
  <si>
    <t>1 квартал</t>
  </si>
  <si>
    <t>2 квартал</t>
  </si>
  <si>
    <t>3 квартал</t>
  </si>
  <si>
    <t>4 квартал</t>
  </si>
  <si>
    <t>Исполнение на 01.02.2015</t>
  </si>
  <si>
    <t>Исполнение на 01.02.2016</t>
  </si>
  <si>
    <t>Исполнение на 01.02.2017</t>
  </si>
  <si>
    <t>Исполнение на 01.02.2018</t>
  </si>
  <si>
    <t>Исполнение на 01.02.2019</t>
  </si>
  <si>
    <t>Уточн. план на 2018 год</t>
  </si>
  <si>
    <t>Первонач. план на 2018 год</t>
  </si>
  <si>
    <t xml:space="preserve">% исп-ия к уточн. плану на 2018 год </t>
  </si>
  <si>
    <t xml:space="preserve">% исп-ия к первонач. плану на 2018 год </t>
  </si>
  <si>
    <t>План                 на 9 месяцев 2018 года</t>
  </si>
  <si>
    <t xml:space="preserve">% исп-ия к плану за 9 месяцев2018 года </t>
  </si>
  <si>
    <t>Отчет об исполнении консолидированного бюджета Октябрьского района по состоянию на 01.08.2018</t>
  </si>
  <si>
    <t>Исполнение на 01.08.2018</t>
  </si>
  <si>
    <t>Отчет  об  исполнении  консолидированного  бюджета  района  по  расходам на 1 августа 2018 года</t>
  </si>
  <si>
    <t>ФКР</t>
  </si>
  <si>
    <t>Наименование показателя</t>
  </si>
  <si>
    <t>Бюджет Район</t>
  </si>
  <si>
    <t>Бюджет Поселения</t>
  </si>
  <si>
    <t>Консолидированный бюджет</t>
  </si>
  <si>
    <t>План на год</t>
  </si>
  <si>
    <t>исполнение на 01.08.2018</t>
  </si>
  <si>
    <t>% исполнения</t>
  </si>
  <si>
    <t>исполнения на 01.08.2018</t>
  </si>
  <si>
    <t>РАСХОДЫ</t>
  </si>
  <si>
    <t>01</t>
  </si>
  <si>
    <t>Общегосударственные  вопросы</t>
  </si>
  <si>
    <t>0102</t>
  </si>
  <si>
    <t>Функционирование  высшего  должностного  лица</t>
  </si>
  <si>
    <t>0103</t>
  </si>
  <si>
    <t>Функционирование  законодательных (представительных)  органов власти</t>
  </si>
  <si>
    <t>0104</t>
  </si>
  <si>
    <t>Функционирование  органов  местного   самоуправления</t>
  </si>
  <si>
    <t>0105</t>
  </si>
  <si>
    <t>Судебная система</t>
  </si>
  <si>
    <t>0106</t>
  </si>
  <si>
    <t>Обеспечение  деятельности  финансовых  органов</t>
  </si>
  <si>
    <t>0107</t>
  </si>
  <si>
    <t>Обеспечение проведения выборов и референдумов</t>
  </si>
  <si>
    <t>0111</t>
  </si>
  <si>
    <t>Резервный  фонд</t>
  </si>
  <si>
    <t>0113</t>
  </si>
  <si>
    <t>Другие  общегосударственные  вопросы</t>
  </si>
  <si>
    <t>02</t>
  </si>
  <si>
    <t>Национальная оборона</t>
  </si>
  <si>
    <t>0203</t>
  </si>
  <si>
    <t>Содержание инспекторов ВУС</t>
  </si>
  <si>
    <t>03</t>
  </si>
  <si>
    <t>Национальная  безопасность и правоохранительная деятельность</t>
  </si>
  <si>
    <t>0304</t>
  </si>
  <si>
    <t xml:space="preserve">ЗАГС </t>
  </si>
  <si>
    <t>0309</t>
  </si>
  <si>
    <t>Предупреждение и  ликвидация  последствий ЧС</t>
  </si>
  <si>
    <t>0314</t>
  </si>
  <si>
    <t>Другие вопросы в области национальной безопасности и правоохранительной деятельности</t>
  </si>
  <si>
    <t>04</t>
  </si>
  <si>
    <t>Национальная  экономика</t>
  </si>
  <si>
    <t>0401</t>
  </si>
  <si>
    <t>Государственная программа "Содействие занятости населения в Ханты-Мансийском автономном округе – Югре на 2014 – 2020 годы"</t>
  </si>
  <si>
    <t>0405</t>
  </si>
  <si>
    <t>Сельское хозяйство и рыболовство</t>
  </si>
  <si>
    <t>0408</t>
  </si>
  <si>
    <t>Воздушный транспорт (1120161100)</t>
  </si>
  <si>
    <t>Автомобильный транспорт (1140161100 - район, 4030061100 - поселения)</t>
  </si>
  <si>
    <t>Водный транспорт (1130161100)</t>
  </si>
  <si>
    <t>0409</t>
  </si>
  <si>
    <t>Муниципальная  программа" Развитие транспортной  системы муниципального  образования Октябрьский  район на 2014-2016  годы" (11101S2390)</t>
  </si>
  <si>
    <t>Муниципальная  программа" Развитие транспортной  системы муниципального  образования Октябрьский  район на 2014-2016  годы"  (1110182390) окружные средства</t>
  </si>
  <si>
    <t>Строительство и реконструкция, капитальный ремонт, ремонт  объектов муниципальной собственности  муниципальной программы "Осуществление поселком городского  типа Октябрьское функций  административного центра  муниципального  образования Октябрьский  район на 2014-2016  годы" (1500299990)</t>
  </si>
  <si>
    <t>Содержание автомобильных дорог общего пользования (1110199990) т.с.01.03.01 (дорожный фонд)</t>
  </si>
  <si>
    <t>Содержание и ремонт автомобильных дорог общего пользования (4030099990) (средства бюджетов поселений)</t>
  </si>
  <si>
    <t>0410</t>
  </si>
  <si>
    <t>Связь и информатика</t>
  </si>
  <si>
    <t>0412</t>
  </si>
  <si>
    <t>Реализация мероприятий муниципальной  программы "Управление  муниципальной  собственностью Октябрьского района на 2014 – 2020 годы" земля (1800299990)</t>
  </si>
  <si>
    <t>Градостроительная деятельность (0910299990)</t>
  </si>
  <si>
    <t>Реализация мероприятий муниципальной программы "Поддержка малого и среднего предпринимательства в Октябрьском районе на 2014-2020 годы" (0800299990, 0800199990) местный бюджет</t>
  </si>
  <si>
    <t>Субсидии на предоставление государственных услуг в многофункциональных центрах предоставления государственных и муниципальных услуг в рамках подпрограммы "Развитие  информационного  общества  Октябрьского  района" муниципальной  программы "Развитие  информационного  и гражданского  общества  Октябрьского  района на 2014-2016 годы " (1700182370, 17001S2370)</t>
  </si>
  <si>
    <t>Субсидии на государственную поддержку малого и среднего предпринимательства в рамках программы "Поддержка малого и среднего предпринимательства в Октябрьском районе на 2014-2020 годы" (0800282380, 0800182380) окружной бюджет</t>
  </si>
  <si>
    <t>Осуществление полномочий по государственному управлению охраной труда (1910184120) тс. 01.30.39</t>
  </si>
  <si>
    <t>Осуществление полномочий по государственному управлению охраной труда (1910199990) местный бюджет</t>
  </si>
  <si>
    <t>Другие вопросы в области национальной экономики</t>
  </si>
  <si>
    <t>05</t>
  </si>
  <si>
    <t>Жилищно-коммунальное хозяйство</t>
  </si>
  <si>
    <t>0501</t>
  </si>
  <si>
    <t>Субсидии на реализацию подпрограммы "Стимулирование жилищного строительства" муниципальной программы "Обеспечение доступным комфортным жильем жителей муниципального образования Октябрьский район на 2014-2016 годы" (0910182172, 09101S2172) 01.40.36 и 01.02.00</t>
  </si>
  <si>
    <t xml:space="preserve"> "Управление и распоряжение  муниципальным  имуществом муниципального  образования Октябрьский  район" (1800199990)</t>
  </si>
  <si>
    <t>Капитальный ремонт жилого фонда 1040442120 (40600S2420,  40600S2430, 4060099990 средства поселений)</t>
  </si>
  <si>
    <t>0502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</si>
  <si>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(водоснабжение, водоотведение, услуги бани) (1020161100)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</si>
  <si>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(теплоснабжение) (1020161100)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</si>
  <si>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(электроснабжение) (10201S2240)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</si>
  <si>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(электроснабжение) (1020182240) окружной бюджет</t>
  </si>
  <si>
    <t>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автономного округа по социально ориентированным тарифам и сжиженного газа по социально-ориентированным розничным ценам в рамках  подпрограммы "Обеспечение  равных  прав потребителей на получение  энергетических  ресурсов" муниципальной  программы"Развитие жилищно-коммунального  комплекса и повышение энергетической  эффективности в муниципальном  образовании  Октябрьский  район на 2014-2020 годы" (1020184230)</t>
  </si>
  <si>
    <t>Иные  межбюджетные трансферты  на реконструкцию, расширение, модернизацию, строительство и капитальный ремонт объектов коммунального комплекса в рамках подпрограммы "Создание условий для обеспечения качественными коммунальными услугами"  муниципальной  программы ""Развитие  жилищно-коммунального   комплекса и повышение  энергетической  эффективности в  муниципальном  образовании Октябрьский  район на 2014-2020 годы" (1010182591) ОЗП доля поселения 10101S2591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</si>
  <si>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(4060061100, 40600221400, 4060021410)</t>
  </si>
  <si>
    <t>Подготовка к зиме (4060099990)</t>
  </si>
  <si>
    <t>0503</t>
  </si>
  <si>
    <t>Реализация  мероприятий  муниципальной  программы "Осуществление поселком городского  типа Октябрьское функций  административного центра  муниципального  образования Октябрьский  район на 2014-2016  годы" (150019990)</t>
  </si>
  <si>
    <t>Иные межбюджетные трансферты на финансирование наказов избирателей депутатам Думы ХМАО-Югры  (4120085160)</t>
  </si>
  <si>
    <t>"Улучшение экологической ситуации на территории Октябрьского района" (0600299990)</t>
  </si>
  <si>
    <t>Расходы по содействию местному самоуправлению в развитии исторических и иных местных традиций в рамках непрограммного направления  деятельности (1640482420) 4060082420, 0100199990 доля поселения 40600S2420</t>
  </si>
  <si>
    <t>Субсидии на формирование современной городской среды (10601R5550, 10601S5550)</t>
  </si>
  <si>
    <t>Субсидии на благоустройство территорий муниципальных образований (1060182600,  10601S2600)</t>
  </si>
  <si>
    <t>Внешнее благоустройство 1060182600, 1060199990 (4060099990)</t>
  </si>
  <si>
    <t>0505</t>
  </si>
  <si>
    <t>Администрирование по жилищному отделу</t>
  </si>
  <si>
    <t>06</t>
  </si>
  <si>
    <t>Охрана окружающей среды</t>
  </si>
  <si>
    <t>0605</t>
  </si>
  <si>
    <t>Другие вопросы в области охраны окружающей среды</t>
  </si>
  <si>
    <t>07</t>
  </si>
  <si>
    <t>Образование</t>
  </si>
  <si>
    <t>0701</t>
  </si>
  <si>
    <t>Дошкольное образование</t>
  </si>
  <si>
    <t>Субсидии на строительство и реконструкцию дошкольных образовательных и общеобразовательных учреждений в рамках подпрограммы "Общее образование и дополнительное образование"  муниципальной  программы "Развитие образования в Октябрьском  районе на 2014-2020 годы" (0140482030, 01404S2030) 01.40.18 и местн.</t>
  </si>
  <si>
    <t>0702</t>
  </si>
  <si>
    <t>Общее образование</t>
  </si>
  <si>
    <t>Бесплатное питание (0140284030, 0140282460)</t>
  </si>
  <si>
    <t>Субсидии на строительство и реконструкцию дошкольных образовательных и общеобразовательных учреждений в рамках подпрограммы "Общее образование и дополнительное образование"  муниципальной  программы "Развитие образования в Октябрьском  районе на 2014-2020 годы" (0140482030) 01.40.18 и местн.</t>
  </si>
  <si>
    <t>0703</t>
  </si>
  <si>
    <t>Дополнительное образование детей</t>
  </si>
  <si>
    <t>0707</t>
  </si>
  <si>
    <t>Молодежная политика  и оздоровление   детей</t>
  </si>
  <si>
    <t>0709</t>
  </si>
  <si>
    <t>Другие вопросы в области  образования</t>
  </si>
  <si>
    <t>08</t>
  </si>
  <si>
    <t>Культура и кинематография</t>
  </si>
  <si>
    <t>0801</t>
  </si>
  <si>
    <t>Культура</t>
  </si>
  <si>
    <t>Подпрограмма "Библиотечное дело" (0310182520, 03101S2520)</t>
  </si>
  <si>
    <t>0802</t>
  </si>
  <si>
    <t>Кинематография</t>
  </si>
  <si>
    <t>0804</t>
  </si>
  <si>
    <t>Другие вопросы в области культуры, кинематографии</t>
  </si>
  <si>
    <t>09</t>
  </si>
  <si>
    <t xml:space="preserve">Здравоохранение </t>
  </si>
  <si>
    <t>0909</t>
  </si>
  <si>
    <t>Бюджетные инвестиции в объекты капитального строительства государственной собственности субъектов РФ (1800582010, 18005S2010)</t>
  </si>
  <si>
    <t>Расходы на организацию мероприятий по проведению дезинсекции и дератизации (1800684280)</t>
  </si>
  <si>
    <t>Социальная политика</t>
  </si>
  <si>
    <t>Пенсионное обеспечение</t>
  </si>
  <si>
    <t>Субвенции на осуществление полномочий по обеспечению жильем отдельных категорий граждан, установленных федеральным законом от 12.01.1995 № 5-ФЗ "О ветеранах" и …" (0920251350) 01.20.04</t>
  </si>
  <si>
    <t>1003</t>
  </si>
  <si>
    <t>Субсидии на софинансирование мероприятий подпрограммы "Обеспечение жильем молодых семей" федеральной целевой программы "Жилище" на 2011-2015 годы в рамках подпрограммы "Обеспечение мерами государственной поддержки по улучшению жилищных условий отдельных категорий граждан на 2014-2020 годы" государственной программы "Обеспечение доступным и комфортным жильем жителей ХМАО-Югры в 2014-2020 годах" за счет средств бюджета автономного округа (09201R4970 о/б, 0920154970 ф/б, 09201S4970 доля)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</si>
  <si>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общеобразовательную программу дошкольного образования (0140284050) тс 01.30.09</t>
  </si>
  <si>
    <t>Субвенции на предоставление дополнительных мер социальной поддержки детям-сиротам и детям, оставшимся без попечения родителей, а так же лицам из числа детей-сирот и детей, оставшихся без попечения родителей, усыновителям, приемным родителям, патронатных воспитателям и воспитателям детских домов семейного типа в рамках подпрограммы "Дети Югры" государственной программы "Социальная поддержка жителей ХМАО-Югры на 2014-2020 годы" (1310184060)</t>
  </si>
  <si>
    <t>1004</t>
  </si>
  <si>
    <t>Субвенции на обеспечение предоставления жилых помещений детям-сиротам и детям, оставшимся без попечения родителей, лицам из числа по договорам найма специализированных жилых помещений в рамках подпрограммы "Преодоление социальной исключенности" государственной программы "Социальная поддержка жителей Ханты-Мансийского автономного округа - Югры на 2014-2020 годы" за счет средств автономного округа (13101R0820)</t>
  </si>
  <si>
    <t>Осуществление деятельности отдела по опеке и попечительству</t>
  </si>
  <si>
    <t>Физическая культура и спорт</t>
  </si>
  <si>
    <t>Физическая культура</t>
  </si>
  <si>
    <t>Массовый спорт</t>
  </si>
  <si>
    <t>Средства массовой информации</t>
  </si>
  <si>
    <t>1201</t>
  </si>
  <si>
    <t>Телевидение и радиовещание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</si>
  <si>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</si>
  <si>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</si>
  <si>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Межбюджетные трансферты</t>
  </si>
  <si>
    <t>Дотации на выравнивание  бюджетной обеспеченности субъектов РФ и муниципальных образований</t>
  </si>
  <si>
    <t>Иные дотации</t>
  </si>
  <si>
    <t>Прочие межбюджетные трансферты</t>
  </si>
  <si>
    <t>ИТОГО РАСХОДОВ</t>
  </si>
  <si>
    <t>Председатель Комитета по управлению муниципальными</t>
  </si>
  <si>
    <t>финансами администрации Октябрьского района</t>
  </si>
  <si>
    <t>Куклина Н.Г.</t>
  </si>
  <si>
    <t>Заведующий отделом учета исполнения бюджета</t>
  </si>
  <si>
    <t>Заворотынская Н.А.</t>
  </si>
  <si>
    <t>Заведующий бюджетным отделом</t>
  </si>
  <si>
    <t>Горенкова Т.А.</t>
  </si>
  <si>
    <t>Заведующий отделом  доходов</t>
  </si>
  <si>
    <t>Мартюшова О.Г.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</si>
</sst>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#,##0.000"/>
    <numFmt numFmtId="179" formatCode="_-* #,##0.0_р_._-;\-* #,##0.0_р_._-;_-* &quot;-&quot;?_р_._-;_-@_-"/>
  </numFmts>
  <fonts count="59">
    <font>
      <sz val="10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8"/>
      <name val="Arial Cyr"/>
      <family val="2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30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1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b/>
      <sz val="11"/>
      <color indexed="36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176" fontId="7" fillId="0" borderId="0" xfId="0" applyNumberFormat="1" applyFont="1" applyFill="1" applyBorder="1" applyAlignment="1">
      <alignment/>
    </xf>
    <xf numFmtId="176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176" fontId="2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/>
    </xf>
    <xf numFmtId="176" fontId="7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vertical="top" wrapText="1"/>
    </xf>
    <xf numFmtId="49" fontId="2" fillId="0" borderId="12" xfId="0" applyNumberFormat="1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176" fontId="5" fillId="0" borderId="13" xfId="0" applyNumberFormat="1" applyFont="1" applyFill="1" applyBorder="1" applyAlignment="1">
      <alignment horizontal="right" vertical="top"/>
    </xf>
    <xf numFmtId="176" fontId="5" fillId="0" borderId="13" xfId="0" applyNumberFormat="1" applyFont="1" applyFill="1" applyBorder="1" applyAlignment="1">
      <alignment vertical="top"/>
    </xf>
    <xf numFmtId="0" fontId="2" fillId="0" borderId="12" xfId="0" applyFont="1" applyFill="1" applyBorder="1" applyAlignment="1">
      <alignment vertical="top" wrapText="1" shrinkToFit="1"/>
    </xf>
    <xf numFmtId="176" fontId="5" fillId="0" borderId="10" xfId="0" applyNumberFormat="1" applyFont="1" applyFill="1" applyBorder="1" applyAlignment="1">
      <alignment horizontal="right" vertical="top"/>
    </xf>
    <xf numFmtId="49" fontId="2" fillId="0" borderId="13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176" fontId="4" fillId="0" borderId="13" xfId="0" applyNumberFormat="1" applyFont="1" applyFill="1" applyBorder="1" applyAlignment="1">
      <alignment vertical="top"/>
    </xf>
    <xf numFmtId="49" fontId="1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/>
    </xf>
    <xf numFmtId="176" fontId="4" fillId="0" borderId="10" xfId="0" applyNumberFormat="1" applyFont="1" applyFill="1" applyBorder="1" applyAlignment="1">
      <alignment horizontal="right" vertical="top"/>
    </xf>
    <xf numFmtId="0" fontId="2" fillId="0" borderId="13" xfId="0" applyFont="1" applyFill="1" applyBorder="1" applyAlignment="1">
      <alignment vertical="top" wrapText="1"/>
    </xf>
    <xf numFmtId="49" fontId="5" fillId="0" borderId="13" xfId="0" applyNumberFormat="1" applyFont="1" applyFill="1" applyBorder="1" applyAlignment="1">
      <alignment horizontal="center" vertical="top"/>
    </xf>
    <xf numFmtId="49" fontId="5" fillId="0" borderId="11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vertical="top"/>
    </xf>
    <xf numFmtId="176" fontId="1" fillId="0" borderId="13" xfId="0" applyNumberFormat="1" applyFont="1" applyFill="1" applyBorder="1" applyAlignment="1">
      <alignment horizontal="right" vertical="top" wrapText="1"/>
    </xf>
    <xf numFmtId="0" fontId="2" fillId="0" borderId="13" xfId="0" applyFont="1" applyFill="1" applyBorder="1" applyAlignment="1">
      <alignment horizontal="justify" vertical="top" wrapText="1"/>
    </xf>
    <xf numFmtId="0" fontId="2" fillId="0" borderId="13" xfId="0" applyFont="1" applyFill="1" applyBorder="1" applyAlignment="1">
      <alignment vertical="top"/>
    </xf>
    <xf numFmtId="176" fontId="4" fillId="0" borderId="13" xfId="0" applyNumberFormat="1" applyFont="1" applyFill="1" applyBorder="1" applyAlignment="1">
      <alignment horizontal="right" vertical="top"/>
    </xf>
    <xf numFmtId="176" fontId="2" fillId="0" borderId="13" xfId="0" applyNumberFormat="1" applyFont="1" applyFill="1" applyBorder="1" applyAlignment="1">
      <alignment horizontal="righ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49" fontId="2" fillId="0" borderId="13" xfId="0" applyNumberFormat="1" applyFont="1" applyFill="1" applyBorder="1" applyAlignment="1">
      <alignment horizontal="left" vertical="top" wrapText="1"/>
    </xf>
    <xf numFmtId="177" fontId="5" fillId="0" borderId="13" xfId="0" applyNumberFormat="1" applyFont="1" applyFill="1" applyBorder="1" applyAlignment="1">
      <alignment vertical="top"/>
    </xf>
    <xf numFmtId="49" fontId="2" fillId="0" borderId="11" xfId="0" applyNumberFormat="1" applyFont="1" applyFill="1" applyBorder="1" applyAlignment="1">
      <alignment horizontal="left" vertical="top" wrapText="1"/>
    </xf>
    <xf numFmtId="49" fontId="5" fillId="0" borderId="13" xfId="0" applyNumberFormat="1" applyFont="1" applyFill="1" applyBorder="1" applyAlignment="1">
      <alignment horizontal="left" vertical="top"/>
    </xf>
    <xf numFmtId="49" fontId="5" fillId="0" borderId="11" xfId="0" applyNumberFormat="1" applyFont="1" applyFill="1" applyBorder="1" applyAlignment="1">
      <alignment horizontal="left" vertical="top"/>
    </xf>
    <xf numFmtId="176" fontId="2" fillId="0" borderId="13" xfId="0" applyNumberFormat="1" applyFont="1" applyFill="1" applyBorder="1" applyAlignment="1">
      <alignment horizontal="right" vertical="top" wrapText="1"/>
    </xf>
    <xf numFmtId="49" fontId="2" fillId="0" borderId="12" xfId="0" applyNumberFormat="1" applyFont="1" applyFill="1" applyBorder="1" applyAlignment="1">
      <alignment horizontal="left" vertical="top" wrapText="1"/>
    </xf>
    <xf numFmtId="176" fontId="5" fillId="0" borderId="11" xfId="0" applyNumberFormat="1" applyFont="1" applyFill="1" applyBorder="1" applyAlignment="1">
      <alignment horizontal="right" vertical="top"/>
    </xf>
    <xf numFmtId="0" fontId="5" fillId="0" borderId="0" xfId="0" applyFont="1" applyFill="1" applyAlignment="1">
      <alignment vertical="top"/>
    </xf>
    <xf numFmtId="176" fontId="5" fillId="0" borderId="0" xfId="0" applyNumberFormat="1" applyFont="1" applyFill="1" applyAlignment="1">
      <alignment vertical="top"/>
    </xf>
    <xf numFmtId="176" fontId="2" fillId="0" borderId="13" xfId="0" applyNumberFormat="1" applyFont="1" applyFill="1" applyBorder="1" applyAlignment="1">
      <alignment vertical="top" wrapText="1"/>
    </xf>
    <xf numFmtId="176" fontId="0" fillId="0" borderId="0" xfId="0" applyNumberFormat="1" applyFill="1" applyAlignment="1">
      <alignment vertical="top" wrapText="1"/>
    </xf>
    <xf numFmtId="49" fontId="1" fillId="0" borderId="13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>
      <alignment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176" fontId="2" fillId="0" borderId="13" xfId="0" applyNumberFormat="1" applyFont="1" applyFill="1" applyBorder="1" applyAlignment="1">
      <alignment vertical="top"/>
    </xf>
    <xf numFmtId="49" fontId="2" fillId="0" borderId="13" xfId="0" applyNumberFormat="1" applyFont="1" applyFill="1" applyBorder="1" applyAlignment="1">
      <alignment horizontal="center" vertical="top" wrapText="1"/>
    </xf>
    <xf numFmtId="176" fontId="2" fillId="0" borderId="13" xfId="0" applyNumberFormat="1" applyFont="1" applyFill="1" applyBorder="1" applyAlignment="1">
      <alignment horizontal="right" vertical="top"/>
    </xf>
    <xf numFmtId="49" fontId="5" fillId="0" borderId="0" xfId="0" applyNumberFormat="1" applyFont="1" applyFill="1" applyBorder="1" applyAlignment="1">
      <alignment horizontal="center" vertical="top"/>
    </xf>
    <xf numFmtId="176" fontId="1" fillId="0" borderId="13" xfId="0" applyNumberFormat="1" applyFont="1" applyFill="1" applyBorder="1" applyAlignment="1">
      <alignment vertical="top" wrapText="1"/>
    </xf>
    <xf numFmtId="49" fontId="5" fillId="0" borderId="12" xfId="0" applyNumberFormat="1" applyFont="1" applyFill="1" applyBorder="1" applyAlignment="1">
      <alignment horizontal="center" vertical="top"/>
    </xf>
    <xf numFmtId="176" fontId="2" fillId="0" borderId="12" xfId="0" applyNumberFormat="1" applyFont="1" applyFill="1" applyBorder="1" applyAlignment="1">
      <alignment horizontal="right" vertical="top" wrapText="1"/>
    </xf>
    <xf numFmtId="49" fontId="2" fillId="0" borderId="13" xfId="0" applyNumberFormat="1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6" fillId="0" borderId="14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top"/>
    </xf>
    <xf numFmtId="0" fontId="5" fillId="0" borderId="13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176" fontId="5" fillId="0" borderId="10" xfId="0" applyNumberFormat="1" applyFont="1" applyFill="1" applyBorder="1" applyAlignment="1">
      <alignment vertical="top"/>
    </xf>
    <xf numFmtId="49" fontId="2" fillId="0" borderId="12" xfId="0" applyNumberFormat="1" applyFont="1" applyFill="1" applyBorder="1" applyAlignment="1">
      <alignment vertical="top" wrapText="1"/>
    </xf>
    <xf numFmtId="176" fontId="2" fillId="0" borderId="13" xfId="0" applyNumberFormat="1" applyFont="1" applyFill="1" applyBorder="1" applyAlignment="1">
      <alignment vertical="top" wrapText="1" shrinkToFit="1"/>
    </xf>
    <xf numFmtId="176" fontId="2" fillId="0" borderId="12" xfId="0" applyNumberFormat="1" applyFont="1" applyFill="1" applyBorder="1" applyAlignment="1">
      <alignment vertical="top" wrapText="1"/>
    </xf>
    <xf numFmtId="176" fontId="4" fillId="0" borderId="15" xfId="0" applyNumberFormat="1" applyFont="1" applyFill="1" applyBorder="1" applyAlignment="1">
      <alignment vertical="top"/>
    </xf>
    <xf numFmtId="176" fontId="4" fillId="0" borderId="0" xfId="0" applyNumberFormat="1" applyFont="1" applyFill="1" applyBorder="1" applyAlignment="1">
      <alignment vertical="top"/>
    </xf>
    <xf numFmtId="176" fontId="2" fillId="0" borderId="13" xfId="0" applyNumberFormat="1" applyFont="1" applyFill="1" applyBorder="1" applyAlignment="1">
      <alignment horizontal="right" vertical="top" wrapText="1" shrinkToFit="1"/>
    </xf>
    <xf numFmtId="49" fontId="2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176" fontId="4" fillId="0" borderId="11" xfId="0" applyNumberFormat="1" applyFont="1" applyFill="1" applyBorder="1" applyAlignment="1">
      <alignment vertical="top"/>
    </xf>
    <xf numFmtId="176" fontId="2" fillId="0" borderId="10" xfId="0" applyNumberFormat="1" applyFont="1" applyFill="1" applyBorder="1" applyAlignment="1">
      <alignment horizontal="right" vertical="top" wrapText="1"/>
    </xf>
    <xf numFmtId="176" fontId="1" fillId="0" borderId="17" xfId="0" applyNumberFormat="1" applyFont="1" applyFill="1" applyBorder="1" applyAlignment="1">
      <alignment horizontal="right" vertical="top" wrapText="1"/>
    </xf>
    <xf numFmtId="0" fontId="2" fillId="0" borderId="17" xfId="0" applyFont="1" applyFill="1" applyBorder="1" applyAlignment="1">
      <alignment vertical="top" wrapText="1"/>
    </xf>
    <xf numFmtId="0" fontId="3" fillId="0" borderId="0" xfId="0" applyFont="1" applyFill="1" applyAlignment="1">
      <alignment horizontal="center" vertical="center"/>
    </xf>
    <xf numFmtId="0" fontId="4" fillId="0" borderId="17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center" vertical="top" wrapText="1"/>
    </xf>
    <xf numFmtId="49" fontId="2" fillId="0" borderId="20" xfId="0" applyNumberFormat="1" applyFont="1" applyFill="1" applyBorder="1" applyAlignment="1">
      <alignment horizontal="center" vertical="top" wrapText="1"/>
    </xf>
    <xf numFmtId="49" fontId="2" fillId="0" borderId="21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176" fontId="4" fillId="0" borderId="20" xfId="0" applyNumberFormat="1" applyFont="1" applyFill="1" applyBorder="1" applyAlignment="1">
      <alignment horizontal="center" vertical="top"/>
    </xf>
    <xf numFmtId="176" fontId="4" fillId="0" borderId="21" xfId="0" applyNumberFormat="1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170" fontId="2" fillId="0" borderId="14" xfId="42" applyFont="1" applyFill="1" applyBorder="1" applyAlignment="1">
      <alignment horizontal="center" vertical="top" wrapText="1"/>
    </xf>
    <xf numFmtId="170" fontId="2" fillId="0" borderId="20" xfId="42" applyFont="1" applyFill="1" applyBorder="1" applyAlignment="1">
      <alignment horizontal="center" vertical="top" wrapText="1"/>
    </xf>
    <xf numFmtId="170" fontId="2" fillId="0" borderId="21" xfId="42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25" fillId="0" borderId="0" xfId="53" applyNumberFormat="1" applyFont="1" applyAlignment="1">
      <alignment horizontal="center" vertical="center" wrapText="1"/>
      <protection/>
    </xf>
    <xf numFmtId="49" fontId="26" fillId="0" borderId="0" xfId="53" applyNumberFormat="1" applyFont="1" applyAlignment="1">
      <alignment horizontal="center" vertical="center" wrapText="1"/>
      <protection/>
    </xf>
    <xf numFmtId="0" fontId="26" fillId="0" borderId="0" xfId="53" applyNumberFormat="1" applyFont="1" applyAlignment="1">
      <alignment horizontal="left" vertical="center" wrapText="1"/>
      <protection/>
    </xf>
    <xf numFmtId="179" fontId="57" fillId="0" borderId="0" xfId="53" applyNumberFormat="1" applyFont="1" applyFill="1" applyAlignment="1">
      <alignment horizontal="center" vertical="center" wrapText="1"/>
      <protection/>
    </xf>
    <xf numFmtId="179" fontId="28" fillId="0" borderId="0" xfId="53" applyNumberFormat="1" applyFont="1" applyFill="1" applyBorder="1" applyAlignment="1">
      <alignment horizontal="center" vertical="center" wrapText="1"/>
      <protection/>
    </xf>
    <xf numFmtId="179" fontId="28" fillId="0" borderId="0" xfId="53" applyNumberFormat="1" applyFont="1" applyFill="1" applyAlignment="1">
      <alignment horizontal="center" vertical="center" wrapText="1"/>
      <protection/>
    </xf>
    <xf numFmtId="179" fontId="28" fillId="0" borderId="0" xfId="0" applyNumberFormat="1" applyFont="1" applyFill="1" applyAlignment="1">
      <alignment horizontal="center" vertical="center" wrapText="1"/>
    </xf>
    <xf numFmtId="179" fontId="28" fillId="0" borderId="0" xfId="0" applyNumberFormat="1" applyFont="1" applyAlignment="1">
      <alignment horizontal="center" vertical="center" wrapText="1"/>
    </xf>
    <xf numFmtId="179" fontId="29" fillId="0" borderId="0" xfId="0" applyNumberFormat="1" applyFont="1" applyFill="1" applyAlignment="1">
      <alignment horizontal="center" vertical="center" wrapText="1"/>
    </xf>
    <xf numFmtId="179" fontId="29" fillId="0" borderId="0" xfId="0" applyNumberFormat="1" applyFont="1" applyAlignment="1">
      <alignment horizontal="center" vertical="center" wrapText="1"/>
    </xf>
    <xf numFmtId="49" fontId="30" fillId="0" borderId="22" xfId="53" applyNumberFormat="1" applyFont="1" applyBorder="1" applyAlignment="1">
      <alignment horizontal="center" vertical="center" wrapText="1"/>
      <protection/>
    </xf>
    <xf numFmtId="0" fontId="30" fillId="0" borderId="23" xfId="53" applyNumberFormat="1" applyFont="1" applyBorder="1" applyAlignment="1">
      <alignment horizontal="center" vertical="center" wrapText="1"/>
      <protection/>
    </xf>
    <xf numFmtId="179" fontId="31" fillId="0" borderId="23" xfId="53" applyNumberFormat="1" applyFont="1" applyFill="1" applyBorder="1" applyAlignment="1">
      <alignment horizontal="center" vertical="center" wrapText="1"/>
      <protection/>
    </xf>
    <xf numFmtId="179" fontId="31" fillId="0" borderId="23" xfId="0" applyNumberFormat="1" applyFont="1" applyBorder="1" applyAlignment="1">
      <alignment horizontal="center" vertical="center" wrapText="1"/>
    </xf>
    <xf numFmtId="179" fontId="32" fillId="0" borderId="23" xfId="0" applyNumberFormat="1" applyFont="1" applyFill="1" applyBorder="1" applyAlignment="1">
      <alignment horizontal="center" vertical="center" wrapText="1"/>
    </xf>
    <xf numFmtId="179" fontId="32" fillId="0" borderId="24" xfId="0" applyNumberFormat="1" applyFont="1" applyFill="1" applyBorder="1" applyAlignment="1">
      <alignment horizontal="center" vertical="center" wrapText="1"/>
    </xf>
    <xf numFmtId="49" fontId="30" fillId="0" borderId="25" xfId="53" applyNumberFormat="1" applyFont="1" applyBorder="1" applyAlignment="1">
      <alignment horizontal="center" vertical="center" wrapText="1"/>
      <protection/>
    </xf>
    <xf numFmtId="0" fontId="30" fillId="0" borderId="13" xfId="53" applyNumberFormat="1" applyFont="1" applyBorder="1" applyAlignment="1">
      <alignment horizontal="center" vertical="center" wrapText="1"/>
      <protection/>
    </xf>
    <xf numFmtId="179" fontId="31" fillId="0" borderId="13" xfId="53" applyNumberFormat="1" applyFont="1" applyFill="1" applyBorder="1" applyAlignment="1">
      <alignment horizontal="center" vertical="center" wrapText="1"/>
      <protection/>
    </xf>
    <xf numFmtId="179" fontId="31" fillId="0" borderId="13" xfId="53" applyNumberFormat="1" applyFont="1" applyBorder="1" applyAlignment="1">
      <alignment horizontal="center" vertical="center" wrapText="1"/>
      <protection/>
    </xf>
    <xf numFmtId="179" fontId="32" fillId="0" borderId="13" xfId="53" applyNumberFormat="1" applyFont="1" applyFill="1" applyBorder="1" applyAlignment="1">
      <alignment horizontal="center" vertical="center" wrapText="1"/>
      <protection/>
    </xf>
    <xf numFmtId="179" fontId="32" fillId="0" borderId="13" xfId="53" applyNumberFormat="1" applyFont="1" applyBorder="1" applyAlignment="1">
      <alignment horizontal="center" vertical="center" wrapText="1"/>
      <protection/>
    </xf>
    <xf numFmtId="179" fontId="32" fillId="0" borderId="26" xfId="53" applyNumberFormat="1" applyFont="1" applyBorder="1" applyAlignment="1">
      <alignment horizontal="center" vertical="center" wrapText="1"/>
      <protection/>
    </xf>
    <xf numFmtId="179" fontId="31" fillId="0" borderId="13" xfId="0" applyNumberFormat="1" applyFont="1" applyBorder="1" applyAlignment="1">
      <alignment horizontal="center" vertical="center" wrapText="1"/>
    </xf>
    <xf numFmtId="179" fontId="33" fillId="0" borderId="13" xfId="0" applyNumberFormat="1" applyFont="1" applyBorder="1" applyAlignment="1">
      <alignment horizontal="center" vertical="center"/>
    </xf>
    <xf numFmtId="179" fontId="32" fillId="0" borderId="13" xfId="0" applyNumberFormat="1" applyFont="1" applyBorder="1" applyAlignment="1">
      <alignment horizontal="center" vertical="center" wrapText="1"/>
    </xf>
    <xf numFmtId="179" fontId="32" fillId="0" borderId="26" xfId="0" applyNumberFormat="1" applyFont="1" applyBorder="1" applyAlignment="1">
      <alignment horizontal="center" vertical="center" wrapText="1"/>
    </xf>
    <xf numFmtId="0" fontId="34" fillId="0" borderId="13" xfId="53" applyNumberFormat="1" applyFont="1" applyFill="1" applyBorder="1" applyAlignment="1">
      <alignment horizontal="center" vertical="center" wrapText="1"/>
      <protection/>
    </xf>
    <xf numFmtId="0" fontId="34" fillId="0" borderId="26" xfId="53" applyNumberFormat="1" applyFont="1" applyFill="1" applyBorder="1" applyAlignment="1">
      <alignment horizontal="center" vertical="center" wrapText="1"/>
      <protection/>
    </xf>
    <xf numFmtId="49" fontId="34" fillId="33" borderId="25" xfId="53" applyNumberFormat="1" applyFont="1" applyFill="1" applyBorder="1" applyAlignment="1" quotePrefix="1">
      <alignment horizontal="center" vertical="center" wrapText="1"/>
      <protection/>
    </xf>
    <xf numFmtId="0" fontId="34" fillId="33" borderId="13" xfId="53" applyNumberFormat="1" applyFont="1" applyFill="1" applyBorder="1" applyAlignment="1">
      <alignment horizontal="left" vertical="center" wrapText="1"/>
      <protection/>
    </xf>
    <xf numFmtId="179" fontId="32" fillId="33" borderId="13" xfId="53" applyNumberFormat="1" applyFont="1" applyFill="1" applyBorder="1" applyAlignment="1">
      <alignment horizontal="center" vertical="center" wrapText="1"/>
      <protection/>
    </xf>
    <xf numFmtId="179" fontId="31" fillId="33" borderId="13" xfId="0" applyNumberFormat="1" applyFont="1" applyFill="1" applyBorder="1" applyAlignment="1">
      <alignment horizontal="center" vertical="center" wrapText="1"/>
    </xf>
    <xf numFmtId="179" fontId="32" fillId="33" borderId="26" xfId="0" applyNumberFormat="1" applyFont="1" applyFill="1" applyBorder="1" applyAlignment="1">
      <alignment horizontal="center" vertical="center" wrapText="1"/>
    </xf>
    <xf numFmtId="49" fontId="30" fillId="0" borderId="25" xfId="53" applyNumberFormat="1" applyFont="1" applyFill="1" applyBorder="1" applyAlignment="1" quotePrefix="1">
      <alignment horizontal="center" vertical="center" wrapText="1"/>
      <protection/>
    </xf>
    <xf numFmtId="0" fontId="30" fillId="0" borderId="13" xfId="53" applyNumberFormat="1" applyFont="1" applyFill="1" applyBorder="1" applyAlignment="1">
      <alignment horizontal="left" vertical="center" wrapText="1"/>
      <protection/>
    </xf>
    <xf numFmtId="179" fontId="31" fillId="0" borderId="13" xfId="53" applyNumberFormat="1" applyFont="1" applyFill="1" applyBorder="1" applyAlignment="1">
      <alignment horizontal="center" vertical="center" wrapText="1"/>
      <protection/>
    </xf>
    <xf numFmtId="179" fontId="31" fillId="0" borderId="13" xfId="0" applyNumberFormat="1" applyFont="1" applyFill="1" applyBorder="1" applyAlignment="1">
      <alignment horizontal="center" vertical="center" wrapText="1"/>
    </xf>
    <xf numFmtId="179" fontId="32" fillId="0" borderId="13" xfId="0" applyNumberFormat="1" applyFont="1" applyFill="1" applyBorder="1" applyAlignment="1">
      <alignment horizontal="center" vertical="center" wrapText="1"/>
    </xf>
    <xf numFmtId="179" fontId="32" fillId="0" borderId="13" xfId="0" applyNumberFormat="1" applyFont="1" applyBorder="1" applyAlignment="1">
      <alignment horizontal="center" vertical="center" wrapText="1"/>
    </xf>
    <xf numFmtId="179" fontId="32" fillId="0" borderId="26" xfId="0" applyNumberFormat="1" applyFont="1" applyFill="1" applyBorder="1" applyAlignment="1">
      <alignment horizontal="center" vertical="center" wrapText="1"/>
    </xf>
    <xf numFmtId="49" fontId="30" fillId="0" borderId="25" xfId="53" applyNumberFormat="1" applyFont="1" applyFill="1" applyBorder="1" applyAlignment="1">
      <alignment horizontal="center" vertical="center" wrapText="1"/>
      <protection/>
    </xf>
    <xf numFmtId="179" fontId="31" fillId="33" borderId="13" xfId="53" applyNumberFormat="1" applyFont="1" applyFill="1" applyBorder="1" applyAlignment="1">
      <alignment horizontal="center" vertical="center" wrapText="1"/>
      <protection/>
    </xf>
    <xf numFmtId="179" fontId="32" fillId="33" borderId="26" xfId="53" applyNumberFormat="1" applyFont="1" applyFill="1" applyBorder="1" applyAlignment="1">
      <alignment horizontal="center" vertical="center" wrapText="1"/>
      <protection/>
    </xf>
    <xf numFmtId="179" fontId="31" fillId="34" borderId="13" xfId="53" applyNumberFormat="1" applyFont="1" applyFill="1" applyBorder="1" applyAlignment="1">
      <alignment horizontal="center" vertical="center" wrapText="1"/>
      <protection/>
    </xf>
    <xf numFmtId="49" fontId="34" fillId="33" borderId="25" xfId="53" applyNumberFormat="1" applyFont="1" applyFill="1" applyBorder="1" applyAlignment="1" quotePrefix="1">
      <alignment horizontal="center" vertical="center" wrapText="1"/>
      <protection/>
    </xf>
    <xf numFmtId="0" fontId="34" fillId="33" borderId="13" xfId="53" applyNumberFormat="1" applyFont="1" applyFill="1" applyBorder="1" applyAlignment="1">
      <alignment horizontal="left" vertical="center" wrapText="1"/>
      <protection/>
    </xf>
    <xf numFmtId="179" fontId="32" fillId="35" borderId="13" xfId="53" applyNumberFormat="1" applyFont="1" applyFill="1" applyBorder="1" applyAlignment="1">
      <alignment horizontal="center" vertical="center" wrapText="1"/>
      <protection/>
    </xf>
    <xf numFmtId="0" fontId="30" fillId="36" borderId="13" xfId="53" applyNumberFormat="1" applyFont="1" applyFill="1" applyBorder="1" applyAlignment="1">
      <alignment horizontal="left" vertical="center" wrapText="1"/>
      <protection/>
    </xf>
    <xf numFmtId="179" fontId="32" fillId="34" borderId="13" xfId="0" applyNumberFormat="1" applyFont="1" applyFill="1" applyBorder="1" applyAlignment="1">
      <alignment horizontal="center" vertical="center" wrapText="1"/>
    </xf>
    <xf numFmtId="0" fontId="31" fillId="0" borderId="13" xfId="52" applyNumberFormat="1" applyFont="1" applyFill="1" applyBorder="1" applyAlignment="1" applyProtection="1">
      <alignment horizontal="left" vertical="center" wrapText="1"/>
      <protection hidden="1"/>
    </xf>
    <xf numFmtId="179" fontId="31" fillId="34" borderId="13" xfId="0" applyNumberFormat="1" applyFont="1" applyFill="1" applyBorder="1" applyAlignment="1">
      <alignment horizontal="center" vertical="center" wrapText="1"/>
    </xf>
    <xf numFmtId="179" fontId="32" fillId="35" borderId="13" xfId="53" applyNumberFormat="1" applyFont="1" applyFill="1" applyBorder="1" applyAlignment="1">
      <alignment horizontal="center" vertical="center" wrapText="1"/>
      <protection/>
    </xf>
    <xf numFmtId="179" fontId="32" fillId="33" borderId="13" xfId="0" applyNumberFormat="1" applyFont="1" applyFill="1" applyBorder="1" applyAlignment="1">
      <alignment horizontal="center" vertical="center" wrapText="1"/>
    </xf>
    <xf numFmtId="0" fontId="36" fillId="0" borderId="13" xfId="53" applyNumberFormat="1" applyFont="1" applyFill="1" applyBorder="1" applyAlignment="1">
      <alignment horizontal="left" vertical="center" wrapText="1"/>
      <protection/>
    </xf>
    <xf numFmtId="0" fontId="32" fillId="0" borderId="26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wrapText="1"/>
    </xf>
    <xf numFmtId="177" fontId="32" fillId="0" borderId="26" xfId="0" applyNumberFormat="1" applyFont="1" applyFill="1" applyBorder="1" applyAlignment="1">
      <alignment horizontal="center" vertical="center" wrapText="1"/>
    </xf>
    <xf numFmtId="49" fontId="34" fillId="33" borderId="25" xfId="53" applyNumberFormat="1" applyFont="1" applyFill="1" applyBorder="1" applyAlignment="1">
      <alignment horizontal="center" vertical="center" wrapText="1"/>
      <protection/>
    </xf>
    <xf numFmtId="0" fontId="34" fillId="33" borderId="13" xfId="0" applyNumberFormat="1" applyFont="1" applyFill="1" applyBorder="1" applyAlignment="1">
      <alignment horizontal="left" vertical="center" wrapText="1"/>
    </xf>
    <xf numFmtId="179" fontId="31" fillId="35" borderId="13" xfId="53" applyNumberFormat="1" applyFont="1" applyFill="1" applyBorder="1" applyAlignment="1">
      <alignment horizontal="center" vertical="center" wrapText="1"/>
      <protection/>
    </xf>
    <xf numFmtId="0" fontId="30" fillId="0" borderId="13" xfId="0" applyNumberFormat="1" applyFont="1" applyFill="1" applyBorder="1" applyAlignment="1">
      <alignment horizontal="left" vertical="center" wrapText="1"/>
    </xf>
    <xf numFmtId="49" fontId="31" fillId="0" borderId="25" xfId="53" applyNumberFormat="1" applyFont="1" applyFill="1" applyBorder="1" applyAlignment="1">
      <alignment horizontal="center" vertical="center" wrapText="1"/>
      <protection/>
    </xf>
    <xf numFmtId="0" fontId="31" fillId="0" borderId="13" xfId="53" applyNumberFormat="1" applyFont="1" applyFill="1" applyBorder="1" applyAlignment="1">
      <alignment horizontal="left" vertical="center" wrapText="1"/>
      <protection/>
    </xf>
    <xf numFmtId="179" fontId="31" fillId="35" borderId="13" xfId="0" applyNumberFormat="1" applyFont="1" applyFill="1" applyBorder="1" applyAlignment="1">
      <alignment horizontal="center" vertical="center" wrapText="1"/>
    </xf>
    <xf numFmtId="0" fontId="37" fillId="6" borderId="27" xfId="53" applyNumberFormat="1" applyFont="1" applyFill="1" applyBorder="1" applyAlignment="1">
      <alignment horizontal="center" vertical="center" wrapText="1"/>
      <protection/>
    </xf>
    <xf numFmtId="0" fontId="37" fillId="6" borderId="28" xfId="53" applyNumberFormat="1" applyFont="1" applyFill="1" applyBorder="1" applyAlignment="1">
      <alignment horizontal="center" vertical="center" wrapText="1"/>
      <protection/>
    </xf>
    <xf numFmtId="179" fontId="32" fillId="35" borderId="28" xfId="53" applyNumberFormat="1" applyFont="1" applyFill="1" applyBorder="1" applyAlignment="1">
      <alignment horizontal="center" vertical="center" wrapText="1"/>
      <protection/>
    </xf>
    <xf numFmtId="179" fontId="32" fillId="35" borderId="28" xfId="0" applyNumberFormat="1" applyFont="1" applyFill="1" applyBorder="1" applyAlignment="1">
      <alignment horizontal="center" vertical="center" wrapText="1"/>
    </xf>
    <xf numFmtId="179" fontId="32" fillId="35" borderId="29" xfId="0" applyNumberFormat="1" applyFont="1" applyFill="1" applyBorder="1" applyAlignment="1">
      <alignment horizontal="center" vertical="center" wrapText="1"/>
    </xf>
    <xf numFmtId="49" fontId="26" fillId="0" borderId="0" xfId="53" applyNumberFormat="1" applyFont="1" applyFill="1" applyBorder="1" applyAlignment="1">
      <alignment horizontal="center" vertical="center" wrapText="1"/>
      <protection/>
    </xf>
    <xf numFmtId="0" fontId="26" fillId="0" borderId="0" xfId="53" applyNumberFormat="1" applyFont="1" applyFill="1" applyBorder="1" applyAlignment="1">
      <alignment horizontal="left" vertical="center" wrapText="1"/>
      <protection/>
    </xf>
    <xf numFmtId="179" fontId="57" fillId="0" borderId="0" xfId="53" applyNumberFormat="1" applyFont="1" applyFill="1" applyBorder="1" applyAlignment="1">
      <alignment horizontal="center" vertical="center" wrapText="1"/>
      <protection/>
    </xf>
    <xf numFmtId="179" fontId="29" fillId="0" borderId="0" xfId="53" applyNumberFormat="1" applyFont="1" applyFill="1" applyBorder="1" applyAlignment="1">
      <alignment horizontal="center" vertical="center" wrapText="1"/>
      <protection/>
    </xf>
    <xf numFmtId="49" fontId="26" fillId="0" borderId="0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horizontal="left" vertical="center" wrapText="1"/>
    </xf>
    <xf numFmtId="179" fontId="57" fillId="0" borderId="0" xfId="0" applyNumberFormat="1" applyFont="1" applyFill="1" applyBorder="1" applyAlignment="1">
      <alignment horizontal="center" vertical="center" wrapText="1"/>
    </xf>
    <xf numFmtId="179" fontId="28" fillId="0" borderId="0" xfId="0" applyNumberFormat="1" applyFont="1" applyFill="1" applyBorder="1" applyAlignment="1">
      <alignment horizontal="center" vertical="center" wrapText="1"/>
    </xf>
    <xf numFmtId="0" fontId="36" fillId="0" borderId="0" xfId="53" applyNumberFormat="1" applyFont="1" applyFill="1" applyBorder="1" applyAlignment="1">
      <alignment horizontal="right" vertical="center" wrapText="1"/>
      <protection/>
    </xf>
    <xf numFmtId="179" fontId="38" fillId="0" borderId="0" xfId="0" applyNumberFormat="1" applyFont="1" applyFill="1" applyAlignment="1">
      <alignment horizontal="center" vertical="center" wrapText="1"/>
    </xf>
    <xf numFmtId="179" fontId="38" fillId="0" borderId="0" xfId="0" applyNumberFormat="1" applyFont="1" applyAlignment="1">
      <alignment horizontal="center" vertical="center" wrapText="1"/>
    </xf>
    <xf numFmtId="179" fontId="38" fillId="0" borderId="12" xfId="53" applyNumberFormat="1" applyFont="1" applyFill="1" applyBorder="1" applyAlignment="1">
      <alignment horizontal="center" vertical="center" wrapText="1"/>
      <protection/>
    </xf>
    <xf numFmtId="179" fontId="38" fillId="0" borderId="0" xfId="53" applyNumberFormat="1" applyFont="1" applyFill="1" applyBorder="1" applyAlignment="1">
      <alignment horizontal="left" vertical="center" wrapText="1"/>
      <protection/>
    </xf>
    <xf numFmtId="49" fontId="36" fillId="0" borderId="0" xfId="0" applyNumberFormat="1" applyFont="1" applyFill="1" applyBorder="1" applyAlignment="1">
      <alignment horizontal="right" vertical="center" wrapText="1"/>
    </xf>
    <xf numFmtId="0" fontId="36" fillId="0" borderId="0" xfId="53" applyNumberFormat="1" applyFont="1" applyFill="1" applyBorder="1" applyAlignment="1">
      <alignment horizontal="left" vertical="center" wrapText="1"/>
      <protection/>
    </xf>
    <xf numFmtId="179" fontId="58" fillId="0" borderId="0" xfId="53" applyNumberFormat="1" applyFont="1" applyFill="1" applyBorder="1" applyAlignment="1">
      <alignment horizontal="center" vertical="center" wrapText="1"/>
      <protection/>
    </xf>
    <xf numFmtId="179" fontId="38" fillId="0" borderId="0" xfId="53" applyNumberFormat="1" applyFont="1" applyFill="1" applyBorder="1" applyAlignment="1">
      <alignment horizontal="center" vertical="center" wrapText="1"/>
      <protection/>
    </xf>
    <xf numFmtId="179" fontId="38" fillId="0" borderId="0" xfId="0" applyNumberFormat="1" applyFont="1" applyFill="1" applyBorder="1" applyAlignment="1">
      <alignment horizontal="left" vertical="center" wrapText="1"/>
    </xf>
    <xf numFmtId="179" fontId="38" fillId="0" borderId="0" xfId="0" applyNumberFormat="1" applyFont="1" applyFill="1" applyAlignment="1">
      <alignment horizontal="left" vertical="center" wrapText="1"/>
    </xf>
    <xf numFmtId="179" fontId="38" fillId="0" borderId="12" xfId="0" applyNumberFormat="1" applyFont="1" applyFill="1" applyBorder="1" applyAlignment="1">
      <alignment horizontal="center" vertical="center" wrapText="1"/>
    </xf>
    <xf numFmtId="0" fontId="36" fillId="0" borderId="0" xfId="0" applyNumberFormat="1" applyFont="1" applyFill="1" applyBorder="1" applyAlignment="1">
      <alignment horizontal="left" vertical="center" wrapText="1"/>
    </xf>
    <xf numFmtId="179" fontId="58" fillId="0" borderId="0" xfId="0" applyNumberFormat="1" applyFont="1" applyFill="1" applyBorder="1" applyAlignment="1">
      <alignment horizontal="center" vertical="center" wrapText="1"/>
    </xf>
    <xf numFmtId="179" fontId="38" fillId="0" borderId="0" xfId="0" applyNumberFormat="1" applyFont="1" applyFill="1" applyBorder="1" applyAlignment="1">
      <alignment horizontal="center" vertical="center" wrapText="1"/>
    </xf>
    <xf numFmtId="179" fontId="38" fillId="0" borderId="0" xfId="0" applyNumberFormat="1" applyFont="1" applyFill="1" applyBorder="1" applyAlignment="1">
      <alignment horizontal="left" vertical="center" wrapText="1"/>
    </xf>
    <xf numFmtId="49" fontId="38" fillId="0" borderId="0" xfId="0" applyNumberFormat="1" applyFont="1" applyAlignment="1">
      <alignment horizontal="center" vertical="center" wrapText="1"/>
    </xf>
    <xf numFmtId="0" fontId="38" fillId="0" borderId="0" xfId="0" applyFont="1" applyAlignment="1">
      <alignment horizontal="left" vertical="center" wrapText="1"/>
    </xf>
    <xf numFmtId="179" fontId="58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/>
    </xf>
    <xf numFmtId="0" fontId="38" fillId="0" borderId="0" xfId="0" applyFont="1" applyAlignment="1">
      <alignment horizontal="right"/>
    </xf>
    <xf numFmtId="0" fontId="0" fillId="0" borderId="12" xfId="0" applyFont="1" applyBorder="1" applyAlignment="1">
      <alignment/>
    </xf>
    <xf numFmtId="0" fontId="38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7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6"/>
  <sheetViews>
    <sheetView zoomScalePageLayoutView="0" workbookViewId="0" topLeftCell="C1">
      <pane ySplit="1" topLeftCell="A2" activePane="bottomLeft" state="frozen"/>
      <selection pane="topLeft" activeCell="A1" sqref="A1"/>
      <selection pane="bottomLeft" activeCell="A7" sqref="A7:S7"/>
    </sheetView>
  </sheetViews>
  <sheetFormatPr defaultColWidth="9.00390625" defaultRowHeight="12.75" outlineLevelCol="1"/>
  <cols>
    <col min="1" max="1" width="21.25390625" style="1" customWidth="1"/>
    <col min="2" max="2" width="6.75390625" style="1" hidden="1" customWidth="1"/>
    <col min="3" max="3" width="60.375" style="1" customWidth="1"/>
    <col min="4" max="4" width="10.375" style="1" customWidth="1"/>
    <col min="5" max="5" width="13.375" style="1" customWidth="1"/>
    <col min="6" max="6" width="10.25390625" style="1" customWidth="1"/>
    <col min="7" max="7" width="0.12890625" style="1" hidden="1" customWidth="1"/>
    <col min="8" max="9" width="10.625" style="1" hidden="1" customWidth="1"/>
    <col min="10" max="10" width="10.625" style="1" hidden="1" customWidth="1" outlineLevel="1"/>
    <col min="11" max="11" width="12.00390625" style="1" customWidth="1" collapsed="1"/>
    <col min="12" max="12" width="10.25390625" style="1" hidden="1" customWidth="1"/>
    <col min="13" max="13" width="7.00390625" style="1" hidden="1" customWidth="1"/>
    <col min="14" max="14" width="9.125" style="1" hidden="1" customWidth="1"/>
    <col min="15" max="15" width="14.25390625" style="1" hidden="1" customWidth="1"/>
    <col min="16" max="16" width="7.25390625" style="1" hidden="1" customWidth="1"/>
    <col min="17" max="17" width="8.25390625" style="1" customWidth="1"/>
    <col min="18" max="18" width="8.00390625" style="1" customWidth="1"/>
    <col min="19" max="16384" width="9.125" style="1" customWidth="1"/>
  </cols>
  <sheetData>
    <row r="1" spans="1:19" ht="12.75">
      <c r="A1" s="87" t="s">
        <v>87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</row>
    <row r="2" spans="1:13" ht="9.7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ht="14.25" customHeight="1">
      <c r="A3" s="63"/>
      <c r="B3" s="63"/>
      <c r="C3" s="64"/>
      <c r="D3" s="64"/>
      <c r="E3" s="64"/>
      <c r="F3" s="64"/>
      <c r="G3" s="64"/>
      <c r="H3" s="64"/>
      <c r="I3" s="65"/>
      <c r="J3" s="65"/>
      <c r="K3" s="66" t="s">
        <v>69</v>
      </c>
      <c r="L3" s="65"/>
      <c r="M3" s="65"/>
    </row>
    <row r="4" spans="1:19" ht="12.75" customHeight="1">
      <c r="A4" s="67" t="s">
        <v>41</v>
      </c>
      <c r="B4" s="67"/>
      <c r="C4" s="68"/>
      <c r="D4" s="97" t="s">
        <v>82</v>
      </c>
      <c r="E4" s="97" t="s">
        <v>81</v>
      </c>
      <c r="F4" s="97" t="s">
        <v>85</v>
      </c>
      <c r="G4" s="103" t="s">
        <v>72</v>
      </c>
      <c r="H4" s="103" t="s">
        <v>73</v>
      </c>
      <c r="I4" s="103" t="s">
        <v>74</v>
      </c>
      <c r="J4" s="103" t="s">
        <v>75</v>
      </c>
      <c r="K4" s="97" t="s">
        <v>88</v>
      </c>
      <c r="L4" s="97" t="s">
        <v>76</v>
      </c>
      <c r="M4" s="97" t="s">
        <v>77</v>
      </c>
      <c r="N4" s="97" t="s">
        <v>78</v>
      </c>
      <c r="O4" s="97" t="s">
        <v>79</v>
      </c>
      <c r="P4" s="97" t="s">
        <v>80</v>
      </c>
      <c r="Q4" s="97" t="s">
        <v>86</v>
      </c>
      <c r="R4" s="97" t="s">
        <v>83</v>
      </c>
      <c r="S4" s="97" t="s">
        <v>84</v>
      </c>
    </row>
    <row r="5" spans="1:19" ht="27.75" customHeight="1">
      <c r="A5" s="69" t="s">
        <v>46</v>
      </c>
      <c r="B5" s="69"/>
      <c r="C5" s="70" t="s">
        <v>16</v>
      </c>
      <c r="D5" s="98"/>
      <c r="E5" s="98"/>
      <c r="F5" s="98"/>
      <c r="G5" s="104"/>
      <c r="H5" s="104"/>
      <c r="I5" s="104"/>
      <c r="J5" s="104"/>
      <c r="K5" s="98"/>
      <c r="L5" s="98"/>
      <c r="M5" s="98"/>
      <c r="N5" s="98"/>
      <c r="O5" s="98"/>
      <c r="P5" s="98"/>
      <c r="Q5" s="98"/>
      <c r="R5" s="98"/>
      <c r="S5" s="98"/>
    </row>
    <row r="6" spans="1:19" ht="39.75" customHeight="1">
      <c r="A6" s="69"/>
      <c r="B6" s="69"/>
      <c r="C6" s="70"/>
      <c r="D6" s="99"/>
      <c r="E6" s="99"/>
      <c r="F6" s="99"/>
      <c r="G6" s="105"/>
      <c r="H6" s="105"/>
      <c r="I6" s="105"/>
      <c r="J6" s="105"/>
      <c r="K6" s="99"/>
      <c r="L6" s="99"/>
      <c r="M6" s="99"/>
      <c r="N6" s="99"/>
      <c r="O6" s="99"/>
      <c r="P6" s="99"/>
      <c r="Q6" s="99"/>
      <c r="R6" s="99"/>
      <c r="S6" s="99"/>
    </row>
    <row r="7" spans="1:19" ht="12.75">
      <c r="A7" s="88" t="s">
        <v>24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</row>
    <row r="8" spans="1:19" ht="12.75">
      <c r="A8" s="52" t="s">
        <v>3</v>
      </c>
      <c r="B8" s="52"/>
      <c r="C8" s="71" t="s">
        <v>68</v>
      </c>
      <c r="D8" s="36">
        <f aca="true" t="shared" si="0" ref="D8:J8">D9+D11+D12+D13+D15+D16+D18+D20+D14+D21+D17+D19+D10</f>
        <v>766549.3999999999</v>
      </c>
      <c r="E8" s="36">
        <f t="shared" si="0"/>
        <v>796604.1000000001</v>
      </c>
      <c r="F8" s="36">
        <f t="shared" si="0"/>
        <v>586594.9000000001</v>
      </c>
      <c r="G8" s="36">
        <f t="shared" si="0"/>
        <v>197202.89999999997</v>
      </c>
      <c r="H8" s="36">
        <f t="shared" si="0"/>
        <v>215232.60000000003</v>
      </c>
      <c r="I8" s="36">
        <f t="shared" si="0"/>
        <v>174159.40000000005</v>
      </c>
      <c r="J8" s="36">
        <f t="shared" si="0"/>
        <v>210009.19999999998</v>
      </c>
      <c r="K8" s="36">
        <f>K9+K11+K12+K13+K15+K16+K18+K20+K14+K21+K17+K19+K10</f>
        <v>536415.9</v>
      </c>
      <c r="L8" s="36" t="e">
        <f>L9+L11+L12+L13+L15+L16+L18+L20+L14+L21+L17+L19</f>
        <v>#REF!</v>
      </c>
      <c r="M8" s="36">
        <f aca="true" t="shared" si="1" ref="M8:M20">K8/I8*100</f>
        <v>308.00284107547446</v>
      </c>
      <c r="N8" s="72"/>
      <c r="O8" s="72"/>
      <c r="P8" s="36">
        <f>K8*100/J8</f>
        <v>255.42495281159114</v>
      </c>
      <c r="Q8" s="36">
        <f>K8*100/F8</f>
        <v>91.44571492183104</v>
      </c>
      <c r="R8" s="24">
        <f>K8*100/E8</f>
        <v>67.33782816332479</v>
      </c>
      <c r="S8" s="24">
        <f>K8*100/D8</f>
        <v>69.97799489504526</v>
      </c>
    </row>
    <row r="9" spans="1:19" ht="12.75">
      <c r="A9" s="12" t="s">
        <v>23</v>
      </c>
      <c r="B9" s="12"/>
      <c r="C9" s="73" t="s">
        <v>22</v>
      </c>
      <c r="D9" s="53">
        <v>583323.2</v>
      </c>
      <c r="E9" s="53">
        <f>G9+H9+I9+J9</f>
        <v>583323.2000000001</v>
      </c>
      <c r="F9" s="53">
        <f>G9+H9+I9</f>
        <v>429945.80000000005</v>
      </c>
      <c r="G9" s="53">
        <v>135991.1</v>
      </c>
      <c r="H9" s="53">
        <v>162045.1</v>
      </c>
      <c r="I9" s="20">
        <v>131909.6</v>
      </c>
      <c r="J9" s="74">
        <v>153377.4</v>
      </c>
      <c r="K9" s="74">
        <v>376589</v>
      </c>
      <c r="L9" s="20" t="e">
        <f>K9/#REF!*100</f>
        <v>#REF!</v>
      </c>
      <c r="M9" s="20">
        <f t="shared" si="1"/>
        <v>285.4902145105436</v>
      </c>
      <c r="N9" s="48"/>
      <c r="O9" s="48"/>
      <c r="P9" s="20">
        <f aca="true" t="shared" si="2" ref="P9:P81">K9*100/J9</f>
        <v>245.5309582767735</v>
      </c>
      <c r="Q9" s="20">
        <f aca="true" t="shared" si="3" ref="Q9:Q78">K9*100/F9</f>
        <v>87.5898776078287</v>
      </c>
      <c r="R9" s="74">
        <f aca="true" t="shared" si="4" ref="R9:R78">K9*100/E9</f>
        <v>64.55923577186711</v>
      </c>
      <c r="S9" s="18">
        <f aca="true" t="shared" si="5" ref="S9:S72">K9*100/D9</f>
        <v>64.55923577186712</v>
      </c>
    </row>
    <row r="10" spans="1:19" ht="12.75">
      <c r="A10" s="12" t="s">
        <v>70</v>
      </c>
      <c r="B10" s="12"/>
      <c r="C10" s="28" t="s">
        <v>71</v>
      </c>
      <c r="D10" s="50">
        <v>4437.4</v>
      </c>
      <c r="E10" s="50">
        <f aca="true" t="shared" si="6" ref="E10:E26">G10+H10+I10+J10</f>
        <v>4437.4</v>
      </c>
      <c r="F10" s="53">
        <f aca="true" t="shared" si="7" ref="F10:F21">G10+H10+I10</f>
        <v>3415.2</v>
      </c>
      <c r="G10" s="50">
        <v>1193.9</v>
      </c>
      <c r="H10" s="50">
        <v>1200.1</v>
      </c>
      <c r="I10" s="17">
        <v>1021.2</v>
      </c>
      <c r="J10" s="18">
        <v>1022.2</v>
      </c>
      <c r="K10" s="18">
        <v>2849.1</v>
      </c>
      <c r="L10" s="20"/>
      <c r="M10" s="20"/>
      <c r="N10" s="48"/>
      <c r="O10" s="48"/>
      <c r="P10" s="17"/>
      <c r="Q10" s="20">
        <f t="shared" si="3"/>
        <v>83.42410400562193</v>
      </c>
      <c r="R10" s="18">
        <f t="shared" si="4"/>
        <v>64.20651732996801</v>
      </c>
      <c r="S10" s="18">
        <f t="shared" si="5"/>
        <v>64.20651732996801</v>
      </c>
    </row>
    <row r="11" spans="1:19" ht="12.75">
      <c r="A11" s="12" t="s">
        <v>8</v>
      </c>
      <c r="B11" s="12"/>
      <c r="C11" s="28" t="s">
        <v>5</v>
      </c>
      <c r="D11" s="50">
        <v>38473</v>
      </c>
      <c r="E11" s="50">
        <f t="shared" si="6"/>
        <v>39625</v>
      </c>
      <c r="F11" s="53">
        <f t="shared" si="7"/>
        <v>33273.6</v>
      </c>
      <c r="G11" s="50">
        <v>13039.4</v>
      </c>
      <c r="H11" s="50">
        <v>13490.1</v>
      </c>
      <c r="I11" s="17">
        <v>6744.1</v>
      </c>
      <c r="J11" s="18">
        <v>6351.4</v>
      </c>
      <c r="K11" s="18">
        <v>41774.4</v>
      </c>
      <c r="L11" s="20" t="e">
        <f>K11/#REF!*100</f>
        <v>#REF!</v>
      </c>
      <c r="M11" s="20">
        <f t="shared" si="1"/>
        <v>619.4214202043268</v>
      </c>
      <c r="N11" s="48"/>
      <c r="O11" s="48"/>
      <c r="P11" s="17">
        <f t="shared" si="2"/>
        <v>657.7195578927481</v>
      </c>
      <c r="Q11" s="20">
        <f t="shared" si="3"/>
        <v>125.54818234275822</v>
      </c>
      <c r="R11" s="18">
        <f t="shared" si="4"/>
        <v>105.42435331230284</v>
      </c>
      <c r="S11" s="18">
        <f t="shared" si="5"/>
        <v>108.58108283731448</v>
      </c>
    </row>
    <row r="12" spans="1:19" ht="12.75">
      <c r="A12" s="12" t="s">
        <v>9</v>
      </c>
      <c r="B12" s="12"/>
      <c r="C12" s="28" t="s">
        <v>6</v>
      </c>
      <c r="D12" s="50">
        <v>4052</v>
      </c>
      <c r="E12" s="50">
        <f t="shared" si="6"/>
        <v>1652.6</v>
      </c>
      <c r="F12" s="53">
        <f t="shared" si="7"/>
        <v>789.6999999999999</v>
      </c>
      <c r="G12" s="50">
        <v>-12.6</v>
      </c>
      <c r="H12" s="50">
        <v>7.5</v>
      </c>
      <c r="I12" s="17">
        <v>794.8</v>
      </c>
      <c r="J12" s="18">
        <v>862.9</v>
      </c>
      <c r="K12" s="18">
        <v>1291.6</v>
      </c>
      <c r="L12" s="20" t="e">
        <f>K12/#REF!*100</f>
        <v>#REF!</v>
      </c>
      <c r="M12" s="20">
        <f t="shared" si="1"/>
        <v>162.50629089079013</v>
      </c>
      <c r="N12" s="48"/>
      <c r="O12" s="48"/>
      <c r="P12" s="17">
        <f t="shared" si="2"/>
        <v>149.68130721984005</v>
      </c>
      <c r="Q12" s="20">
        <f t="shared" si="3"/>
        <v>163.55578067620615</v>
      </c>
      <c r="R12" s="18">
        <f t="shared" si="4"/>
        <v>78.15563354713784</v>
      </c>
      <c r="S12" s="18">
        <f t="shared" si="5"/>
        <v>31.87561697926949</v>
      </c>
    </row>
    <row r="13" spans="1:19" ht="12.75">
      <c r="A13" s="12" t="s">
        <v>10</v>
      </c>
      <c r="B13" s="12"/>
      <c r="C13" s="28" t="s">
        <v>21</v>
      </c>
      <c r="D13" s="50">
        <v>3794</v>
      </c>
      <c r="E13" s="50">
        <f t="shared" si="6"/>
        <v>3300</v>
      </c>
      <c r="F13" s="53">
        <f t="shared" si="7"/>
        <v>2476.4</v>
      </c>
      <c r="G13" s="50">
        <v>864.8</v>
      </c>
      <c r="H13" s="50">
        <v>788.1</v>
      </c>
      <c r="I13" s="17">
        <v>823.5</v>
      </c>
      <c r="J13" s="18">
        <v>823.6</v>
      </c>
      <c r="K13" s="18">
        <v>1799.4</v>
      </c>
      <c r="L13" s="20" t="e">
        <f>K13/#REF!*100</f>
        <v>#REF!</v>
      </c>
      <c r="M13" s="20">
        <f t="shared" si="1"/>
        <v>218.5063752276867</v>
      </c>
      <c r="N13" s="48"/>
      <c r="O13" s="48"/>
      <c r="P13" s="17">
        <f t="shared" si="2"/>
        <v>218.47984458474988</v>
      </c>
      <c r="Q13" s="20">
        <f t="shared" si="3"/>
        <v>72.66192860604103</v>
      </c>
      <c r="R13" s="18">
        <f t="shared" si="4"/>
        <v>54.527272727272724</v>
      </c>
      <c r="S13" s="18">
        <f t="shared" si="5"/>
        <v>47.42751713231418</v>
      </c>
    </row>
    <row r="14" spans="1:19" ht="21.75" customHeight="1" hidden="1">
      <c r="A14" s="12" t="s">
        <v>37</v>
      </c>
      <c r="B14" s="12"/>
      <c r="C14" s="28" t="s">
        <v>38</v>
      </c>
      <c r="D14" s="50"/>
      <c r="E14" s="50">
        <f t="shared" si="6"/>
        <v>0</v>
      </c>
      <c r="F14" s="53">
        <f t="shared" si="7"/>
        <v>0</v>
      </c>
      <c r="G14" s="50"/>
      <c r="H14" s="50"/>
      <c r="I14" s="17"/>
      <c r="J14" s="18"/>
      <c r="K14" s="18"/>
      <c r="L14" s="20" t="e">
        <f>K14/#REF!*100</f>
        <v>#REF!</v>
      </c>
      <c r="M14" s="20"/>
      <c r="N14" s="48"/>
      <c r="O14" s="48"/>
      <c r="P14" s="17" t="e">
        <f t="shared" si="2"/>
        <v>#DIV/0!</v>
      </c>
      <c r="Q14" s="20"/>
      <c r="R14" s="18"/>
      <c r="S14" s="18" t="e">
        <f t="shared" si="5"/>
        <v>#DIV/0!</v>
      </c>
    </row>
    <row r="15" spans="1:19" ht="24">
      <c r="A15" s="13" t="s">
        <v>11</v>
      </c>
      <c r="B15" s="13"/>
      <c r="C15" s="28" t="s">
        <v>17</v>
      </c>
      <c r="D15" s="50">
        <v>95355.4</v>
      </c>
      <c r="E15" s="50">
        <f t="shared" si="6"/>
        <v>95379.6</v>
      </c>
      <c r="F15" s="53">
        <f t="shared" si="7"/>
        <v>71536.6</v>
      </c>
      <c r="G15" s="50">
        <v>23697.9</v>
      </c>
      <c r="H15" s="50">
        <v>23767.5</v>
      </c>
      <c r="I15" s="17">
        <v>24071.2</v>
      </c>
      <c r="J15" s="18">
        <v>23843</v>
      </c>
      <c r="K15" s="18">
        <f>61349.7-0.1</f>
        <v>61349.6</v>
      </c>
      <c r="L15" s="20" t="e">
        <f>K15/#REF!*100</f>
        <v>#REF!</v>
      </c>
      <c r="M15" s="20">
        <f t="shared" si="1"/>
        <v>254.8672272258965</v>
      </c>
      <c r="N15" s="48"/>
      <c r="O15" s="48"/>
      <c r="P15" s="17">
        <f t="shared" si="2"/>
        <v>257.30654699492516</v>
      </c>
      <c r="Q15" s="20">
        <f t="shared" si="3"/>
        <v>85.75973697380081</v>
      </c>
      <c r="R15" s="18">
        <f t="shared" si="4"/>
        <v>64.32151109880938</v>
      </c>
      <c r="S15" s="18">
        <f t="shared" si="5"/>
        <v>64.33783508852147</v>
      </c>
    </row>
    <row r="16" spans="1:19" ht="12.75">
      <c r="A16" s="29" t="s">
        <v>14</v>
      </c>
      <c r="B16" s="29"/>
      <c r="C16" s="28" t="s">
        <v>13</v>
      </c>
      <c r="D16" s="50">
        <v>5108.6</v>
      </c>
      <c r="E16" s="50">
        <f t="shared" si="6"/>
        <v>7036.799999999999</v>
      </c>
      <c r="F16" s="53">
        <f t="shared" si="7"/>
        <v>6411.499999999999</v>
      </c>
      <c r="G16" s="50">
        <v>3585.2</v>
      </c>
      <c r="H16" s="50">
        <v>2201.1</v>
      </c>
      <c r="I16" s="17">
        <v>625.2</v>
      </c>
      <c r="J16" s="18">
        <v>625.3</v>
      </c>
      <c r="K16" s="18">
        <v>8758.2</v>
      </c>
      <c r="L16" s="20" t="e">
        <f>K16/#REF!*100</f>
        <v>#REF!</v>
      </c>
      <c r="M16" s="20">
        <f t="shared" si="1"/>
        <v>1400.8637236084453</v>
      </c>
      <c r="N16" s="48"/>
      <c r="O16" s="48"/>
      <c r="P16" s="17">
        <f t="shared" si="2"/>
        <v>1400.6396929473856</v>
      </c>
      <c r="Q16" s="20">
        <f t="shared" si="3"/>
        <v>136.60141932465106</v>
      </c>
      <c r="R16" s="18">
        <f t="shared" si="4"/>
        <v>124.46282401091408</v>
      </c>
      <c r="S16" s="18">
        <f t="shared" si="5"/>
        <v>171.44031632932703</v>
      </c>
    </row>
    <row r="17" spans="1:19" ht="12.75">
      <c r="A17" s="30" t="s">
        <v>42</v>
      </c>
      <c r="B17" s="30"/>
      <c r="C17" s="28" t="s">
        <v>43</v>
      </c>
      <c r="D17" s="50">
        <v>14127.1</v>
      </c>
      <c r="E17" s="50">
        <f t="shared" si="6"/>
        <v>16631.800000000003</v>
      </c>
      <c r="F17" s="53">
        <f t="shared" si="7"/>
        <v>12982.900000000001</v>
      </c>
      <c r="G17" s="50">
        <v>3424</v>
      </c>
      <c r="H17" s="50">
        <v>5893.7</v>
      </c>
      <c r="I17" s="17">
        <v>3665.2</v>
      </c>
      <c r="J17" s="18">
        <v>3648.9</v>
      </c>
      <c r="K17" s="18">
        <v>13203.6</v>
      </c>
      <c r="L17" s="20" t="e">
        <f>K17/#REF!*100</f>
        <v>#REF!</v>
      </c>
      <c r="M17" s="20">
        <f t="shared" si="1"/>
        <v>360.2422787296737</v>
      </c>
      <c r="N17" s="48"/>
      <c r="O17" s="48"/>
      <c r="P17" s="17">
        <f t="shared" si="2"/>
        <v>361.85151689550275</v>
      </c>
      <c r="Q17" s="20">
        <f t="shared" si="3"/>
        <v>101.69992836731392</v>
      </c>
      <c r="R17" s="18">
        <f t="shared" si="4"/>
        <v>79.38767902451929</v>
      </c>
      <c r="S17" s="18">
        <f t="shared" si="5"/>
        <v>93.46291878729534</v>
      </c>
    </row>
    <row r="18" spans="1:19" ht="12.75">
      <c r="A18" s="30" t="s">
        <v>18</v>
      </c>
      <c r="B18" s="30"/>
      <c r="C18" s="28" t="s">
        <v>15</v>
      </c>
      <c r="D18" s="50">
        <v>13419</v>
      </c>
      <c r="E18" s="50">
        <f t="shared" si="6"/>
        <v>29164.6</v>
      </c>
      <c r="F18" s="53">
        <f t="shared" si="7"/>
        <v>10993.9</v>
      </c>
      <c r="G18" s="50">
        <v>3960.3</v>
      </c>
      <c r="H18" s="50">
        <v>3804.1</v>
      </c>
      <c r="I18" s="17">
        <v>3229.5</v>
      </c>
      <c r="J18" s="18">
        <v>18170.7</v>
      </c>
      <c r="K18" s="18">
        <v>15109.5</v>
      </c>
      <c r="L18" s="20" t="e">
        <f>K18/#REF!*100</f>
        <v>#REF!</v>
      </c>
      <c r="M18" s="20">
        <f t="shared" si="1"/>
        <v>467.85880167208546</v>
      </c>
      <c r="N18" s="48"/>
      <c r="O18" s="48"/>
      <c r="P18" s="17">
        <f t="shared" si="2"/>
        <v>83.15309811950007</v>
      </c>
      <c r="Q18" s="20">
        <f t="shared" si="3"/>
        <v>137.43530503279092</v>
      </c>
      <c r="R18" s="18">
        <f t="shared" si="4"/>
        <v>51.80767094354115</v>
      </c>
      <c r="S18" s="18">
        <f t="shared" si="5"/>
        <v>112.59780907668231</v>
      </c>
    </row>
    <row r="19" spans="1:19" ht="12.75">
      <c r="A19" s="30" t="s">
        <v>60</v>
      </c>
      <c r="B19" s="30"/>
      <c r="C19" s="28" t="s">
        <v>61</v>
      </c>
      <c r="D19" s="50">
        <v>6</v>
      </c>
      <c r="E19" s="50">
        <f t="shared" si="6"/>
        <v>6</v>
      </c>
      <c r="F19" s="53">
        <f t="shared" si="7"/>
        <v>4</v>
      </c>
      <c r="G19" s="50">
        <v>1</v>
      </c>
      <c r="H19" s="50">
        <v>2</v>
      </c>
      <c r="I19" s="17">
        <v>1</v>
      </c>
      <c r="J19" s="18">
        <v>2</v>
      </c>
      <c r="K19" s="18">
        <v>9</v>
      </c>
      <c r="L19" s="20" t="e">
        <f>K19/#REF!*100</f>
        <v>#REF!</v>
      </c>
      <c r="M19" s="20">
        <f t="shared" si="1"/>
        <v>900</v>
      </c>
      <c r="N19" s="48"/>
      <c r="O19" s="48"/>
      <c r="P19" s="17">
        <f t="shared" si="2"/>
        <v>450</v>
      </c>
      <c r="Q19" s="20">
        <f t="shared" si="3"/>
        <v>225</v>
      </c>
      <c r="R19" s="18">
        <f t="shared" si="4"/>
        <v>150</v>
      </c>
      <c r="S19" s="18">
        <f t="shared" si="5"/>
        <v>150</v>
      </c>
    </row>
    <row r="20" spans="1:19" ht="12.75">
      <c r="A20" s="21" t="s">
        <v>12</v>
      </c>
      <c r="B20" s="21"/>
      <c r="C20" s="28" t="s">
        <v>7</v>
      </c>
      <c r="D20" s="50">
        <v>4453.7</v>
      </c>
      <c r="E20" s="50">
        <f t="shared" si="6"/>
        <v>16047.099999999999</v>
      </c>
      <c r="F20" s="53">
        <f t="shared" si="7"/>
        <v>14765.3</v>
      </c>
      <c r="G20" s="50">
        <v>11457.9</v>
      </c>
      <c r="H20" s="50">
        <v>2033.3</v>
      </c>
      <c r="I20" s="17">
        <v>1274.1</v>
      </c>
      <c r="J20" s="18">
        <v>1281.8</v>
      </c>
      <c r="K20" s="18">
        <v>13800.1</v>
      </c>
      <c r="L20" s="20" t="e">
        <f>K20/#REF!*100</f>
        <v>#REF!</v>
      </c>
      <c r="M20" s="20">
        <f t="shared" si="1"/>
        <v>1083.1253433796408</v>
      </c>
      <c r="N20" s="48"/>
      <c r="O20" s="48"/>
      <c r="P20" s="17">
        <f t="shared" si="2"/>
        <v>1076.6188172881884</v>
      </c>
      <c r="Q20" s="20">
        <f t="shared" si="3"/>
        <v>93.4630518851632</v>
      </c>
      <c r="R20" s="18">
        <f t="shared" si="4"/>
        <v>85.99746994784105</v>
      </c>
      <c r="S20" s="18">
        <f t="shared" si="5"/>
        <v>309.8569728540315</v>
      </c>
    </row>
    <row r="21" spans="1:19" ht="12.75">
      <c r="A21" s="31" t="s">
        <v>39</v>
      </c>
      <c r="B21" s="54"/>
      <c r="C21" s="16" t="s">
        <v>40</v>
      </c>
      <c r="D21" s="50">
        <v>0</v>
      </c>
      <c r="E21" s="50">
        <f t="shared" si="6"/>
        <v>0</v>
      </c>
      <c r="F21" s="53">
        <f t="shared" si="7"/>
        <v>0</v>
      </c>
      <c r="G21" s="50"/>
      <c r="H21" s="50"/>
      <c r="I21" s="17"/>
      <c r="J21" s="18"/>
      <c r="K21" s="18">
        <v>-117.6</v>
      </c>
      <c r="L21" s="20"/>
      <c r="M21" s="20"/>
      <c r="N21" s="48"/>
      <c r="O21" s="48"/>
      <c r="P21" s="17"/>
      <c r="Q21" s="20"/>
      <c r="R21" s="18"/>
      <c r="S21" s="18"/>
    </row>
    <row r="22" spans="1:19" ht="12.75">
      <c r="A22" s="25" t="s">
        <v>1</v>
      </c>
      <c r="B22" s="25"/>
      <c r="C22" s="32" t="s">
        <v>0</v>
      </c>
      <c r="D22" s="33">
        <f aca="true" t="shared" si="8" ref="D22:J22">D23+D24+D26+D25</f>
        <v>2394102</v>
      </c>
      <c r="E22" s="33">
        <f>E23+E24+E26+E25</f>
        <v>2729285.5</v>
      </c>
      <c r="F22" s="33">
        <f t="shared" si="8"/>
        <v>1957970.3000000003</v>
      </c>
      <c r="G22" s="33">
        <f t="shared" si="8"/>
        <v>597357.8</v>
      </c>
      <c r="H22" s="33">
        <f t="shared" si="8"/>
        <v>709386.3</v>
      </c>
      <c r="I22" s="33">
        <f t="shared" si="8"/>
        <v>651226.2</v>
      </c>
      <c r="J22" s="33">
        <f t="shared" si="8"/>
        <v>771315.2000000001</v>
      </c>
      <c r="K22" s="33">
        <f>K23+K24+K26+K25+0.1</f>
        <v>1581964.5</v>
      </c>
      <c r="L22" s="27" t="e">
        <f>K22/#REF!*100</f>
        <v>#REF!</v>
      </c>
      <c r="M22" s="27">
        <f aca="true" t="shared" si="9" ref="M22:M27">K22/I22*100</f>
        <v>242.92089292476254</v>
      </c>
      <c r="N22" s="48"/>
      <c r="O22" s="48"/>
      <c r="P22" s="36">
        <f t="shared" si="2"/>
        <v>205.09961426923778</v>
      </c>
      <c r="Q22" s="27">
        <f t="shared" si="3"/>
        <v>80.79614384344848</v>
      </c>
      <c r="R22" s="24">
        <f t="shared" si="4"/>
        <v>57.962587644275395</v>
      </c>
      <c r="S22" s="24">
        <f t="shared" si="5"/>
        <v>66.07757313598168</v>
      </c>
    </row>
    <row r="23" spans="1:19" ht="24">
      <c r="A23" s="14" t="s">
        <v>67</v>
      </c>
      <c r="B23" s="12"/>
      <c r="C23" s="34" t="s">
        <v>20</v>
      </c>
      <c r="D23" s="37">
        <v>2384102</v>
      </c>
      <c r="E23" s="50">
        <f t="shared" si="6"/>
        <v>2605610.7</v>
      </c>
      <c r="F23" s="53">
        <f>G23+H23+I23</f>
        <v>1893647.9000000001</v>
      </c>
      <c r="G23" s="50">
        <v>596797.4</v>
      </c>
      <c r="H23" s="50">
        <v>708124.3</v>
      </c>
      <c r="I23" s="18">
        <f>585369.9+3502.2-145.9</f>
        <v>588726.2</v>
      </c>
      <c r="J23" s="18">
        <v>711962.8</v>
      </c>
      <c r="K23" s="18">
        <v>1539917.8</v>
      </c>
      <c r="L23" s="20" t="e">
        <f>K23/#REF!*100</f>
        <v>#REF!</v>
      </c>
      <c r="M23" s="20">
        <f t="shared" si="9"/>
        <v>261.5677372605466</v>
      </c>
      <c r="N23" s="48"/>
      <c r="O23" s="48"/>
      <c r="P23" s="17">
        <f t="shared" si="2"/>
        <v>216.2918905313592</v>
      </c>
      <c r="Q23" s="20">
        <f t="shared" si="3"/>
        <v>81.32017573066248</v>
      </c>
      <c r="R23" s="18">
        <f t="shared" si="4"/>
        <v>59.10007200998982</v>
      </c>
      <c r="S23" s="18">
        <f t="shared" si="5"/>
        <v>64.59110390411149</v>
      </c>
    </row>
    <row r="24" spans="1:19" ht="13.5" customHeight="1">
      <c r="A24" s="14" t="s">
        <v>2</v>
      </c>
      <c r="B24" s="14"/>
      <c r="C24" s="35" t="s">
        <v>19</v>
      </c>
      <c r="D24" s="55">
        <v>10000</v>
      </c>
      <c r="E24" s="50">
        <f t="shared" si="6"/>
        <v>130050</v>
      </c>
      <c r="F24" s="53">
        <f>G24+H24+I24</f>
        <v>70697.6</v>
      </c>
      <c r="G24" s="55">
        <v>4813.1</v>
      </c>
      <c r="H24" s="55">
        <v>3384.5</v>
      </c>
      <c r="I24" s="18">
        <v>62500</v>
      </c>
      <c r="J24" s="18">
        <v>59352.4</v>
      </c>
      <c r="K24" s="18">
        <v>48353.9</v>
      </c>
      <c r="L24" s="20" t="e">
        <f>K24/#REF!*100</f>
        <v>#REF!</v>
      </c>
      <c r="M24" s="20">
        <f t="shared" si="9"/>
        <v>77.36623999999999</v>
      </c>
      <c r="N24" s="48"/>
      <c r="O24" s="48"/>
      <c r="P24" s="17">
        <f t="shared" si="2"/>
        <v>81.46915710232442</v>
      </c>
      <c r="Q24" s="20">
        <f t="shared" si="3"/>
        <v>68.39539107409585</v>
      </c>
      <c r="R24" s="18">
        <f t="shared" si="4"/>
        <v>37.18100730488274</v>
      </c>
      <c r="S24" s="18">
        <f t="shared" si="5"/>
        <v>483.539</v>
      </c>
    </row>
    <row r="25" spans="1:19" ht="40.5" customHeight="1">
      <c r="A25" s="14" t="s">
        <v>65</v>
      </c>
      <c r="B25" s="15" t="s">
        <v>64</v>
      </c>
      <c r="C25" s="16" t="s">
        <v>64</v>
      </c>
      <c r="D25" s="50">
        <v>0</v>
      </c>
      <c r="E25" s="50">
        <f t="shared" si="6"/>
        <v>67.8</v>
      </c>
      <c r="F25" s="53">
        <f>G25+H25+I25</f>
        <v>67.8</v>
      </c>
      <c r="G25" s="50">
        <v>67.8</v>
      </c>
      <c r="H25" s="50"/>
      <c r="I25" s="18"/>
      <c r="J25" s="18"/>
      <c r="K25" s="18">
        <v>67.8</v>
      </c>
      <c r="L25" s="20" t="e">
        <f>K25/#REF!*100</f>
        <v>#REF!</v>
      </c>
      <c r="M25" s="20"/>
      <c r="N25" s="48"/>
      <c r="O25" s="48"/>
      <c r="P25" s="17" t="e">
        <f t="shared" si="2"/>
        <v>#DIV/0!</v>
      </c>
      <c r="Q25" s="20">
        <f>K25*100/F25</f>
        <v>100</v>
      </c>
      <c r="R25" s="18">
        <f>K25*100/E25</f>
        <v>100</v>
      </c>
      <c r="S25" s="18"/>
    </row>
    <row r="26" spans="1:19" ht="24" customHeight="1">
      <c r="A26" s="14" t="s">
        <v>66</v>
      </c>
      <c r="B26" s="75"/>
      <c r="C26" s="19" t="s">
        <v>63</v>
      </c>
      <c r="D26" s="76">
        <v>0</v>
      </c>
      <c r="E26" s="50">
        <f t="shared" si="6"/>
        <v>-6443</v>
      </c>
      <c r="F26" s="53">
        <f>G26+H26+I26</f>
        <v>-6443</v>
      </c>
      <c r="G26" s="76">
        <v>-4320.5</v>
      </c>
      <c r="H26" s="76">
        <v>-2122.5</v>
      </c>
      <c r="I26" s="18"/>
      <c r="J26" s="18"/>
      <c r="K26" s="18">
        <v>-6375.1</v>
      </c>
      <c r="L26" s="20" t="e">
        <f>K26/#REF!*100</f>
        <v>#REF!</v>
      </c>
      <c r="M26" s="20"/>
      <c r="N26" s="48"/>
      <c r="O26" s="48"/>
      <c r="P26" s="17" t="e">
        <f t="shared" si="2"/>
        <v>#DIV/0!</v>
      </c>
      <c r="Q26" s="20">
        <f>K26*100/F26</f>
        <v>98.9461431010399</v>
      </c>
      <c r="R26" s="18">
        <f>K26*100/E26</f>
        <v>98.9461431010399</v>
      </c>
      <c r="S26" s="18"/>
    </row>
    <row r="27" spans="1:19" ht="12.75">
      <c r="A27" s="21"/>
      <c r="B27" s="22"/>
      <c r="C27" s="23" t="s">
        <v>4</v>
      </c>
      <c r="D27" s="24">
        <f aca="true" t="shared" si="10" ref="D27:K27">D22+D8</f>
        <v>3160651.4</v>
      </c>
      <c r="E27" s="24">
        <f t="shared" si="10"/>
        <v>3525889.6</v>
      </c>
      <c r="F27" s="24">
        <f t="shared" si="10"/>
        <v>2544565.2</v>
      </c>
      <c r="G27" s="24">
        <f t="shared" si="10"/>
        <v>794560.7</v>
      </c>
      <c r="H27" s="24">
        <f t="shared" si="10"/>
        <v>924618.9000000001</v>
      </c>
      <c r="I27" s="24">
        <f t="shared" si="10"/>
        <v>825385.6</v>
      </c>
      <c r="J27" s="24">
        <f t="shared" si="10"/>
        <v>981324.4</v>
      </c>
      <c r="K27" s="24">
        <f t="shared" si="10"/>
        <v>2118380.4</v>
      </c>
      <c r="L27" s="27" t="e">
        <f>K27/#REF!*100</f>
        <v>#REF!</v>
      </c>
      <c r="M27" s="27">
        <f t="shared" si="9"/>
        <v>256.65342356348356</v>
      </c>
      <c r="N27" s="48"/>
      <c r="O27" s="49" t="e">
        <f>J27+#REF!+#REF!</f>
        <v>#REF!</v>
      </c>
      <c r="P27" s="36">
        <f t="shared" si="2"/>
        <v>215.86953305145576</v>
      </c>
      <c r="Q27" s="27">
        <f t="shared" si="3"/>
        <v>83.25117391372011</v>
      </c>
      <c r="R27" s="24">
        <f t="shared" si="4"/>
        <v>60.080735369592965</v>
      </c>
      <c r="S27" s="24">
        <f t="shared" si="5"/>
        <v>67.02353824910904</v>
      </c>
    </row>
    <row r="28" spans="1:19" ht="12.75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3"/>
      <c r="N28" s="48"/>
      <c r="O28" s="48"/>
      <c r="P28" s="47"/>
      <c r="Q28" s="27"/>
      <c r="R28" s="24"/>
      <c r="S28" s="18"/>
    </row>
    <row r="29" spans="1:19" ht="12.75">
      <c r="A29" s="88" t="s">
        <v>25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90"/>
    </row>
    <row r="30" spans="1:19" ht="12.75">
      <c r="A30" s="25" t="s">
        <v>3</v>
      </c>
      <c r="B30" s="25"/>
      <c r="C30" s="26" t="s">
        <v>68</v>
      </c>
      <c r="D30" s="27">
        <f aca="true" t="shared" si="11" ref="D30:J30">D31+D33+D35+D37+D34+D36+D39+D32</f>
        <v>17496.5</v>
      </c>
      <c r="E30" s="27">
        <f t="shared" si="11"/>
        <v>17639.6</v>
      </c>
      <c r="F30" s="27">
        <f t="shared" si="11"/>
        <v>13266</v>
      </c>
      <c r="G30" s="27">
        <f t="shared" si="11"/>
        <v>4517.4</v>
      </c>
      <c r="H30" s="27">
        <f t="shared" si="11"/>
        <v>4374.3</v>
      </c>
      <c r="I30" s="27">
        <f t="shared" si="11"/>
        <v>4374.3</v>
      </c>
      <c r="J30" s="27">
        <f t="shared" si="11"/>
        <v>4373.6</v>
      </c>
      <c r="K30" s="27">
        <f>K31+K33+K35+K37+K34+K36+K39+K32+K38</f>
        <v>11547.899999999998</v>
      </c>
      <c r="L30" s="27" t="e">
        <f>K30/#REF!*100</f>
        <v>#REF!</v>
      </c>
      <c r="M30" s="27">
        <f aca="true" t="shared" si="12" ref="M30:M37">K30/I30*100</f>
        <v>263.99423907825246</v>
      </c>
      <c r="N30" s="48"/>
      <c r="O30" s="48"/>
      <c r="P30" s="27">
        <f t="shared" si="2"/>
        <v>264.0364916773367</v>
      </c>
      <c r="Q30" s="27">
        <f t="shared" si="3"/>
        <v>87.04884667571233</v>
      </c>
      <c r="R30" s="24">
        <f t="shared" si="4"/>
        <v>65.46577019887071</v>
      </c>
      <c r="S30" s="24">
        <f t="shared" si="5"/>
        <v>66.001200240048</v>
      </c>
    </row>
    <row r="31" spans="1:19" ht="12.75">
      <c r="A31" s="12" t="s">
        <v>23</v>
      </c>
      <c r="B31" s="12"/>
      <c r="C31" s="73" t="s">
        <v>22</v>
      </c>
      <c r="D31" s="53">
        <v>13130</v>
      </c>
      <c r="E31" s="50">
        <f aca="true" t="shared" si="13" ref="E31:E37">G31+H31+I31+J31</f>
        <v>13130</v>
      </c>
      <c r="F31" s="53">
        <f>G31+H31+I31</f>
        <v>9847.5</v>
      </c>
      <c r="G31" s="53">
        <v>3282.5</v>
      </c>
      <c r="H31" s="53">
        <v>3282.5</v>
      </c>
      <c r="I31" s="17">
        <v>3282.5</v>
      </c>
      <c r="J31" s="18">
        <v>3282.5</v>
      </c>
      <c r="K31" s="74">
        <v>8933.5</v>
      </c>
      <c r="L31" s="20" t="e">
        <f>K31/#REF!*100</f>
        <v>#REF!</v>
      </c>
      <c r="M31" s="20">
        <f t="shared" si="12"/>
        <v>272.1553693830922</v>
      </c>
      <c r="N31" s="48"/>
      <c r="O31" s="48"/>
      <c r="P31" s="17">
        <f t="shared" si="2"/>
        <v>272.15536938309214</v>
      </c>
      <c r="Q31" s="20">
        <f>K31*100/F31</f>
        <v>90.71845646103071</v>
      </c>
      <c r="R31" s="18">
        <f t="shared" si="4"/>
        <v>68.03884234577303</v>
      </c>
      <c r="S31" s="18">
        <f t="shared" si="5"/>
        <v>68.03884234577303</v>
      </c>
    </row>
    <row r="32" spans="1:19" ht="12.75">
      <c r="A32" s="12" t="s">
        <v>70</v>
      </c>
      <c r="B32" s="12"/>
      <c r="C32" s="28" t="s">
        <v>71</v>
      </c>
      <c r="D32" s="50">
        <v>1279.5</v>
      </c>
      <c r="E32" s="50">
        <f t="shared" si="13"/>
        <v>1279.5</v>
      </c>
      <c r="F32" s="53">
        <f aca="true" t="shared" si="14" ref="F32:F39">G32+H32+I32</f>
        <v>960</v>
      </c>
      <c r="G32" s="53">
        <v>320</v>
      </c>
      <c r="H32" s="53">
        <v>320</v>
      </c>
      <c r="I32" s="17">
        <v>320</v>
      </c>
      <c r="J32" s="18">
        <v>319.5</v>
      </c>
      <c r="K32" s="74">
        <v>821.6</v>
      </c>
      <c r="L32" s="20"/>
      <c r="M32" s="20"/>
      <c r="N32" s="48"/>
      <c r="O32" s="48"/>
      <c r="P32" s="17"/>
      <c r="Q32" s="20">
        <f>K32*100/F32</f>
        <v>85.58333333333333</v>
      </c>
      <c r="R32" s="18">
        <f>K32*100/E32</f>
        <v>64.2125830402501</v>
      </c>
      <c r="S32" s="18">
        <f t="shared" si="5"/>
        <v>64.2125830402501</v>
      </c>
    </row>
    <row r="33" spans="1:19" ht="12.75">
      <c r="A33" s="12" t="s">
        <v>9</v>
      </c>
      <c r="B33" s="12"/>
      <c r="C33" s="28" t="s">
        <v>6</v>
      </c>
      <c r="D33" s="50">
        <v>622</v>
      </c>
      <c r="E33" s="50">
        <f t="shared" si="13"/>
        <v>622</v>
      </c>
      <c r="F33" s="53">
        <f t="shared" si="14"/>
        <v>466.5</v>
      </c>
      <c r="G33" s="50">
        <v>155.5</v>
      </c>
      <c r="H33" s="50">
        <v>155.5</v>
      </c>
      <c r="I33" s="17">
        <v>155.5</v>
      </c>
      <c r="J33" s="18">
        <v>155.5</v>
      </c>
      <c r="K33" s="18">
        <v>153</v>
      </c>
      <c r="L33" s="20" t="e">
        <f>K33/#REF!*100</f>
        <v>#REF!</v>
      </c>
      <c r="M33" s="20">
        <f t="shared" si="12"/>
        <v>98.39228295819936</v>
      </c>
      <c r="N33" s="48"/>
      <c r="O33" s="48"/>
      <c r="P33" s="17">
        <f t="shared" si="2"/>
        <v>98.39228295819936</v>
      </c>
      <c r="Q33" s="20">
        <f t="shared" si="3"/>
        <v>32.79742765273312</v>
      </c>
      <c r="R33" s="18">
        <f t="shared" si="4"/>
        <v>24.59807073954984</v>
      </c>
      <c r="S33" s="18">
        <f t="shared" si="5"/>
        <v>24.59807073954984</v>
      </c>
    </row>
    <row r="34" spans="1:19" ht="12.75">
      <c r="A34" s="12" t="s">
        <v>10</v>
      </c>
      <c r="B34" s="12"/>
      <c r="C34" s="28" t="s">
        <v>21</v>
      </c>
      <c r="D34" s="50">
        <v>24</v>
      </c>
      <c r="E34" s="50">
        <f t="shared" si="13"/>
        <v>24</v>
      </c>
      <c r="F34" s="53">
        <f t="shared" si="14"/>
        <v>18</v>
      </c>
      <c r="G34" s="50">
        <v>6</v>
      </c>
      <c r="H34" s="50">
        <v>6</v>
      </c>
      <c r="I34" s="17">
        <v>6</v>
      </c>
      <c r="J34" s="18">
        <v>6</v>
      </c>
      <c r="K34" s="18">
        <v>10.8</v>
      </c>
      <c r="L34" s="20" t="e">
        <f>K34/#REF!*100</f>
        <v>#REF!</v>
      </c>
      <c r="M34" s="20">
        <f t="shared" si="12"/>
        <v>180</v>
      </c>
      <c r="N34" s="48"/>
      <c r="O34" s="48"/>
      <c r="P34" s="17">
        <f t="shared" si="2"/>
        <v>180</v>
      </c>
      <c r="Q34" s="20">
        <f t="shared" si="3"/>
        <v>60</v>
      </c>
      <c r="R34" s="18">
        <f t="shared" si="4"/>
        <v>45</v>
      </c>
      <c r="S34" s="18">
        <f t="shared" si="5"/>
        <v>45</v>
      </c>
    </row>
    <row r="35" spans="1:19" ht="24">
      <c r="A35" s="13" t="s">
        <v>11</v>
      </c>
      <c r="B35" s="13"/>
      <c r="C35" s="28" t="s">
        <v>17</v>
      </c>
      <c r="D35" s="50">
        <v>1757.5</v>
      </c>
      <c r="E35" s="50">
        <f t="shared" si="13"/>
        <v>1773.6</v>
      </c>
      <c r="F35" s="53">
        <f t="shared" si="14"/>
        <v>1334.3</v>
      </c>
      <c r="G35" s="50">
        <f>439.4+16.1</f>
        <v>455.5</v>
      </c>
      <c r="H35" s="50">
        <v>439.4</v>
      </c>
      <c r="I35" s="17">
        <v>439.4</v>
      </c>
      <c r="J35" s="18">
        <v>439.3</v>
      </c>
      <c r="K35" s="18">
        <v>909.8</v>
      </c>
      <c r="L35" s="20" t="e">
        <f>K35/#REF!*100</f>
        <v>#REF!</v>
      </c>
      <c r="M35" s="20">
        <f t="shared" si="12"/>
        <v>207.05507510241236</v>
      </c>
      <c r="N35" s="48"/>
      <c r="O35" s="48"/>
      <c r="P35" s="17">
        <f t="shared" si="2"/>
        <v>207.10220805827453</v>
      </c>
      <c r="Q35" s="20">
        <f t="shared" si="3"/>
        <v>68.18556546503785</v>
      </c>
      <c r="R35" s="18">
        <f t="shared" si="4"/>
        <v>51.29679747406405</v>
      </c>
      <c r="S35" s="18">
        <f t="shared" si="5"/>
        <v>51.766714082503555</v>
      </c>
    </row>
    <row r="36" spans="1:19" ht="15" customHeight="1">
      <c r="A36" s="30" t="s">
        <v>42</v>
      </c>
      <c r="B36" s="30"/>
      <c r="C36" s="28" t="s">
        <v>43</v>
      </c>
      <c r="D36" s="50">
        <v>616</v>
      </c>
      <c r="E36" s="50">
        <f t="shared" si="13"/>
        <v>743</v>
      </c>
      <c r="F36" s="53">
        <f t="shared" si="14"/>
        <v>589</v>
      </c>
      <c r="G36" s="50">
        <f>154+127</f>
        <v>281</v>
      </c>
      <c r="H36" s="50">
        <v>154</v>
      </c>
      <c r="I36" s="17">
        <v>154</v>
      </c>
      <c r="J36" s="18">
        <v>154</v>
      </c>
      <c r="K36" s="18">
        <v>575.4</v>
      </c>
      <c r="L36" s="20"/>
      <c r="M36" s="20">
        <f t="shared" si="12"/>
        <v>373.6363636363636</v>
      </c>
      <c r="N36" s="48"/>
      <c r="O36" s="48"/>
      <c r="P36" s="17">
        <f t="shared" si="2"/>
        <v>373.6363636363636</v>
      </c>
      <c r="Q36" s="20">
        <f t="shared" si="3"/>
        <v>97.69100169779287</v>
      </c>
      <c r="R36" s="18">
        <f t="shared" si="4"/>
        <v>77.442799461642</v>
      </c>
      <c r="S36" s="18">
        <f t="shared" si="5"/>
        <v>93.4090909090909</v>
      </c>
    </row>
    <row r="37" spans="1:19" ht="14.25" customHeight="1">
      <c r="A37" s="29" t="s">
        <v>18</v>
      </c>
      <c r="B37" s="29"/>
      <c r="C37" s="28" t="s">
        <v>15</v>
      </c>
      <c r="D37" s="50">
        <v>67.5</v>
      </c>
      <c r="E37" s="50">
        <f t="shared" si="13"/>
        <v>67.5</v>
      </c>
      <c r="F37" s="53">
        <f t="shared" si="14"/>
        <v>50.699999999999996</v>
      </c>
      <c r="G37" s="50">
        <v>16.9</v>
      </c>
      <c r="H37" s="50">
        <v>16.9</v>
      </c>
      <c r="I37" s="17">
        <v>16.9</v>
      </c>
      <c r="J37" s="18">
        <v>16.8</v>
      </c>
      <c r="K37" s="18">
        <v>121.4</v>
      </c>
      <c r="L37" s="20" t="e">
        <f>K37/#REF!*100</f>
        <v>#REF!</v>
      </c>
      <c r="M37" s="20">
        <f t="shared" si="12"/>
        <v>718.3431952662722</v>
      </c>
      <c r="N37" s="48"/>
      <c r="O37" s="48"/>
      <c r="P37" s="17">
        <f t="shared" si="2"/>
        <v>722.6190476190476</v>
      </c>
      <c r="Q37" s="20">
        <f t="shared" si="3"/>
        <v>239.4477317554241</v>
      </c>
      <c r="R37" s="18">
        <f t="shared" si="4"/>
        <v>179.85185185185185</v>
      </c>
      <c r="S37" s="18">
        <f t="shared" si="5"/>
        <v>179.85185185185185</v>
      </c>
    </row>
    <row r="38" spans="1:19" ht="14.25" customHeight="1">
      <c r="A38" s="21" t="s">
        <v>12</v>
      </c>
      <c r="B38" s="60"/>
      <c r="C38" s="28" t="s">
        <v>7</v>
      </c>
      <c r="D38" s="77"/>
      <c r="E38" s="50"/>
      <c r="F38" s="53"/>
      <c r="G38" s="50"/>
      <c r="H38" s="50"/>
      <c r="I38" s="17"/>
      <c r="J38" s="18"/>
      <c r="K38" s="18"/>
      <c r="L38" s="20"/>
      <c r="M38" s="20"/>
      <c r="N38" s="48"/>
      <c r="O38" s="48"/>
      <c r="P38" s="17"/>
      <c r="Q38" s="20"/>
      <c r="R38" s="18"/>
      <c r="S38" s="18"/>
    </row>
    <row r="39" spans="1:19" ht="15.75" customHeight="1">
      <c r="A39" s="31" t="s">
        <v>39</v>
      </c>
      <c r="B39" s="54"/>
      <c r="C39" s="16" t="s">
        <v>40</v>
      </c>
      <c r="D39" s="77"/>
      <c r="E39" s="28"/>
      <c r="F39" s="53">
        <f t="shared" si="14"/>
        <v>0</v>
      </c>
      <c r="G39" s="50"/>
      <c r="H39" s="50"/>
      <c r="I39" s="17"/>
      <c r="J39" s="18"/>
      <c r="K39" s="18">
        <v>22.4</v>
      </c>
      <c r="L39" s="20"/>
      <c r="M39" s="20"/>
      <c r="N39" s="48"/>
      <c r="O39" s="48"/>
      <c r="P39" s="17" t="e">
        <f t="shared" si="2"/>
        <v>#DIV/0!</v>
      </c>
      <c r="Q39" s="27"/>
      <c r="R39" s="24"/>
      <c r="S39" s="18"/>
    </row>
    <row r="40" spans="1:19" ht="12.75">
      <c r="A40" s="25" t="s">
        <v>1</v>
      </c>
      <c r="B40" s="25"/>
      <c r="C40" s="32" t="s">
        <v>0</v>
      </c>
      <c r="D40" s="33">
        <f>D41+D42</f>
        <v>14293.3</v>
      </c>
      <c r="E40" s="33">
        <f>E41+E42</f>
        <v>22272.6</v>
      </c>
      <c r="F40" s="33">
        <f aca="true" t="shared" si="15" ref="F40:K40">F41+F42</f>
        <v>18410.8</v>
      </c>
      <c r="G40" s="33">
        <f t="shared" si="15"/>
        <v>8298.400000000001</v>
      </c>
      <c r="H40" s="33">
        <f t="shared" si="15"/>
        <v>6337.9</v>
      </c>
      <c r="I40" s="33">
        <f t="shared" si="15"/>
        <v>3774.5</v>
      </c>
      <c r="J40" s="33">
        <f t="shared" si="15"/>
        <v>3861.8</v>
      </c>
      <c r="K40" s="33">
        <f t="shared" si="15"/>
        <v>9575.7</v>
      </c>
      <c r="L40" s="33" t="e">
        <f>L41</f>
        <v>#REF!</v>
      </c>
      <c r="M40" s="27">
        <f>K40/I40*100</f>
        <v>253.69452907669893</v>
      </c>
      <c r="N40" s="48"/>
      <c r="O40" s="48"/>
      <c r="P40" s="36">
        <f t="shared" si="2"/>
        <v>247.95950075094518</v>
      </c>
      <c r="Q40" s="27">
        <f t="shared" si="3"/>
        <v>52.01131944293568</v>
      </c>
      <c r="R40" s="24">
        <f t="shared" si="4"/>
        <v>42.99318445084993</v>
      </c>
      <c r="S40" s="24">
        <f t="shared" si="5"/>
        <v>66.99432601288717</v>
      </c>
    </row>
    <row r="41" spans="1:19" ht="24">
      <c r="A41" s="14" t="s">
        <v>67</v>
      </c>
      <c r="B41" s="12"/>
      <c r="C41" s="34" t="s">
        <v>20</v>
      </c>
      <c r="D41" s="37">
        <v>14293.3</v>
      </c>
      <c r="E41" s="50">
        <f>G41+H41+I41+J41</f>
        <v>22340.399999999998</v>
      </c>
      <c r="F41" s="53">
        <f>G41+H41+I41</f>
        <v>18478.6</v>
      </c>
      <c r="G41" s="37">
        <f>8355.1+11.1</f>
        <v>8366.2</v>
      </c>
      <c r="H41" s="37">
        <v>6337.9</v>
      </c>
      <c r="I41" s="17">
        <f>3861.9-87.4+129.2-129.2</f>
        <v>3774.5</v>
      </c>
      <c r="J41" s="37">
        <v>3861.8</v>
      </c>
      <c r="K41" s="18">
        <v>9643.5</v>
      </c>
      <c r="L41" s="20" t="e">
        <f>K41/#REF!*100</f>
        <v>#REF!</v>
      </c>
      <c r="M41" s="20">
        <f>K41/I41*100</f>
        <v>255.49079348258047</v>
      </c>
      <c r="N41" s="48"/>
      <c r="O41" s="48"/>
      <c r="P41" s="17">
        <f t="shared" si="2"/>
        <v>249.71515873426898</v>
      </c>
      <c r="Q41" s="20">
        <f t="shared" si="3"/>
        <v>52.18739514898315</v>
      </c>
      <c r="R41" s="18">
        <f t="shared" si="4"/>
        <v>43.16619218993394</v>
      </c>
      <c r="S41" s="18">
        <f t="shared" si="5"/>
        <v>67.46867413403483</v>
      </c>
    </row>
    <row r="42" spans="1:19" ht="23.25" customHeight="1">
      <c r="A42" s="14" t="s">
        <v>66</v>
      </c>
      <c r="B42" s="75"/>
      <c r="C42" s="19" t="s">
        <v>63</v>
      </c>
      <c r="D42" s="76">
        <v>0</v>
      </c>
      <c r="E42" s="50">
        <f>G42+H42+I42+J42</f>
        <v>-67.8</v>
      </c>
      <c r="F42" s="53">
        <f>G42+H42+I42</f>
        <v>-67.8</v>
      </c>
      <c r="G42" s="37">
        <v>-67.8</v>
      </c>
      <c r="H42" s="37"/>
      <c r="I42" s="17"/>
      <c r="J42" s="37"/>
      <c r="K42" s="18">
        <v>-67.8</v>
      </c>
      <c r="L42" s="20"/>
      <c r="M42" s="20"/>
      <c r="N42" s="48"/>
      <c r="O42" s="48"/>
      <c r="P42" s="17"/>
      <c r="Q42" s="20">
        <f t="shared" si="3"/>
        <v>100</v>
      </c>
      <c r="R42" s="18">
        <f t="shared" si="4"/>
        <v>100</v>
      </c>
      <c r="S42" s="18"/>
    </row>
    <row r="43" spans="1:19" ht="12.75">
      <c r="A43" s="21"/>
      <c r="B43" s="22"/>
      <c r="C43" s="23" t="s">
        <v>4</v>
      </c>
      <c r="D43" s="24">
        <f aca="true" t="shared" si="16" ref="D43:J43">D40+D30</f>
        <v>31789.8</v>
      </c>
      <c r="E43" s="24">
        <f t="shared" si="16"/>
        <v>39912.2</v>
      </c>
      <c r="F43" s="24">
        <f t="shared" si="16"/>
        <v>31676.8</v>
      </c>
      <c r="G43" s="24">
        <f t="shared" si="16"/>
        <v>12815.800000000001</v>
      </c>
      <c r="H43" s="24">
        <f t="shared" si="16"/>
        <v>10712.2</v>
      </c>
      <c r="I43" s="24">
        <f t="shared" si="16"/>
        <v>8148.8</v>
      </c>
      <c r="J43" s="24">
        <f t="shared" si="16"/>
        <v>8235.400000000001</v>
      </c>
      <c r="K43" s="24">
        <f>K40+K30</f>
        <v>21123.6</v>
      </c>
      <c r="L43" s="27" t="e">
        <f>K43/#REF!*100</f>
        <v>#REF!</v>
      </c>
      <c r="M43" s="27">
        <f>K43/I43*100</f>
        <v>259.2234439426664</v>
      </c>
      <c r="N43" s="48"/>
      <c r="O43" s="49" t="e">
        <f>J43+#REF!+#REF!</f>
        <v>#REF!</v>
      </c>
      <c r="P43" s="36">
        <f t="shared" si="2"/>
        <v>256.49755931709444</v>
      </c>
      <c r="Q43" s="27">
        <f t="shared" si="3"/>
        <v>66.68476613799373</v>
      </c>
      <c r="R43" s="24">
        <f t="shared" si="4"/>
        <v>52.925170749795804</v>
      </c>
      <c r="S43" s="24">
        <f t="shared" si="5"/>
        <v>66.44772851669404</v>
      </c>
    </row>
    <row r="44" spans="1:19" ht="12.75">
      <c r="A44" s="78"/>
      <c r="B44" s="79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6"/>
      <c r="N44" s="48"/>
      <c r="O44" s="48"/>
      <c r="P44" s="47"/>
      <c r="Q44" s="27"/>
      <c r="R44" s="24"/>
      <c r="S44" s="18"/>
    </row>
    <row r="45" spans="1:19" ht="12.75">
      <c r="A45" s="88" t="s">
        <v>26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90"/>
    </row>
    <row r="46" spans="1:19" ht="12.75">
      <c r="A46" s="25" t="s">
        <v>3</v>
      </c>
      <c r="B46" s="25"/>
      <c r="C46" s="26" t="s">
        <v>68</v>
      </c>
      <c r="D46" s="27">
        <f>D47+D50+D52+D54+D55+D56+D51+D49+D48+D53</f>
        <v>17783.1</v>
      </c>
      <c r="E46" s="27">
        <f>E47+E50+E52+E54+E55+E56+E51+E49+E48+E53</f>
        <v>17783.1</v>
      </c>
      <c r="F46" s="27">
        <f aca="true" t="shared" si="17" ref="F46:K46">F47+F50+F52+F54+F55+F56+F51+F49+F48+F53</f>
        <v>12920.199999999999</v>
      </c>
      <c r="G46" s="27">
        <f t="shared" si="17"/>
        <v>4352.599999999999</v>
      </c>
      <c r="H46" s="27">
        <f t="shared" si="17"/>
        <v>4276.299999999999</v>
      </c>
      <c r="I46" s="27">
        <f t="shared" si="17"/>
        <v>4291.299999999999</v>
      </c>
      <c r="J46" s="27">
        <f t="shared" si="17"/>
        <v>4862.9</v>
      </c>
      <c r="K46" s="27">
        <f t="shared" si="17"/>
        <v>11891</v>
      </c>
      <c r="L46" s="27" t="e">
        <f>K46/#REF!*100</f>
        <v>#REF!</v>
      </c>
      <c r="M46" s="27">
        <f>K46/I46*100</f>
        <v>277.09551884044464</v>
      </c>
      <c r="N46" s="48"/>
      <c r="O46" s="48"/>
      <c r="P46" s="27">
        <f t="shared" si="2"/>
        <v>244.52487198996485</v>
      </c>
      <c r="Q46" s="27">
        <f t="shared" si="3"/>
        <v>92.0341790374762</v>
      </c>
      <c r="R46" s="24">
        <f t="shared" si="4"/>
        <v>66.86685673476504</v>
      </c>
      <c r="S46" s="24">
        <f t="shared" si="5"/>
        <v>66.86685673476504</v>
      </c>
    </row>
    <row r="47" spans="1:19" ht="12.75">
      <c r="A47" s="21" t="s">
        <v>23</v>
      </c>
      <c r="B47" s="12"/>
      <c r="C47" s="73" t="s">
        <v>22</v>
      </c>
      <c r="D47" s="53">
        <v>11950</v>
      </c>
      <c r="E47" s="50">
        <f aca="true" t="shared" si="18" ref="E47:E60">G47+H47+I47+J47</f>
        <v>11950</v>
      </c>
      <c r="F47" s="53">
        <f>G47+H47+I47</f>
        <v>8846.5</v>
      </c>
      <c r="G47" s="50">
        <v>2664.1</v>
      </c>
      <c r="H47" s="50">
        <v>3091.2</v>
      </c>
      <c r="I47" s="17">
        <v>3091.2</v>
      </c>
      <c r="J47" s="18">
        <v>3103.5</v>
      </c>
      <c r="K47" s="74">
        <v>7984.5</v>
      </c>
      <c r="L47" s="20" t="e">
        <f>K47/#REF!*100</f>
        <v>#REF!</v>
      </c>
      <c r="M47" s="20">
        <f>K47/I47*100</f>
        <v>258.297748447205</v>
      </c>
      <c r="N47" s="48"/>
      <c r="O47" s="48"/>
      <c r="P47" s="17">
        <f t="shared" si="2"/>
        <v>257.27404543257614</v>
      </c>
      <c r="Q47" s="20">
        <f t="shared" si="3"/>
        <v>90.25603345956027</v>
      </c>
      <c r="R47" s="18">
        <f t="shared" si="4"/>
        <v>66.81589958158996</v>
      </c>
      <c r="S47" s="18">
        <f t="shared" si="5"/>
        <v>66.81589958158996</v>
      </c>
    </row>
    <row r="48" spans="1:19" ht="12.75">
      <c r="A48" s="12" t="s">
        <v>70</v>
      </c>
      <c r="B48" s="12"/>
      <c r="C48" s="28" t="s">
        <v>71</v>
      </c>
      <c r="D48" s="50">
        <v>3002.3</v>
      </c>
      <c r="E48" s="50">
        <f t="shared" si="18"/>
        <v>3002.3</v>
      </c>
      <c r="F48" s="53">
        <f aca="true" t="shared" si="19" ref="F48:F56">G48+H48+I48</f>
        <v>2225.9</v>
      </c>
      <c r="G48" s="50">
        <v>773.9</v>
      </c>
      <c r="H48" s="50">
        <v>726</v>
      </c>
      <c r="I48" s="17">
        <v>726</v>
      </c>
      <c r="J48" s="18">
        <v>776.4</v>
      </c>
      <c r="K48" s="74">
        <v>1927.8</v>
      </c>
      <c r="L48" s="20"/>
      <c r="M48" s="20"/>
      <c r="N48" s="48"/>
      <c r="O48" s="48"/>
      <c r="P48" s="17"/>
      <c r="Q48" s="20">
        <f>K48*100/F48</f>
        <v>86.60766431555774</v>
      </c>
      <c r="R48" s="18">
        <f>K48*100/E48</f>
        <v>64.21077174166471</v>
      </c>
      <c r="S48" s="18">
        <f t="shared" si="5"/>
        <v>64.21077174166471</v>
      </c>
    </row>
    <row r="49" spans="1:19" ht="12.75">
      <c r="A49" s="12" t="s">
        <v>8</v>
      </c>
      <c r="B49" s="12"/>
      <c r="C49" s="28" t="s">
        <v>5</v>
      </c>
      <c r="D49" s="50">
        <v>13</v>
      </c>
      <c r="E49" s="50">
        <f t="shared" si="18"/>
        <v>13</v>
      </c>
      <c r="F49" s="53">
        <f t="shared" si="19"/>
        <v>9</v>
      </c>
      <c r="G49" s="50">
        <v>3</v>
      </c>
      <c r="H49" s="50">
        <v>3</v>
      </c>
      <c r="I49" s="17">
        <v>3</v>
      </c>
      <c r="J49" s="18">
        <v>4</v>
      </c>
      <c r="K49" s="74">
        <v>14.4</v>
      </c>
      <c r="L49" s="20" t="e">
        <f>K49/#REF!*100</f>
        <v>#REF!</v>
      </c>
      <c r="M49" s="20">
        <f>K49/I49*100</f>
        <v>480</v>
      </c>
      <c r="N49" s="48"/>
      <c r="O49" s="48"/>
      <c r="P49" s="17">
        <f t="shared" si="2"/>
        <v>360</v>
      </c>
      <c r="Q49" s="20">
        <f t="shared" si="3"/>
        <v>160</v>
      </c>
      <c r="R49" s="18">
        <f t="shared" si="4"/>
        <v>110.76923076923077</v>
      </c>
      <c r="S49" s="18">
        <f t="shared" si="5"/>
        <v>110.76923076923077</v>
      </c>
    </row>
    <row r="50" spans="1:19" ht="14.25" customHeight="1">
      <c r="A50" s="12" t="s">
        <v>9</v>
      </c>
      <c r="B50" s="12"/>
      <c r="C50" s="28" t="s">
        <v>6</v>
      </c>
      <c r="D50" s="50">
        <v>1922.3</v>
      </c>
      <c r="E50" s="50">
        <f t="shared" si="18"/>
        <v>1922.3</v>
      </c>
      <c r="F50" s="53">
        <f t="shared" si="19"/>
        <v>1329.8</v>
      </c>
      <c r="G50" s="50">
        <v>823.8</v>
      </c>
      <c r="H50" s="50">
        <v>253</v>
      </c>
      <c r="I50" s="17">
        <v>253</v>
      </c>
      <c r="J50" s="18">
        <v>592.5</v>
      </c>
      <c r="K50" s="18">
        <v>1314</v>
      </c>
      <c r="L50" s="20" t="e">
        <f>K50/#REF!*100</f>
        <v>#REF!</v>
      </c>
      <c r="M50" s="20">
        <f>K50/I50*100</f>
        <v>519.3675889328064</v>
      </c>
      <c r="N50" s="48"/>
      <c r="O50" s="48"/>
      <c r="P50" s="17">
        <f t="shared" si="2"/>
        <v>221.77215189873417</v>
      </c>
      <c r="Q50" s="20">
        <f t="shared" si="3"/>
        <v>98.81185140622651</v>
      </c>
      <c r="R50" s="18">
        <f t="shared" si="4"/>
        <v>68.35561566873017</v>
      </c>
      <c r="S50" s="18">
        <f t="shared" si="5"/>
        <v>68.35561566873017</v>
      </c>
    </row>
    <row r="51" spans="1:19" ht="18" customHeight="1" hidden="1">
      <c r="A51" s="12" t="s">
        <v>10</v>
      </c>
      <c r="B51" s="12"/>
      <c r="C51" s="28" t="s">
        <v>21</v>
      </c>
      <c r="D51" s="50"/>
      <c r="E51" s="50">
        <f t="shared" si="18"/>
        <v>0</v>
      </c>
      <c r="F51" s="53">
        <f t="shared" si="19"/>
        <v>0</v>
      </c>
      <c r="G51" s="50"/>
      <c r="H51" s="50"/>
      <c r="I51" s="17"/>
      <c r="J51" s="18"/>
      <c r="K51" s="18"/>
      <c r="L51" s="20"/>
      <c r="M51" s="20"/>
      <c r="N51" s="48"/>
      <c r="O51" s="48"/>
      <c r="P51" s="17" t="e">
        <f t="shared" si="2"/>
        <v>#DIV/0!</v>
      </c>
      <c r="Q51" s="20" t="e">
        <f t="shared" si="3"/>
        <v>#DIV/0!</v>
      </c>
      <c r="R51" s="18" t="e">
        <f t="shared" si="4"/>
        <v>#DIV/0!</v>
      </c>
      <c r="S51" s="18" t="e">
        <f t="shared" si="5"/>
        <v>#DIV/0!</v>
      </c>
    </row>
    <row r="52" spans="1:19" ht="24">
      <c r="A52" s="13" t="s">
        <v>11</v>
      </c>
      <c r="B52" s="13"/>
      <c r="C52" s="28" t="s">
        <v>17</v>
      </c>
      <c r="D52" s="50">
        <v>737.8</v>
      </c>
      <c r="E52" s="50">
        <f t="shared" si="18"/>
        <v>737.8</v>
      </c>
      <c r="F52" s="53">
        <f t="shared" si="19"/>
        <v>404</v>
      </c>
      <c r="G52" s="50">
        <v>72.8</v>
      </c>
      <c r="H52" s="50">
        <v>158.1</v>
      </c>
      <c r="I52" s="17">
        <v>173.1</v>
      </c>
      <c r="J52" s="18">
        <v>333.8</v>
      </c>
      <c r="K52" s="18">
        <f>461.3-0.1</f>
        <v>461.2</v>
      </c>
      <c r="L52" s="20" t="e">
        <f>K52/#REF!*100</f>
        <v>#REF!</v>
      </c>
      <c r="M52" s="20">
        <f>K52/I52*100</f>
        <v>266.43558636626227</v>
      </c>
      <c r="N52" s="48"/>
      <c r="O52" s="48"/>
      <c r="P52" s="17">
        <f t="shared" si="2"/>
        <v>138.16656680647094</v>
      </c>
      <c r="Q52" s="20">
        <f t="shared" si="3"/>
        <v>114.15841584158416</v>
      </c>
      <c r="R52" s="18">
        <f t="shared" si="4"/>
        <v>62.51016535646517</v>
      </c>
      <c r="S52" s="18">
        <f t="shared" si="5"/>
        <v>62.51016535646517</v>
      </c>
    </row>
    <row r="53" spans="1:19" ht="12.75">
      <c r="A53" s="30" t="s">
        <v>42</v>
      </c>
      <c r="B53" s="30"/>
      <c r="C53" s="28" t="s">
        <v>43</v>
      </c>
      <c r="D53" s="50"/>
      <c r="E53" s="50"/>
      <c r="F53" s="53">
        <f t="shared" si="19"/>
        <v>0</v>
      </c>
      <c r="G53" s="50"/>
      <c r="H53" s="50"/>
      <c r="I53" s="17"/>
      <c r="J53" s="18"/>
      <c r="K53" s="18">
        <v>135</v>
      </c>
      <c r="L53" s="20"/>
      <c r="M53" s="20"/>
      <c r="N53" s="48"/>
      <c r="O53" s="48"/>
      <c r="P53" s="17"/>
      <c r="Q53" s="20"/>
      <c r="R53" s="18"/>
      <c r="S53" s="18"/>
    </row>
    <row r="54" spans="1:19" ht="12.75">
      <c r="A54" s="30" t="s">
        <v>18</v>
      </c>
      <c r="B54" s="30"/>
      <c r="C54" s="28" t="s">
        <v>15</v>
      </c>
      <c r="D54" s="50">
        <v>150</v>
      </c>
      <c r="E54" s="50">
        <f t="shared" si="18"/>
        <v>150</v>
      </c>
      <c r="F54" s="53">
        <f t="shared" si="19"/>
        <v>105</v>
      </c>
      <c r="G54" s="50">
        <v>15</v>
      </c>
      <c r="H54" s="50">
        <v>45</v>
      </c>
      <c r="I54" s="17">
        <v>45</v>
      </c>
      <c r="J54" s="18">
        <v>45</v>
      </c>
      <c r="K54" s="18">
        <v>54.1</v>
      </c>
      <c r="L54" s="20" t="e">
        <f>K54/#REF!*100</f>
        <v>#REF!</v>
      </c>
      <c r="M54" s="20">
        <f>K54/I54*100</f>
        <v>120.22222222222223</v>
      </c>
      <c r="N54" s="48"/>
      <c r="O54" s="48"/>
      <c r="P54" s="17">
        <f t="shared" si="2"/>
        <v>120.22222222222223</v>
      </c>
      <c r="Q54" s="20">
        <f t="shared" si="3"/>
        <v>51.523809523809526</v>
      </c>
      <c r="R54" s="18">
        <f t="shared" si="4"/>
        <v>36.06666666666667</v>
      </c>
      <c r="S54" s="18">
        <f t="shared" si="5"/>
        <v>36.06666666666667</v>
      </c>
    </row>
    <row r="55" spans="1:19" ht="16.5" customHeight="1">
      <c r="A55" s="21" t="s">
        <v>12</v>
      </c>
      <c r="B55" s="21"/>
      <c r="C55" s="28" t="s">
        <v>7</v>
      </c>
      <c r="D55" s="50">
        <v>7.7</v>
      </c>
      <c r="E55" s="50">
        <f t="shared" si="18"/>
        <v>7.7</v>
      </c>
      <c r="F55" s="53">
        <f t="shared" si="19"/>
        <v>0</v>
      </c>
      <c r="G55" s="50"/>
      <c r="H55" s="50"/>
      <c r="I55" s="17"/>
      <c r="J55" s="18">
        <v>7.7</v>
      </c>
      <c r="K55" s="18"/>
      <c r="L55" s="20" t="e">
        <f>K55/#REF!*100</f>
        <v>#REF!</v>
      </c>
      <c r="M55" s="20"/>
      <c r="N55" s="48"/>
      <c r="O55" s="48"/>
      <c r="P55" s="17">
        <f t="shared" si="2"/>
        <v>0</v>
      </c>
      <c r="Q55" s="20"/>
      <c r="R55" s="18">
        <f t="shared" si="4"/>
        <v>0</v>
      </c>
      <c r="S55" s="18">
        <f t="shared" si="5"/>
        <v>0</v>
      </c>
    </row>
    <row r="56" spans="1:19" ht="14.25" customHeight="1">
      <c r="A56" s="56" t="s">
        <v>39</v>
      </c>
      <c r="B56" s="54"/>
      <c r="C56" s="16" t="s">
        <v>40</v>
      </c>
      <c r="D56" s="50"/>
      <c r="E56" s="50">
        <f t="shared" si="18"/>
        <v>0</v>
      </c>
      <c r="F56" s="53">
        <f t="shared" si="19"/>
        <v>0</v>
      </c>
      <c r="G56" s="50"/>
      <c r="H56" s="50"/>
      <c r="I56" s="17"/>
      <c r="J56" s="18"/>
      <c r="K56" s="18"/>
      <c r="L56" s="20"/>
      <c r="M56" s="20"/>
      <c r="N56" s="48"/>
      <c r="O56" s="48"/>
      <c r="P56" s="17" t="e">
        <f t="shared" si="2"/>
        <v>#DIV/0!</v>
      </c>
      <c r="Q56" s="20"/>
      <c r="R56" s="18"/>
      <c r="S56" s="18"/>
    </row>
    <row r="57" spans="1:19" ht="12.75">
      <c r="A57" s="52" t="s">
        <v>1</v>
      </c>
      <c r="B57" s="52"/>
      <c r="C57" s="32" t="s">
        <v>0</v>
      </c>
      <c r="D57" s="33">
        <f>D58+D60+D59</f>
        <v>18783.7</v>
      </c>
      <c r="E57" s="33">
        <f>E58+E60+E59</f>
        <v>24163.5</v>
      </c>
      <c r="F57" s="33">
        <f aca="true" t="shared" si="20" ref="F57:P57">F58+F60+F59</f>
        <v>19291</v>
      </c>
      <c r="G57" s="33">
        <f t="shared" si="20"/>
        <v>12081.3</v>
      </c>
      <c r="H57" s="33">
        <f t="shared" si="20"/>
        <v>2235.8</v>
      </c>
      <c r="I57" s="33">
        <f t="shared" si="20"/>
        <v>4973.9</v>
      </c>
      <c r="J57" s="33">
        <f t="shared" si="20"/>
        <v>4872.5</v>
      </c>
      <c r="K57" s="33">
        <f t="shared" si="20"/>
        <v>13721.1</v>
      </c>
      <c r="L57" s="33" t="e">
        <f t="shared" si="20"/>
        <v>#REF!</v>
      </c>
      <c r="M57" s="33">
        <f t="shared" si="20"/>
        <v>275.86199963811094</v>
      </c>
      <c r="N57" s="33">
        <f t="shared" si="20"/>
        <v>0.1</v>
      </c>
      <c r="O57" s="33">
        <f t="shared" si="20"/>
        <v>0</v>
      </c>
      <c r="P57" s="33" t="e">
        <f t="shared" si="20"/>
        <v>#DIV/0!</v>
      </c>
      <c r="Q57" s="27">
        <f t="shared" si="3"/>
        <v>71.12695039137422</v>
      </c>
      <c r="R57" s="24">
        <f t="shared" si="4"/>
        <v>56.78440623254082</v>
      </c>
      <c r="S57" s="24">
        <f t="shared" si="5"/>
        <v>73.04790855901659</v>
      </c>
    </row>
    <row r="58" spans="1:19" ht="24">
      <c r="A58" s="14" t="s">
        <v>67</v>
      </c>
      <c r="B58" s="12"/>
      <c r="C58" s="34" t="s">
        <v>20</v>
      </c>
      <c r="D58" s="37">
        <v>18783.7</v>
      </c>
      <c r="E58" s="50">
        <f t="shared" si="18"/>
        <v>24163.5</v>
      </c>
      <c r="F58" s="53">
        <f>G58+H58+I58</f>
        <v>19291</v>
      </c>
      <c r="G58" s="37">
        <f>11999.8+81.5</f>
        <v>12081.3</v>
      </c>
      <c r="H58" s="37">
        <v>2235.8</v>
      </c>
      <c r="I58" s="17">
        <f>4877.2+96.7</f>
        <v>4973.9</v>
      </c>
      <c r="J58" s="17">
        <v>4872.5</v>
      </c>
      <c r="K58" s="18">
        <v>13721.1</v>
      </c>
      <c r="L58" s="20" t="e">
        <f>K58/#REF!*100</f>
        <v>#REF!</v>
      </c>
      <c r="M58" s="20">
        <f>K58/I58*100</f>
        <v>275.86199963811094</v>
      </c>
      <c r="N58" s="48">
        <v>0.1</v>
      </c>
      <c r="O58" s="48"/>
      <c r="P58" s="17">
        <f t="shared" si="2"/>
        <v>281.60287326834276</v>
      </c>
      <c r="Q58" s="20">
        <f t="shared" si="3"/>
        <v>71.12695039137422</v>
      </c>
      <c r="R58" s="18">
        <f t="shared" si="4"/>
        <v>56.78440623254082</v>
      </c>
      <c r="S58" s="18">
        <f t="shared" si="5"/>
        <v>73.04790855901659</v>
      </c>
    </row>
    <row r="59" spans="1:19" ht="12.75" hidden="1">
      <c r="A59" s="14" t="s">
        <v>2</v>
      </c>
      <c r="B59" s="14"/>
      <c r="C59" s="35" t="s">
        <v>19</v>
      </c>
      <c r="D59" s="35"/>
      <c r="E59" s="50">
        <f>G59+H59+I59+J59</f>
        <v>0</v>
      </c>
      <c r="F59" s="50">
        <f>G59</f>
        <v>0</v>
      </c>
      <c r="G59" s="37"/>
      <c r="H59" s="37"/>
      <c r="I59" s="17"/>
      <c r="J59" s="47"/>
      <c r="K59" s="18"/>
      <c r="L59" s="20"/>
      <c r="M59" s="20"/>
      <c r="N59" s="48"/>
      <c r="O59" s="48"/>
      <c r="P59" s="17"/>
      <c r="Q59" s="20" t="e">
        <f t="shared" si="3"/>
        <v>#DIV/0!</v>
      </c>
      <c r="R59" s="18" t="e">
        <f t="shared" si="4"/>
        <v>#DIV/0!</v>
      </c>
      <c r="S59" s="18" t="e">
        <f t="shared" si="5"/>
        <v>#DIV/0!</v>
      </c>
    </row>
    <row r="60" spans="1:19" ht="24" hidden="1">
      <c r="A60" s="14" t="s">
        <v>66</v>
      </c>
      <c r="B60" s="75"/>
      <c r="C60" s="19" t="s">
        <v>63</v>
      </c>
      <c r="D60" s="19"/>
      <c r="E60" s="50">
        <f t="shared" si="18"/>
        <v>0</v>
      </c>
      <c r="F60" s="50">
        <f>G60</f>
        <v>0</v>
      </c>
      <c r="G60" s="80"/>
      <c r="H60" s="80"/>
      <c r="I60" s="17"/>
      <c r="J60" s="47"/>
      <c r="K60" s="18"/>
      <c r="L60" s="20" t="e">
        <f>K60/#REF!*100</f>
        <v>#REF!</v>
      </c>
      <c r="M60" s="20"/>
      <c r="N60" s="48"/>
      <c r="O60" s="48"/>
      <c r="P60" s="17" t="e">
        <f t="shared" si="2"/>
        <v>#DIV/0!</v>
      </c>
      <c r="Q60" s="20"/>
      <c r="R60" s="18"/>
      <c r="S60" s="18" t="e">
        <f t="shared" si="5"/>
        <v>#DIV/0!</v>
      </c>
    </row>
    <row r="61" spans="1:19" ht="12.75">
      <c r="A61" s="13"/>
      <c r="B61" s="81"/>
      <c r="C61" s="82" t="s">
        <v>4</v>
      </c>
      <c r="D61" s="83">
        <f aca="true" t="shared" si="21" ref="D61:K61">D57+D46</f>
        <v>36566.8</v>
      </c>
      <c r="E61" s="83">
        <f t="shared" si="21"/>
        <v>41946.6</v>
      </c>
      <c r="F61" s="83">
        <f t="shared" si="21"/>
        <v>32211.199999999997</v>
      </c>
      <c r="G61" s="83">
        <f t="shared" si="21"/>
        <v>16433.899999999998</v>
      </c>
      <c r="H61" s="83">
        <f t="shared" si="21"/>
        <v>6512.099999999999</v>
      </c>
      <c r="I61" s="83">
        <f t="shared" si="21"/>
        <v>9265.199999999999</v>
      </c>
      <c r="J61" s="83">
        <f t="shared" si="21"/>
        <v>9735.4</v>
      </c>
      <c r="K61" s="83">
        <f t="shared" si="21"/>
        <v>25612.1</v>
      </c>
      <c r="L61" s="27" t="e">
        <f>K61/#REF!*100</f>
        <v>#REF!</v>
      </c>
      <c r="M61" s="27">
        <f>K61/I61*100</f>
        <v>276.43332038164317</v>
      </c>
      <c r="N61" s="48"/>
      <c r="O61" s="49" t="e">
        <f>J61+#REF!+#REF!</f>
        <v>#REF!</v>
      </c>
      <c r="P61" s="36">
        <f t="shared" si="2"/>
        <v>263.08215378926394</v>
      </c>
      <c r="Q61" s="27">
        <f t="shared" si="3"/>
        <v>79.51302652493543</v>
      </c>
      <c r="R61" s="24">
        <f t="shared" si="4"/>
        <v>61.05882240753721</v>
      </c>
      <c r="S61" s="24">
        <f t="shared" si="5"/>
        <v>70.04195062187557</v>
      </c>
    </row>
    <row r="62" spans="1:19" ht="12.75">
      <c r="A62" s="91"/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3"/>
      <c r="N62" s="48"/>
      <c r="O62" s="48"/>
      <c r="P62" s="47"/>
      <c r="Q62" s="27"/>
      <c r="R62" s="24"/>
      <c r="S62" s="18"/>
    </row>
    <row r="63" spans="1:19" ht="12.75">
      <c r="A63" s="88" t="s">
        <v>27</v>
      </c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90"/>
    </row>
    <row r="64" spans="1:19" ht="12.75">
      <c r="A64" s="52" t="s">
        <v>3</v>
      </c>
      <c r="B64" s="52"/>
      <c r="C64" s="71" t="s">
        <v>68</v>
      </c>
      <c r="D64" s="36">
        <f>D65+D68+D70+D72+D69+D74+D73+D67+D71+D66</f>
        <v>38555.1</v>
      </c>
      <c r="E64" s="36">
        <f>E65+E68+E70+E72+E69+E74+E73+E67+E71+E66</f>
        <v>48376.1</v>
      </c>
      <c r="F64" s="36">
        <f>F65+F68+F70+F72+F69+F74+F73+F67+F71+F66</f>
        <v>36719.7</v>
      </c>
      <c r="G64" s="36">
        <f aca="true" t="shared" si="22" ref="G64:P64">G65+G68+G70+G72+G69+G74+G73+G67+G71+G66</f>
        <v>8823</v>
      </c>
      <c r="H64" s="36">
        <f t="shared" si="22"/>
        <v>9359.2</v>
      </c>
      <c r="I64" s="36">
        <f t="shared" si="22"/>
        <v>18537.5</v>
      </c>
      <c r="J64" s="36">
        <f t="shared" si="22"/>
        <v>11656.4</v>
      </c>
      <c r="K64" s="36">
        <f t="shared" si="22"/>
        <v>20201.300000000003</v>
      </c>
      <c r="L64" s="36" t="e">
        <f t="shared" si="22"/>
        <v>#REF!</v>
      </c>
      <c r="M64" s="36">
        <f t="shared" si="22"/>
        <v>2195.5600624699364</v>
      </c>
      <c r="N64" s="36">
        <f t="shared" si="22"/>
        <v>0</v>
      </c>
      <c r="O64" s="36">
        <f t="shared" si="22"/>
        <v>0</v>
      </c>
      <c r="P64" s="36" t="e">
        <f t="shared" si="22"/>
        <v>#DIV/0!</v>
      </c>
      <c r="Q64" s="27">
        <f t="shared" si="3"/>
        <v>55.01488301919679</v>
      </c>
      <c r="R64" s="24">
        <f t="shared" si="4"/>
        <v>41.75884372655093</v>
      </c>
      <c r="S64" s="24">
        <f t="shared" si="5"/>
        <v>52.395921680919</v>
      </c>
    </row>
    <row r="65" spans="1:19" ht="12.75">
      <c r="A65" s="12" t="s">
        <v>23</v>
      </c>
      <c r="B65" s="12"/>
      <c r="C65" s="73" t="s">
        <v>22</v>
      </c>
      <c r="D65" s="53">
        <v>18720</v>
      </c>
      <c r="E65" s="50">
        <f>G65+H65+I65+J65</f>
        <v>18720</v>
      </c>
      <c r="F65" s="53">
        <f>G65+H65+I65</f>
        <v>13857</v>
      </c>
      <c r="G65" s="84">
        <v>4530</v>
      </c>
      <c r="H65" s="84">
        <v>4580</v>
      </c>
      <c r="I65" s="20">
        <v>4747</v>
      </c>
      <c r="J65" s="20">
        <v>4863</v>
      </c>
      <c r="K65" s="20">
        <v>10998.9</v>
      </c>
      <c r="L65" s="20" t="e">
        <f>K65/#REF!*100</f>
        <v>#REF!</v>
      </c>
      <c r="M65" s="20">
        <f aca="true" t="shared" si="23" ref="M65:M72">K65/I65*100</f>
        <v>231.70212765957444</v>
      </c>
      <c r="N65" s="48"/>
      <c r="O65" s="48"/>
      <c r="P65" s="20">
        <f t="shared" si="2"/>
        <v>226.1752004935225</v>
      </c>
      <c r="Q65" s="20">
        <f t="shared" si="3"/>
        <v>79.37432344663347</v>
      </c>
      <c r="R65" s="18">
        <f t="shared" si="4"/>
        <v>58.75480769230769</v>
      </c>
      <c r="S65" s="18">
        <f t="shared" si="5"/>
        <v>58.75480769230769</v>
      </c>
    </row>
    <row r="66" spans="1:19" ht="12.75">
      <c r="A66" s="12" t="s">
        <v>70</v>
      </c>
      <c r="B66" s="12"/>
      <c r="C66" s="28" t="s">
        <v>71</v>
      </c>
      <c r="D66" s="50">
        <v>5209.6</v>
      </c>
      <c r="E66" s="50">
        <f>G66+H66+I66+J66</f>
        <v>5209.6</v>
      </c>
      <c r="F66" s="53">
        <f aca="true" t="shared" si="24" ref="F66:F74">G66+H66+I66</f>
        <v>3904.2</v>
      </c>
      <c r="G66" s="84">
        <v>1295.1</v>
      </c>
      <c r="H66" s="84">
        <v>1264</v>
      </c>
      <c r="I66" s="20">
        <v>1345.1</v>
      </c>
      <c r="J66" s="20">
        <v>1305.4</v>
      </c>
      <c r="K66" s="20">
        <v>3345</v>
      </c>
      <c r="L66" s="20"/>
      <c r="M66" s="20"/>
      <c r="N66" s="48"/>
      <c r="O66" s="48"/>
      <c r="P66" s="20"/>
      <c r="Q66" s="20">
        <f>K66*100/F66</f>
        <v>85.67696327032426</v>
      </c>
      <c r="R66" s="18">
        <f>K66*100/E66</f>
        <v>64.20838452088452</v>
      </c>
      <c r="S66" s="18">
        <f t="shared" si="5"/>
        <v>64.20838452088452</v>
      </c>
    </row>
    <row r="67" spans="1:19" ht="12.75">
      <c r="A67" s="12" t="s">
        <v>8</v>
      </c>
      <c r="B67" s="12"/>
      <c r="C67" s="28" t="s">
        <v>5</v>
      </c>
      <c r="D67" s="50">
        <v>47</v>
      </c>
      <c r="E67" s="50">
        <f aca="true" t="shared" si="25" ref="E67:E77">G67+H67+I67+J67</f>
        <v>82.3</v>
      </c>
      <c r="F67" s="53">
        <f t="shared" si="24"/>
        <v>70.5</v>
      </c>
      <c r="G67" s="37">
        <v>11.7</v>
      </c>
      <c r="H67" s="37">
        <v>47.1</v>
      </c>
      <c r="I67" s="17">
        <v>11.7</v>
      </c>
      <c r="J67" s="17">
        <v>11.8</v>
      </c>
      <c r="K67" s="17">
        <v>82.4</v>
      </c>
      <c r="L67" s="20" t="e">
        <f>K67/#REF!*100</f>
        <v>#REF!</v>
      </c>
      <c r="M67" s="20">
        <f t="shared" si="23"/>
        <v>704.2735042735044</v>
      </c>
      <c r="N67" s="48"/>
      <c r="O67" s="48"/>
      <c r="P67" s="17">
        <f t="shared" si="2"/>
        <v>698.3050847457627</v>
      </c>
      <c r="Q67" s="20">
        <f t="shared" si="3"/>
        <v>116.87943262411348</v>
      </c>
      <c r="R67" s="18">
        <f t="shared" si="4"/>
        <v>100.12150668286756</v>
      </c>
      <c r="S67" s="18">
        <f t="shared" si="5"/>
        <v>175.31914893617022</v>
      </c>
    </row>
    <row r="68" spans="1:19" ht="12.75">
      <c r="A68" s="12" t="s">
        <v>9</v>
      </c>
      <c r="B68" s="12"/>
      <c r="C68" s="28" t="s">
        <v>6</v>
      </c>
      <c r="D68" s="50">
        <v>7580</v>
      </c>
      <c r="E68" s="50">
        <f t="shared" si="25"/>
        <v>7580</v>
      </c>
      <c r="F68" s="53">
        <f t="shared" si="24"/>
        <v>3910</v>
      </c>
      <c r="G68" s="37">
        <v>1260</v>
      </c>
      <c r="H68" s="37">
        <v>980</v>
      </c>
      <c r="I68" s="17">
        <v>1670</v>
      </c>
      <c r="J68" s="17">
        <v>3670</v>
      </c>
      <c r="K68" s="17">
        <v>1463</v>
      </c>
      <c r="L68" s="20" t="e">
        <f>K68/#REF!*100</f>
        <v>#REF!</v>
      </c>
      <c r="M68" s="20">
        <f t="shared" si="23"/>
        <v>87.60479041916169</v>
      </c>
      <c r="N68" s="48"/>
      <c r="O68" s="48"/>
      <c r="P68" s="17">
        <f t="shared" si="2"/>
        <v>39.86376021798365</v>
      </c>
      <c r="Q68" s="20">
        <f t="shared" si="3"/>
        <v>37.41687979539642</v>
      </c>
      <c r="R68" s="18">
        <f t="shared" si="4"/>
        <v>19.30079155672823</v>
      </c>
      <c r="S68" s="18">
        <f t="shared" si="5"/>
        <v>19.30079155672823</v>
      </c>
    </row>
    <row r="69" spans="1:19" ht="18.75" customHeight="1">
      <c r="A69" s="12" t="s">
        <v>10</v>
      </c>
      <c r="B69" s="12"/>
      <c r="C69" s="28" t="s">
        <v>21</v>
      </c>
      <c r="D69" s="50">
        <v>16</v>
      </c>
      <c r="E69" s="50">
        <f t="shared" si="25"/>
        <v>71.2</v>
      </c>
      <c r="F69" s="53">
        <f t="shared" si="24"/>
        <v>71.2</v>
      </c>
      <c r="G69" s="37">
        <v>1</v>
      </c>
      <c r="H69" s="37">
        <v>61.2</v>
      </c>
      <c r="I69" s="17">
        <v>9</v>
      </c>
      <c r="J69" s="17"/>
      <c r="K69" s="17">
        <v>60.8</v>
      </c>
      <c r="L69" s="20"/>
      <c r="M69" s="20">
        <f t="shared" si="23"/>
        <v>675.5555555555555</v>
      </c>
      <c r="N69" s="48"/>
      <c r="O69" s="48"/>
      <c r="P69" s="17" t="e">
        <f t="shared" si="2"/>
        <v>#DIV/0!</v>
      </c>
      <c r="Q69" s="20">
        <f>K69*100/F69</f>
        <v>85.39325842696628</v>
      </c>
      <c r="R69" s="18">
        <f>K69*100/E69</f>
        <v>85.39325842696628</v>
      </c>
      <c r="S69" s="18">
        <f t="shared" si="5"/>
        <v>380</v>
      </c>
    </row>
    <row r="70" spans="1:19" ht="24">
      <c r="A70" s="13" t="s">
        <v>11</v>
      </c>
      <c r="B70" s="13"/>
      <c r="C70" s="28" t="s">
        <v>17</v>
      </c>
      <c r="D70" s="50">
        <v>6807.5</v>
      </c>
      <c r="E70" s="50">
        <f t="shared" si="25"/>
        <v>7507.5</v>
      </c>
      <c r="F70" s="53">
        <f t="shared" si="24"/>
        <v>5745.8</v>
      </c>
      <c r="G70" s="37">
        <v>1681.7</v>
      </c>
      <c r="H70" s="37">
        <v>2381.9</v>
      </c>
      <c r="I70" s="17">
        <v>1682.2</v>
      </c>
      <c r="J70" s="17">
        <v>1761.7</v>
      </c>
      <c r="K70" s="17">
        <v>4122.5</v>
      </c>
      <c r="L70" s="20" t="e">
        <f>K70/#REF!*100</f>
        <v>#REF!</v>
      </c>
      <c r="M70" s="20">
        <f t="shared" si="23"/>
        <v>245.06598501961716</v>
      </c>
      <c r="N70" s="48"/>
      <c r="O70" s="48"/>
      <c r="P70" s="17">
        <f t="shared" si="2"/>
        <v>234.00692512913662</v>
      </c>
      <c r="Q70" s="20">
        <f t="shared" si="3"/>
        <v>71.74805945212155</v>
      </c>
      <c r="R70" s="18">
        <f t="shared" si="4"/>
        <v>54.91175491175491</v>
      </c>
      <c r="S70" s="18">
        <f t="shared" si="5"/>
        <v>60.55820785897907</v>
      </c>
    </row>
    <row r="71" spans="1:19" ht="14.25" customHeight="1">
      <c r="A71" s="30" t="s">
        <v>42</v>
      </c>
      <c r="B71" s="30"/>
      <c r="C71" s="28" t="s">
        <v>43</v>
      </c>
      <c r="D71" s="50"/>
      <c r="E71" s="50">
        <f t="shared" si="25"/>
        <v>2.5</v>
      </c>
      <c r="F71" s="53">
        <f t="shared" si="24"/>
        <v>2.5</v>
      </c>
      <c r="G71" s="37"/>
      <c r="H71" s="37">
        <v>1.5</v>
      </c>
      <c r="I71" s="17">
        <v>1</v>
      </c>
      <c r="J71" s="17"/>
      <c r="K71" s="17">
        <v>2.5</v>
      </c>
      <c r="L71" s="20" t="e">
        <f>K71/#REF!*100</f>
        <v>#REF!</v>
      </c>
      <c r="M71" s="20">
        <f t="shared" si="23"/>
        <v>250</v>
      </c>
      <c r="N71" s="48"/>
      <c r="O71" s="48"/>
      <c r="P71" s="17" t="e">
        <f t="shared" si="2"/>
        <v>#DIV/0!</v>
      </c>
      <c r="Q71" s="20"/>
      <c r="R71" s="18"/>
      <c r="S71" s="18"/>
    </row>
    <row r="72" spans="1:19" ht="12.75">
      <c r="A72" s="29" t="s">
        <v>18</v>
      </c>
      <c r="B72" s="29"/>
      <c r="C72" s="28" t="s">
        <v>15</v>
      </c>
      <c r="D72" s="50">
        <v>175</v>
      </c>
      <c r="E72" s="50">
        <f t="shared" si="25"/>
        <v>9203</v>
      </c>
      <c r="F72" s="53">
        <f t="shared" si="24"/>
        <v>9158.5</v>
      </c>
      <c r="G72" s="37">
        <v>43.5</v>
      </c>
      <c r="H72" s="37">
        <v>43.5</v>
      </c>
      <c r="I72" s="17">
        <v>9071.5</v>
      </c>
      <c r="J72" s="17">
        <v>44.5</v>
      </c>
      <c r="K72" s="17">
        <v>123.2</v>
      </c>
      <c r="L72" s="20" t="e">
        <f>K72/#REF!*100</f>
        <v>#REF!</v>
      </c>
      <c r="M72" s="20">
        <f t="shared" si="23"/>
        <v>1.3580995425232871</v>
      </c>
      <c r="N72" s="48"/>
      <c r="O72" s="48"/>
      <c r="P72" s="17">
        <f t="shared" si="2"/>
        <v>276.85393258426967</v>
      </c>
      <c r="Q72" s="20">
        <f t="shared" si="3"/>
        <v>1.3451984495277611</v>
      </c>
      <c r="R72" s="18">
        <f t="shared" si="4"/>
        <v>1.3386939041616863</v>
      </c>
      <c r="S72" s="18">
        <f t="shared" si="5"/>
        <v>70.4</v>
      </c>
    </row>
    <row r="73" spans="1:19" ht="12.75" customHeight="1">
      <c r="A73" s="21" t="s">
        <v>12</v>
      </c>
      <c r="B73" s="21"/>
      <c r="C73" s="28" t="s">
        <v>7</v>
      </c>
      <c r="D73" s="50"/>
      <c r="E73" s="50">
        <f t="shared" si="25"/>
        <v>0</v>
      </c>
      <c r="F73" s="53">
        <f t="shared" si="24"/>
        <v>0</v>
      </c>
      <c r="G73" s="37"/>
      <c r="H73" s="37"/>
      <c r="I73" s="17"/>
      <c r="J73" s="17"/>
      <c r="K73" s="17">
        <v>3</v>
      </c>
      <c r="L73" s="20"/>
      <c r="M73" s="20"/>
      <c r="N73" s="48"/>
      <c r="O73" s="48"/>
      <c r="P73" s="17" t="e">
        <f t="shared" si="2"/>
        <v>#DIV/0!</v>
      </c>
      <c r="Q73" s="20"/>
      <c r="R73" s="18"/>
      <c r="S73" s="18"/>
    </row>
    <row r="74" spans="1:19" ht="12.75">
      <c r="A74" s="31" t="s">
        <v>39</v>
      </c>
      <c r="B74" s="54"/>
      <c r="C74" s="16" t="s">
        <v>40</v>
      </c>
      <c r="D74" s="50"/>
      <c r="E74" s="50">
        <f t="shared" si="25"/>
        <v>0</v>
      </c>
      <c r="F74" s="53">
        <f t="shared" si="24"/>
        <v>0</v>
      </c>
      <c r="G74" s="37"/>
      <c r="H74" s="37"/>
      <c r="I74" s="17"/>
      <c r="J74" s="17"/>
      <c r="K74" s="17"/>
      <c r="L74" s="20"/>
      <c r="M74" s="20"/>
      <c r="N74" s="48"/>
      <c r="O74" s="48"/>
      <c r="P74" s="17" t="e">
        <f t="shared" si="2"/>
        <v>#DIV/0!</v>
      </c>
      <c r="Q74" s="20"/>
      <c r="R74" s="18"/>
      <c r="S74" s="18"/>
    </row>
    <row r="75" spans="1:19" ht="12.75">
      <c r="A75" s="25" t="s">
        <v>1</v>
      </c>
      <c r="B75" s="25"/>
      <c r="C75" s="32" t="s">
        <v>0</v>
      </c>
      <c r="D75" s="33">
        <f aca="true" t="shared" si="26" ref="D75:K75">D76+D77</f>
        <v>21593.7</v>
      </c>
      <c r="E75" s="33">
        <f t="shared" si="26"/>
        <v>36999.899999999994</v>
      </c>
      <c r="F75" s="33">
        <f t="shared" si="26"/>
        <v>31978.199999999997</v>
      </c>
      <c r="G75" s="33">
        <f t="shared" si="26"/>
        <v>15097.4</v>
      </c>
      <c r="H75" s="33">
        <f t="shared" si="26"/>
        <v>11021.4</v>
      </c>
      <c r="I75" s="33">
        <f t="shared" si="26"/>
        <v>5859.4</v>
      </c>
      <c r="J75" s="33">
        <f t="shared" si="26"/>
        <v>5021.7</v>
      </c>
      <c r="K75" s="33">
        <f t="shared" si="26"/>
        <v>15364.4</v>
      </c>
      <c r="L75" s="27" t="e">
        <f>K75/#REF!*100</f>
        <v>#REF!</v>
      </c>
      <c r="M75" s="27">
        <f>K75/I75*100</f>
        <v>262.217974536642</v>
      </c>
      <c r="N75" s="48"/>
      <c r="O75" s="48"/>
      <c r="P75" s="36">
        <f t="shared" si="2"/>
        <v>305.9601330226816</v>
      </c>
      <c r="Q75" s="27">
        <f t="shared" si="3"/>
        <v>48.046481665634715</v>
      </c>
      <c r="R75" s="24">
        <f t="shared" si="4"/>
        <v>41.52551763653416</v>
      </c>
      <c r="S75" s="24">
        <f aca="true" t="shared" si="27" ref="S75:S137">K75*100/D75</f>
        <v>71.15223421646128</v>
      </c>
    </row>
    <row r="76" spans="1:19" ht="24">
      <c r="A76" s="14" t="s">
        <v>67</v>
      </c>
      <c r="B76" s="12"/>
      <c r="C76" s="34" t="s">
        <v>20</v>
      </c>
      <c r="D76" s="37">
        <v>21593.7</v>
      </c>
      <c r="E76" s="50">
        <f t="shared" si="25"/>
        <v>36969.899999999994</v>
      </c>
      <c r="F76" s="53">
        <f>G76+H76+I76</f>
        <v>31948.199999999997</v>
      </c>
      <c r="G76" s="37">
        <f>15005.1+92.3</f>
        <v>15097.4</v>
      </c>
      <c r="H76" s="37">
        <v>10996.4</v>
      </c>
      <c r="I76" s="17">
        <f>5775.2+79.2</f>
        <v>5854.4</v>
      </c>
      <c r="J76" s="18">
        <v>5021.7</v>
      </c>
      <c r="K76" s="18">
        <v>15334.4</v>
      </c>
      <c r="L76" s="20" t="e">
        <f>K76/#REF!*100</f>
        <v>#REF!</v>
      </c>
      <c r="M76" s="20">
        <f>K76/I76*100</f>
        <v>261.92948893140203</v>
      </c>
      <c r="N76" s="48"/>
      <c r="O76" s="48"/>
      <c r="P76" s="17">
        <f t="shared" si="2"/>
        <v>305.3627257701575</v>
      </c>
      <c r="Q76" s="20">
        <f t="shared" si="3"/>
        <v>47.997696270838425</v>
      </c>
      <c r="R76" s="18">
        <f t="shared" si="4"/>
        <v>41.478067292581265</v>
      </c>
      <c r="S76" s="18">
        <f t="shared" si="27"/>
        <v>71.01330480649449</v>
      </c>
    </row>
    <row r="77" spans="1:19" ht="23.25" customHeight="1">
      <c r="A77" s="14" t="s">
        <v>2</v>
      </c>
      <c r="B77" s="14"/>
      <c r="C77" s="35" t="s">
        <v>19</v>
      </c>
      <c r="D77" s="55"/>
      <c r="E77" s="50">
        <f t="shared" si="25"/>
        <v>30</v>
      </c>
      <c r="F77" s="53">
        <f>G77+H77+I77</f>
        <v>30</v>
      </c>
      <c r="G77" s="80"/>
      <c r="H77" s="80">
        <v>25</v>
      </c>
      <c r="I77" s="17">
        <v>5</v>
      </c>
      <c r="J77" s="18"/>
      <c r="K77" s="18">
        <v>30</v>
      </c>
      <c r="L77" s="20" t="e">
        <f>K77/#REF!*100</f>
        <v>#REF!</v>
      </c>
      <c r="M77" s="20"/>
      <c r="N77" s="48"/>
      <c r="O77" s="48"/>
      <c r="P77" s="17" t="e">
        <f t="shared" si="2"/>
        <v>#DIV/0!</v>
      </c>
      <c r="Q77" s="27"/>
      <c r="R77" s="24"/>
      <c r="S77" s="18"/>
    </row>
    <row r="78" spans="1:19" ht="12.75">
      <c r="A78" s="21"/>
      <c r="B78" s="22"/>
      <c r="C78" s="23" t="s">
        <v>4</v>
      </c>
      <c r="D78" s="24">
        <f aca="true" t="shared" si="28" ref="D78:L78">D75+D64</f>
        <v>60148.8</v>
      </c>
      <c r="E78" s="24">
        <f t="shared" si="28"/>
        <v>85376</v>
      </c>
      <c r="F78" s="24">
        <f t="shared" si="28"/>
        <v>68697.9</v>
      </c>
      <c r="G78" s="24">
        <f t="shared" si="28"/>
        <v>23920.4</v>
      </c>
      <c r="H78" s="24">
        <f t="shared" si="28"/>
        <v>20380.6</v>
      </c>
      <c r="I78" s="24">
        <f t="shared" si="28"/>
        <v>24396.9</v>
      </c>
      <c r="J78" s="24">
        <f t="shared" si="28"/>
        <v>16678.1</v>
      </c>
      <c r="K78" s="24">
        <f t="shared" si="28"/>
        <v>35565.700000000004</v>
      </c>
      <c r="L78" s="24" t="e">
        <f t="shared" si="28"/>
        <v>#REF!</v>
      </c>
      <c r="M78" s="27">
        <f>K78/I78*100</f>
        <v>145.7795867507757</v>
      </c>
      <c r="N78" s="48"/>
      <c r="O78" s="49" t="e">
        <f>J78+#REF!+#REF!</f>
        <v>#REF!</v>
      </c>
      <c r="P78" s="36">
        <f t="shared" si="2"/>
        <v>213.2479119324144</v>
      </c>
      <c r="Q78" s="27">
        <f t="shared" si="3"/>
        <v>51.77116039937175</v>
      </c>
      <c r="R78" s="24">
        <f t="shared" si="4"/>
        <v>41.657725824587715</v>
      </c>
      <c r="S78" s="24">
        <f t="shared" si="27"/>
        <v>59.12952544356663</v>
      </c>
    </row>
    <row r="79" spans="1:19" ht="12.75">
      <c r="A79" s="91"/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3"/>
      <c r="N79" s="48"/>
      <c r="O79" s="48"/>
      <c r="P79" s="47"/>
      <c r="Q79" s="27"/>
      <c r="R79" s="24"/>
      <c r="S79" s="18"/>
    </row>
    <row r="80" spans="1:19" ht="12.75">
      <c r="A80" s="88" t="s">
        <v>28</v>
      </c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90"/>
    </row>
    <row r="81" spans="1:19" ht="12.75">
      <c r="A81" s="25" t="s">
        <v>3</v>
      </c>
      <c r="B81" s="25"/>
      <c r="C81" s="26" t="s">
        <v>68</v>
      </c>
      <c r="D81" s="27">
        <f aca="true" t="shared" si="29" ref="D81:J81">D82+D84+D85+D86+D87+D88+D89+D90+D91+D83</f>
        <v>33870.6</v>
      </c>
      <c r="E81" s="27">
        <f t="shared" si="29"/>
        <v>34216.6</v>
      </c>
      <c r="F81" s="27">
        <f t="shared" si="29"/>
        <v>24585.699999999997</v>
      </c>
      <c r="G81" s="27">
        <f t="shared" si="29"/>
        <v>8329.9</v>
      </c>
      <c r="H81" s="27">
        <f t="shared" si="29"/>
        <v>8358.6</v>
      </c>
      <c r="I81" s="27">
        <f t="shared" si="29"/>
        <v>7897.2</v>
      </c>
      <c r="J81" s="27">
        <f t="shared" si="29"/>
        <v>9630.9</v>
      </c>
      <c r="K81" s="27">
        <f>K82+K84+K85+K86+K87+K88+K89+K90+K91+K83+0.1</f>
        <v>23036.299999999996</v>
      </c>
      <c r="L81" s="27" t="e">
        <f>K81/#REF!*100</f>
        <v>#REF!</v>
      </c>
      <c r="M81" s="27">
        <f>K81/I81*100</f>
        <v>291.7021222711847</v>
      </c>
      <c r="N81" s="48"/>
      <c r="O81" s="48"/>
      <c r="P81" s="27">
        <f t="shared" si="2"/>
        <v>239.19156049798042</v>
      </c>
      <c r="Q81" s="27">
        <f aca="true" t="shared" si="30" ref="Q81:Q149">K81*100/F81</f>
        <v>93.69796263681732</v>
      </c>
      <c r="R81" s="24">
        <f aca="true" t="shared" si="31" ref="R81:R149">K81*100/E81</f>
        <v>67.32492415961842</v>
      </c>
      <c r="S81" s="24">
        <f t="shared" si="27"/>
        <v>68.01267175662667</v>
      </c>
    </row>
    <row r="82" spans="1:19" ht="13.5" customHeight="1">
      <c r="A82" s="21" t="s">
        <v>23</v>
      </c>
      <c r="B82" s="21"/>
      <c r="C82" s="28" t="s">
        <v>22</v>
      </c>
      <c r="D82" s="50">
        <v>20750</v>
      </c>
      <c r="E82" s="50">
        <f>G82+H82+I82+J82</f>
        <v>21096</v>
      </c>
      <c r="F82" s="53">
        <f>G82+H82+I82</f>
        <v>16336</v>
      </c>
      <c r="G82" s="37">
        <v>5840</v>
      </c>
      <c r="H82" s="37">
        <v>5496</v>
      </c>
      <c r="I82" s="17">
        <v>5000</v>
      </c>
      <c r="J82" s="17">
        <v>4760</v>
      </c>
      <c r="K82" s="18">
        <v>14722.9</v>
      </c>
      <c r="L82" s="20" t="e">
        <f>K82/#REF!*100</f>
        <v>#REF!</v>
      </c>
      <c r="M82" s="20">
        <f>K82/I82*100</f>
        <v>294.45799999999997</v>
      </c>
      <c r="N82" s="48"/>
      <c r="O82" s="48"/>
      <c r="P82" s="17">
        <f aca="true" t="shared" si="32" ref="P82:P154">K82*100/J82</f>
        <v>309.3046218487395</v>
      </c>
      <c r="Q82" s="20">
        <f t="shared" si="30"/>
        <v>90.12548971596475</v>
      </c>
      <c r="R82" s="18">
        <f t="shared" si="31"/>
        <v>69.79000758437618</v>
      </c>
      <c r="S82" s="18">
        <f t="shared" si="27"/>
        <v>70.95373493975903</v>
      </c>
    </row>
    <row r="83" spans="1:19" ht="15.75" customHeight="1">
      <c r="A83" s="12" t="s">
        <v>70</v>
      </c>
      <c r="B83" s="12"/>
      <c r="C83" s="28" t="s">
        <v>71</v>
      </c>
      <c r="D83" s="50">
        <v>4231.6</v>
      </c>
      <c r="E83" s="50">
        <f>G83+H83+I83+J83</f>
        <v>4231.6</v>
      </c>
      <c r="F83" s="53">
        <f aca="true" t="shared" si="33" ref="F83:F91">G83+H83+I83</f>
        <v>3095.1000000000004</v>
      </c>
      <c r="G83" s="37">
        <v>954.9</v>
      </c>
      <c r="H83" s="37">
        <v>985</v>
      </c>
      <c r="I83" s="17">
        <v>1155.2</v>
      </c>
      <c r="J83" s="17">
        <v>1136.5</v>
      </c>
      <c r="K83" s="18">
        <v>2717</v>
      </c>
      <c r="L83" s="20"/>
      <c r="M83" s="20"/>
      <c r="N83" s="48"/>
      <c r="O83" s="48"/>
      <c r="P83" s="17"/>
      <c r="Q83" s="20">
        <f>K83*100/F83</f>
        <v>87.78391651319826</v>
      </c>
      <c r="R83" s="18">
        <f>K83*100/E83</f>
        <v>64.20739200302485</v>
      </c>
      <c r="S83" s="18">
        <f t="shared" si="27"/>
        <v>64.20739200302485</v>
      </c>
    </row>
    <row r="84" spans="1:19" ht="15" customHeight="1" hidden="1">
      <c r="A84" s="12" t="s">
        <v>8</v>
      </c>
      <c r="B84" s="12"/>
      <c r="C84" s="28" t="s">
        <v>5</v>
      </c>
      <c r="D84" s="50"/>
      <c r="E84" s="50">
        <f aca="true" t="shared" si="34" ref="E84:E91">G84+H84+I84+J84</f>
        <v>0</v>
      </c>
      <c r="F84" s="53">
        <f t="shared" si="33"/>
        <v>0</v>
      </c>
      <c r="G84" s="37"/>
      <c r="H84" s="37"/>
      <c r="I84" s="17"/>
      <c r="J84" s="17"/>
      <c r="K84" s="18"/>
      <c r="L84" s="20"/>
      <c r="M84" s="20"/>
      <c r="N84" s="48"/>
      <c r="O84" s="48"/>
      <c r="P84" s="17" t="e">
        <f t="shared" si="32"/>
        <v>#DIV/0!</v>
      </c>
      <c r="Q84" s="20" t="e">
        <f>K84*100/F84</f>
        <v>#DIV/0!</v>
      </c>
      <c r="R84" s="18" t="e">
        <f>K84*100/E84</f>
        <v>#DIV/0!</v>
      </c>
      <c r="S84" s="18" t="e">
        <f t="shared" si="27"/>
        <v>#DIV/0!</v>
      </c>
    </row>
    <row r="85" spans="1:19" ht="12.75">
      <c r="A85" s="12" t="s">
        <v>9</v>
      </c>
      <c r="B85" s="12"/>
      <c r="C85" s="28" t="s">
        <v>6</v>
      </c>
      <c r="D85" s="50">
        <v>2145</v>
      </c>
      <c r="E85" s="50">
        <f t="shared" si="34"/>
        <v>2145</v>
      </c>
      <c r="F85" s="53">
        <f t="shared" si="33"/>
        <v>1054</v>
      </c>
      <c r="G85" s="37">
        <v>375</v>
      </c>
      <c r="H85" s="37">
        <v>460</v>
      </c>
      <c r="I85" s="17">
        <v>219</v>
      </c>
      <c r="J85" s="17">
        <v>1091</v>
      </c>
      <c r="K85" s="18">
        <v>815.3</v>
      </c>
      <c r="L85" s="20" t="e">
        <f>K85/#REF!*100</f>
        <v>#REF!</v>
      </c>
      <c r="M85" s="20">
        <f>K85/I85*100</f>
        <v>372.283105022831</v>
      </c>
      <c r="N85" s="48"/>
      <c r="O85" s="48"/>
      <c r="P85" s="17">
        <f t="shared" si="32"/>
        <v>74.72960586617782</v>
      </c>
      <c r="Q85" s="20">
        <f t="shared" si="30"/>
        <v>77.3529411764706</v>
      </c>
      <c r="R85" s="18">
        <f t="shared" si="31"/>
        <v>38.00932400932401</v>
      </c>
      <c r="S85" s="18">
        <f t="shared" si="27"/>
        <v>38.00932400932401</v>
      </c>
    </row>
    <row r="86" spans="1:19" ht="12.75" hidden="1">
      <c r="A86" s="12" t="s">
        <v>10</v>
      </c>
      <c r="B86" s="12"/>
      <c r="C86" s="28" t="s">
        <v>21</v>
      </c>
      <c r="D86" s="50"/>
      <c r="E86" s="50">
        <f t="shared" si="34"/>
        <v>0</v>
      </c>
      <c r="F86" s="53">
        <f t="shared" si="33"/>
        <v>0</v>
      </c>
      <c r="G86" s="37"/>
      <c r="H86" s="37"/>
      <c r="I86" s="17"/>
      <c r="J86" s="17"/>
      <c r="K86" s="18"/>
      <c r="L86" s="20"/>
      <c r="M86" s="20"/>
      <c r="N86" s="48"/>
      <c r="O86" s="48"/>
      <c r="P86" s="17" t="e">
        <f t="shared" si="32"/>
        <v>#DIV/0!</v>
      </c>
      <c r="Q86" s="20" t="e">
        <f t="shared" si="30"/>
        <v>#DIV/0!</v>
      </c>
      <c r="R86" s="18" t="e">
        <f t="shared" si="31"/>
        <v>#DIV/0!</v>
      </c>
      <c r="S86" s="18" t="e">
        <f t="shared" si="27"/>
        <v>#DIV/0!</v>
      </c>
    </row>
    <row r="87" spans="1:19" ht="24">
      <c r="A87" s="13" t="s">
        <v>11</v>
      </c>
      <c r="B87" s="13"/>
      <c r="C87" s="28" t="s">
        <v>17</v>
      </c>
      <c r="D87" s="50">
        <v>6132.5</v>
      </c>
      <c r="E87" s="50">
        <f t="shared" si="34"/>
        <v>6132.5</v>
      </c>
      <c r="F87" s="53">
        <f t="shared" si="33"/>
        <v>3772.6</v>
      </c>
      <c r="G87" s="37">
        <v>1040</v>
      </c>
      <c r="H87" s="37">
        <v>1273.6</v>
      </c>
      <c r="I87" s="17">
        <v>1459</v>
      </c>
      <c r="J87" s="17">
        <v>2359.9</v>
      </c>
      <c r="K87" s="18">
        <v>4120.9</v>
      </c>
      <c r="L87" s="20" t="e">
        <f>K87/#REF!*100</f>
        <v>#REF!</v>
      </c>
      <c r="M87" s="20">
        <f>K87/I87*100</f>
        <v>282.446881425634</v>
      </c>
      <c r="N87" s="48"/>
      <c r="O87" s="48"/>
      <c r="P87" s="17">
        <f t="shared" si="32"/>
        <v>174.62180600872915</v>
      </c>
      <c r="Q87" s="20">
        <f t="shared" si="30"/>
        <v>109.23235964586756</v>
      </c>
      <c r="R87" s="18">
        <f t="shared" si="31"/>
        <v>67.19771708112515</v>
      </c>
      <c r="S87" s="18">
        <f t="shared" si="27"/>
        <v>67.19771708112515</v>
      </c>
    </row>
    <row r="88" spans="1:19" ht="12.75">
      <c r="A88" s="30" t="s">
        <v>42</v>
      </c>
      <c r="B88" s="30"/>
      <c r="C88" s="28" t="s">
        <v>43</v>
      </c>
      <c r="D88" s="50">
        <v>479</v>
      </c>
      <c r="E88" s="50">
        <f t="shared" si="34"/>
        <v>479</v>
      </c>
      <c r="F88" s="53">
        <f t="shared" si="33"/>
        <v>279</v>
      </c>
      <c r="G88" s="37">
        <v>110</v>
      </c>
      <c r="H88" s="37">
        <v>119</v>
      </c>
      <c r="I88" s="17">
        <v>50</v>
      </c>
      <c r="J88" s="17">
        <v>200</v>
      </c>
      <c r="K88" s="18">
        <v>320.5</v>
      </c>
      <c r="L88" s="20" t="e">
        <f>K88/#REF!*100</f>
        <v>#REF!</v>
      </c>
      <c r="M88" s="20">
        <f>K88/I88*100</f>
        <v>641</v>
      </c>
      <c r="N88" s="48"/>
      <c r="O88" s="48"/>
      <c r="P88" s="17">
        <f t="shared" si="32"/>
        <v>160.25</v>
      </c>
      <c r="Q88" s="20">
        <f t="shared" si="30"/>
        <v>114.87455197132617</v>
      </c>
      <c r="R88" s="18">
        <f t="shared" si="31"/>
        <v>66.91022964509395</v>
      </c>
      <c r="S88" s="18">
        <f t="shared" si="27"/>
        <v>66.91022964509395</v>
      </c>
    </row>
    <row r="89" spans="1:19" ht="12.75">
      <c r="A89" s="29" t="s">
        <v>18</v>
      </c>
      <c r="B89" s="29"/>
      <c r="C89" s="28" t="s">
        <v>15</v>
      </c>
      <c r="D89" s="50">
        <v>132.5</v>
      </c>
      <c r="E89" s="50">
        <f t="shared" si="34"/>
        <v>132.5</v>
      </c>
      <c r="F89" s="53">
        <f t="shared" si="33"/>
        <v>49</v>
      </c>
      <c r="G89" s="37">
        <v>10</v>
      </c>
      <c r="H89" s="37">
        <v>25</v>
      </c>
      <c r="I89" s="17">
        <v>14</v>
      </c>
      <c r="J89" s="17">
        <v>83.5</v>
      </c>
      <c r="K89" s="18">
        <v>118.1</v>
      </c>
      <c r="L89" s="20" t="e">
        <f>K89/#REF!*100</f>
        <v>#REF!</v>
      </c>
      <c r="M89" s="20">
        <f>K89/I89*100</f>
        <v>843.5714285714286</v>
      </c>
      <c r="N89" s="48"/>
      <c r="O89" s="48"/>
      <c r="P89" s="17">
        <f t="shared" si="32"/>
        <v>141.437125748503</v>
      </c>
      <c r="Q89" s="20">
        <f t="shared" si="30"/>
        <v>241.0204081632653</v>
      </c>
      <c r="R89" s="18">
        <f t="shared" si="31"/>
        <v>89.13207547169812</v>
      </c>
      <c r="S89" s="18">
        <f t="shared" si="27"/>
        <v>89.13207547169812</v>
      </c>
    </row>
    <row r="90" spans="1:19" ht="14.25" customHeight="1">
      <c r="A90" s="21" t="s">
        <v>12</v>
      </c>
      <c r="B90" s="21"/>
      <c r="C90" s="28" t="s">
        <v>7</v>
      </c>
      <c r="D90" s="50"/>
      <c r="E90" s="50">
        <f t="shared" si="34"/>
        <v>0</v>
      </c>
      <c r="F90" s="53">
        <f t="shared" si="33"/>
        <v>0</v>
      </c>
      <c r="G90" s="37"/>
      <c r="H90" s="37"/>
      <c r="I90" s="17"/>
      <c r="J90" s="17"/>
      <c r="K90" s="18">
        <v>25</v>
      </c>
      <c r="L90" s="27"/>
      <c r="M90" s="27"/>
      <c r="N90" s="48"/>
      <c r="O90" s="48"/>
      <c r="P90" s="17" t="e">
        <f t="shared" si="32"/>
        <v>#DIV/0!</v>
      </c>
      <c r="Q90" s="20"/>
      <c r="R90" s="18"/>
      <c r="S90" s="18"/>
    </row>
    <row r="91" spans="1:19" ht="12.75">
      <c r="A91" s="31" t="s">
        <v>39</v>
      </c>
      <c r="B91" s="54"/>
      <c r="C91" s="16" t="s">
        <v>40</v>
      </c>
      <c r="D91" s="50"/>
      <c r="E91" s="50">
        <f t="shared" si="34"/>
        <v>0</v>
      </c>
      <c r="F91" s="53">
        <f t="shared" si="33"/>
        <v>0</v>
      </c>
      <c r="G91" s="37"/>
      <c r="H91" s="37"/>
      <c r="I91" s="17"/>
      <c r="J91" s="17"/>
      <c r="K91" s="18">
        <v>196.5</v>
      </c>
      <c r="L91" s="27"/>
      <c r="M91" s="27"/>
      <c r="N91" s="48"/>
      <c r="O91" s="48"/>
      <c r="P91" s="17" t="e">
        <f t="shared" si="32"/>
        <v>#DIV/0!</v>
      </c>
      <c r="Q91" s="20"/>
      <c r="R91" s="18"/>
      <c r="S91" s="18"/>
    </row>
    <row r="92" spans="1:19" ht="12.75" hidden="1">
      <c r="A92" s="31" t="s">
        <v>44</v>
      </c>
      <c r="B92" s="54"/>
      <c r="C92" s="16" t="s">
        <v>45</v>
      </c>
      <c r="D92" s="77"/>
      <c r="E92" s="16"/>
      <c r="F92" s="16"/>
      <c r="G92" s="37"/>
      <c r="H92" s="37"/>
      <c r="I92" s="17" t="e">
        <f>J92+#REF!+#REF!+#REF!</f>
        <v>#REF!</v>
      </c>
      <c r="J92" s="17"/>
      <c r="K92" s="18"/>
      <c r="L92" s="27"/>
      <c r="M92" s="27"/>
      <c r="N92" s="48"/>
      <c r="O92" s="48"/>
      <c r="P92" s="17" t="e">
        <f t="shared" si="32"/>
        <v>#DIV/0!</v>
      </c>
      <c r="Q92" s="27" t="e">
        <f t="shared" si="30"/>
        <v>#DIV/0!</v>
      </c>
      <c r="R92" s="24" t="e">
        <f t="shared" si="31"/>
        <v>#DIV/0!</v>
      </c>
      <c r="S92" s="18" t="e">
        <f t="shared" si="27"/>
        <v>#DIV/0!</v>
      </c>
    </row>
    <row r="93" spans="1:19" ht="12.75">
      <c r="A93" s="25" t="s">
        <v>1</v>
      </c>
      <c r="B93" s="25"/>
      <c r="C93" s="32" t="s">
        <v>0</v>
      </c>
      <c r="D93" s="33">
        <f aca="true" t="shared" si="35" ref="D93:K93">D94+D95</f>
        <v>51108</v>
      </c>
      <c r="E93" s="33">
        <f t="shared" si="35"/>
        <v>78872</v>
      </c>
      <c r="F93" s="85">
        <f t="shared" si="35"/>
        <v>68294.9</v>
      </c>
      <c r="G93" s="33">
        <f t="shared" si="35"/>
        <v>25884.2</v>
      </c>
      <c r="H93" s="33">
        <f t="shared" si="35"/>
        <v>15624.5</v>
      </c>
      <c r="I93" s="33">
        <f t="shared" si="35"/>
        <v>26786.2</v>
      </c>
      <c r="J93" s="33">
        <f t="shared" si="35"/>
        <v>10577.1</v>
      </c>
      <c r="K93" s="33">
        <f t="shared" si="35"/>
        <v>35772.3</v>
      </c>
      <c r="L93" s="27" t="e">
        <f>K93/#REF!*100</f>
        <v>#REF!</v>
      </c>
      <c r="M93" s="27">
        <f>K93/I93*100</f>
        <v>133.54749833869678</v>
      </c>
      <c r="N93" s="48"/>
      <c r="O93" s="48"/>
      <c r="P93" s="36">
        <f t="shared" si="32"/>
        <v>338.2051791133676</v>
      </c>
      <c r="Q93" s="27">
        <f t="shared" si="30"/>
        <v>52.37916740488676</v>
      </c>
      <c r="R93" s="24">
        <f t="shared" si="31"/>
        <v>45.354878790952434</v>
      </c>
      <c r="S93" s="24">
        <f t="shared" si="27"/>
        <v>69.99354308523128</v>
      </c>
    </row>
    <row r="94" spans="1:19" ht="24">
      <c r="A94" s="14" t="s">
        <v>67</v>
      </c>
      <c r="B94" s="12"/>
      <c r="C94" s="34" t="s">
        <v>20</v>
      </c>
      <c r="D94" s="37">
        <v>51108</v>
      </c>
      <c r="E94" s="50">
        <f>G94+H94+I94+J94</f>
        <v>78767</v>
      </c>
      <c r="F94" s="53">
        <f>G94+H94+I94</f>
        <v>68189.9</v>
      </c>
      <c r="G94" s="37">
        <v>25824.2</v>
      </c>
      <c r="H94" s="37">
        <v>15624.5</v>
      </c>
      <c r="I94" s="17">
        <f>26487.2+254</f>
        <v>26741.2</v>
      </c>
      <c r="J94" s="17">
        <v>10577.1</v>
      </c>
      <c r="K94" s="18">
        <v>35667.3</v>
      </c>
      <c r="L94" s="20" t="e">
        <f>K94/#REF!*100</f>
        <v>#REF!</v>
      </c>
      <c r="M94" s="20">
        <f>K94/I94*100</f>
        <v>133.37957907648124</v>
      </c>
      <c r="N94" s="48"/>
      <c r="O94" s="48"/>
      <c r="P94" s="17">
        <f t="shared" si="32"/>
        <v>337.2124684459824</v>
      </c>
      <c r="Q94" s="20">
        <f t="shared" si="30"/>
        <v>52.3058400144303</v>
      </c>
      <c r="R94" s="18">
        <f t="shared" si="31"/>
        <v>45.28203435448856</v>
      </c>
      <c r="S94" s="18">
        <f t="shared" si="27"/>
        <v>69.78809579713548</v>
      </c>
    </row>
    <row r="95" spans="1:19" ht="15.75" customHeight="1">
      <c r="A95" s="14" t="s">
        <v>2</v>
      </c>
      <c r="B95" s="14"/>
      <c r="C95" s="35" t="s">
        <v>19</v>
      </c>
      <c r="D95" s="55"/>
      <c r="E95" s="50">
        <f>G95+H95+I95+J95</f>
        <v>105</v>
      </c>
      <c r="F95" s="53">
        <f>G95+H95+I95</f>
        <v>105</v>
      </c>
      <c r="G95" s="57">
        <v>60</v>
      </c>
      <c r="H95" s="57"/>
      <c r="I95" s="17">
        <v>45</v>
      </c>
      <c r="J95" s="17"/>
      <c r="K95" s="18">
        <v>105</v>
      </c>
      <c r="L95" s="20" t="e">
        <f>K95/#REF!*100</f>
        <v>#REF!</v>
      </c>
      <c r="M95" s="20"/>
      <c r="N95" s="48"/>
      <c r="O95" s="48"/>
      <c r="P95" s="17" t="e">
        <f t="shared" si="32"/>
        <v>#DIV/0!</v>
      </c>
      <c r="Q95" s="20">
        <f>K95*100/F95</f>
        <v>100</v>
      </c>
      <c r="R95" s="18">
        <f>K95*100/E95</f>
        <v>100</v>
      </c>
      <c r="S95" s="18"/>
    </row>
    <row r="96" spans="1:19" ht="12.75">
      <c r="A96" s="21"/>
      <c r="B96" s="22"/>
      <c r="C96" s="23" t="s">
        <v>4</v>
      </c>
      <c r="D96" s="24">
        <f aca="true" t="shared" si="36" ref="D96:K96">D93+D81</f>
        <v>84978.6</v>
      </c>
      <c r="E96" s="24">
        <f t="shared" si="36"/>
        <v>113088.6</v>
      </c>
      <c r="F96" s="24">
        <f t="shared" si="36"/>
        <v>92880.59999999999</v>
      </c>
      <c r="G96" s="24">
        <f t="shared" si="36"/>
        <v>34214.1</v>
      </c>
      <c r="H96" s="24">
        <f t="shared" si="36"/>
        <v>23983.1</v>
      </c>
      <c r="I96" s="24">
        <f t="shared" si="36"/>
        <v>34683.4</v>
      </c>
      <c r="J96" s="24">
        <f t="shared" si="36"/>
        <v>20208</v>
      </c>
      <c r="K96" s="24">
        <f t="shared" si="36"/>
        <v>58808.6</v>
      </c>
      <c r="L96" s="27" t="e">
        <f>K96/#REF!*100</f>
        <v>#REF!</v>
      </c>
      <c r="M96" s="27">
        <f>K96/I96*100</f>
        <v>169.55834779750543</v>
      </c>
      <c r="N96" s="48"/>
      <c r="O96" s="49" t="e">
        <f>J96+#REF!+#REF!</f>
        <v>#REF!</v>
      </c>
      <c r="P96" s="36">
        <f t="shared" si="32"/>
        <v>291.01642913697543</v>
      </c>
      <c r="Q96" s="27">
        <f t="shared" si="30"/>
        <v>63.316343779002295</v>
      </c>
      <c r="R96" s="24">
        <f t="shared" si="31"/>
        <v>52.002235415417644</v>
      </c>
      <c r="S96" s="24">
        <f t="shared" si="27"/>
        <v>69.20401136286077</v>
      </c>
    </row>
    <row r="97" spans="1:19" ht="12.75">
      <c r="A97" s="91"/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3"/>
      <c r="N97" s="48"/>
      <c r="O97" s="48"/>
      <c r="P97" s="47"/>
      <c r="Q97" s="27"/>
      <c r="R97" s="24"/>
      <c r="S97" s="18"/>
    </row>
    <row r="98" spans="1:19" ht="12.75">
      <c r="A98" s="88" t="s">
        <v>29</v>
      </c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90"/>
    </row>
    <row r="99" spans="1:19" ht="12.75">
      <c r="A99" s="25" t="s">
        <v>3</v>
      </c>
      <c r="B99" s="25"/>
      <c r="C99" s="26" t="s">
        <v>68</v>
      </c>
      <c r="D99" s="27">
        <f aca="true" t="shared" si="37" ref="D99:K99">D100+D103+D107+D104+D105+D108+D106+D102+D101</f>
        <v>2219.9</v>
      </c>
      <c r="E99" s="27">
        <f t="shared" si="37"/>
        <v>2219.9</v>
      </c>
      <c r="F99" s="27">
        <f t="shared" si="37"/>
        <v>1663</v>
      </c>
      <c r="G99" s="27">
        <f t="shared" si="37"/>
        <v>555.1</v>
      </c>
      <c r="H99" s="27">
        <f t="shared" si="37"/>
        <v>553.5</v>
      </c>
      <c r="I99" s="27">
        <f t="shared" si="37"/>
        <v>554.4000000000001</v>
      </c>
      <c r="J99" s="27">
        <f t="shared" si="37"/>
        <v>556.9000000000001</v>
      </c>
      <c r="K99" s="27">
        <f t="shared" si="37"/>
        <v>1637.5</v>
      </c>
      <c r="L99" s="27" t="e">
        <f>K99/#REF!*100</f>
        <v>#REF!</v>
      </c>
      <c r="M99" s="27">
        <f>K99/I99*100</f>
        <v>295.36435786435777</v>
      </c>
      <c r="N99" s="48"/>
      <c r="O99" s="48"/>
      <c r="P99" s="27">
        <f t="shared" si="32"/>
        <v>294.0384270066439</v>
      </c>
      <c r="Q99" s="27">
        <f t="shared" si="30"/>
        <v>98.46662657847264</v>
      </c>
      <c r="R99" s="24">
        <f t="shared" si="31"/>
        <v>73.76458399026983</v>
      </c>
      <c r="S99" s="24">
        <f t="shared" si="27"/>
        <v>73.76458399026983</v>
      </c>
    </row>
    <row r="100" spans="1:19" ht="12.75">
      <c r="A100" s="21" t="s">
        <v>23</v>
      </c>
      <c r="B100" s="21"/>
      <c r="C100" s="28" t="s">
        <v>22</v>
      </c>
      <c r="D100" s="50">
        <v>980</v>
      </c>
      <c r="E100" s="50">
        <f>G100+H100+I100+J100</f>
        <v>980</v>
      </c>
      <c r="F100" s="53">
        <f>G100+H100+I100</f>
        <v>735</v>
      </c>
      <c r="G100" s="37">
        <v>245</v>
      </c>
      <c r="H100" s="37">
        <v>245</v>
      </c>
      <c r="I100" s="17">
        <v>245</v>
      </c>
      <c r="J100" s="18">
        <v>245</v>
      </c>
      <c r="K100" s="18">
        <v>785.9</v>
      </c>
      <c r="L100" s="20"/>
      <c r="M100" s="20">
        <f>K100/I100*100</f>
        <v>320.7755102040816</v>
      </c>
      <c r="N100" s="49"/>
      <c r="O100" s="48"/>
      <c r="P100" s="17">
        <f t="shared" si="32"/>
        <v>320.7755102040816</v>
      </c>
      <c r="Q100" s="20">
        <f t="shared" si="30"/>
        <v>106.92517006802721</v>
      </c>
      <c r="R100" s="18">
        <f t="shared" si="31"/>
        <v>80.1938775510204</v>
      </c>
      <c r="S100" s="18">
        <f t="shared" si="27"/>
        <v>80.1938775510204</v>
      </c>
    </row>
    <row r="101" spans="1:19" ht="12.75">
      <c r="A101" s="12" t="s">
        <v>70</v>
      </c>
      <c r="B101" s="12"/>
      <c r="C101" s="28" t="s">
        <v>71</v>
      </c>
      <c r="D101" s="50">
        <v>1110.4</v>
      </c>
      <c r="E101" s="50">
        <f>G101+H101+I101+J101</f>
        <v>1110.4</v>
      </c>
      <c r="F101" s="53">
        <f aca="true" t="shared" si="38" ref="F101:F108">G101+H101+I101</f>
        <v>832.8000000000001</v>
      </c>
      <c r="G101" s="37">
        <v>277.6</v>
      </c>
      <c r="H101" s="37">
        <v>277.6</v>
      </c>
      <c r="I101" s="17">
        <v>277.6</v>
      </c>
      <c r="J101" s="18">
        <v>277.6</v>
      </c>
      <c r="K101" s="18">
        <v>713</v>
      </c>
      <c r="L101" s="20"/>
      <c r="M101" s="20"/>
      <c r="N101" s="49"/>
      <c r="O101" s="48"/>
      <c r="P101" s="17"/>
      <c r="Q101" s="20">
        <f>K101*100/F101</f>
        <v>85.6147934678194</v>
      </c>
      <c r="R101" s="18">
        <f>K101*100/E101</f>
        <v>64.21109510086455</v>
      </c>
      <c r="S101" s="18">
        <f t="shared" si="27"/>
        <v>64.21109510086455</v>
      </c>
    </row>
    <row r="102" spans="1:19" ht="12.75" hidden="1">
      <c r="A102" s="12" t="s">
        <v>8</v>
      </c>
      <c r="B102" s="12"/>
      <c r="C102" s="28" t="s">
        <v>5</v>
      </c>
      <c r="D102" s="50"/>
      <c r="E102" s="50">
        <f>G102+H102+I102+J102</f>
        <v>0</v>
      </c>
      <c r="F102" s="53">
        <f t="shared" si="38"/>
        <v>0</v>
      </c>
      <c r="G102" s="37"/>
      <c r="H102" s="37"/>
      <c r="I102" s="17"/>
      <c r="J102" s="18"/>
      <c r="K102" s="18"/>
      <c r="L102" s="20"/>
      <c r="M102" s="20"/>
      <c r="N102" s="49"/>
      <c r="O102" s="48"/>
      <c r="P102" s="17"/>
      <c r="Q102" s="20" t="e">
        <f>K102*100/F102</f>
        <v>#DIV/0!</v>
      </c>
      <c r="R102" s="18" t="e">
        <f>K102*100/E102</f>
        <v>#DIV/0!</v>
      </c>
      <c r="S102" s="18" t="e">
        <f t="shared" si="27"/>
        <v>#DIV/0!</v>
      </c>
    </row>
    <row r="103" spans="1:19" ht="12.75">
      <c r="A103" s="12" t="s">
        <v>9</v>
      </c>
      <c r="B103" s="12"/>
      <c r="C103" s="28" t="s">
        <v>6</v>
      </c>
      <c r="D103" s="50">
        <v>70.5</v>
      </c>
      <c r="E103" s="50">
        <f aca="true" t="shared" si="39" ref="E103:E111">G103+H103+I103+J103</f>
        <v>70.5</v>
      </c>
      <c r="F103" s="53">
        <f t="shared" si="38"/>
        <v>53.9</v>
      </c>
      <c r="G103" s="37">
        <v>18.6</v>
      </c>
      <c r="H103" s="37">
        <v>16.7</v>
      </c>
      <c r="I103" s="17">
        <v>18.6</v>
      </c>
      <c r="J103" s="18">
        <v>16.6</v>
      </c>
      <c r="K103" s="18">
        <v>22.1</v>
      </c>
      <c r="L103" s="20"/>
      <c r="M103" s="20">
        <f aca="true" t="shared" si="40" ref="M103:M110">K103/I103*100</f>
        <v>118.81720430107528</v>
      </c>
      <c r="N103" s="49"/>
      <c r="O103" s="48"/>
      <c r="P103" s="17">
        <f t="shared" si="32"/>
        <v>133.1325301204819</v>
      </c>
      <c r="Q103" s="20">
        <f t="shared" si="30"/>
        <v>41.001855287569576</v>
      </c>
      <c r="R103" s="18">
        <f t="shared" si="31"/>
        <v>31.347517730496453</v>
      </c>
      <c r="S103" s="18">
        <f t="shared" si="27"/>
        <v>31.347517730496453</v>
      </c>
    </row>
    <row r="104" spans="1:19" ht="12.75">
      <c r="A104" s="12" t="s">
        <v>10</v>
      </c>
      <c r="B104" s="12"/>
      <c r="C104" s="28" t="s">
        <v>21</v>
      </c>
      <c r="D104" s="50">
        <v>5</v>
      </c>
      <c r="E104" s="50">
        <f t="shared" si="39"/>
        <v>5</v>
      </c>
      <c r="F104" s="53">
        <f t="shared" si="38"/>
        <v>3.5</v>
      </c>
      <c r="G104" s="37">
        <v>1.5</v>
      </c>
      <c r="H104" s="37">
        <v>1.5</v>
      </c>
      <c r="I104" s="17">
        <v>0.5</v>
      </c>
      <c r="J104" s="18">
        <v>1.5</v>
      </c>
      <c r="K104" s="18">
        <v>0.9</v>
      </c>
      <c r="L104" s="20"/>
      <c r="M104" s="20">
        <f t="shared" si="40"/>
        <v>180</v>
      </c>
      <c r="N104" s="48"/>
      <c r="O104" s="48"/>
      <c r="P104" s="17">
        <f t="shared" si="32"/>
        <v>60</v>
      </c>
      <c r="Q104" s="20">
        <f t="shared" si="30"/>
        <v>25.714285714285715</v>
      </c>
      <c r="R104" s="18">
        <f t="shared" si="31"/>
        <v>18</v>
      </c>
      <c r="S104" s="18">
        <f t="shared" si="27"/>
        <v>18</v>
      </c>
    </row>
    <row r="105" spans="1:19" ht="24">
      <c r="A105" s="13" t="s">
        <v>11</v>
      </c>
      <c r="B105" s="13"/>
      <c r="C105" s="28" t="s">
        <v>17</v>
      </c>
      <c r="D105" s="50">
        <v>19</v>
      </c>
      <c r="E105" s="50">
        <f t="shared" si="39"/>
        <v>19</v>
      </c>
      <c r="F105" s="53">
        <f t="shared" si="38"/>
        <v>13.3</v>
      </c>
      <c r="G105" s="37">
        <v>1.9</v>
      </c>
      <c r="H105" s="37">
        <v>5.7</v>
      </c>
      <c r="I105" s="17">
        <v>5.7</v>
      </c>
      <c r="J105" s="18">
        <v>5.7</v>
      </c>
      <c r="K105" s="18">
        <v>10.1</v>
      </c>
      <c r="L105" s="20"/>
      <c r="M105" s="20">
        <f t="shared" si="40"/>
        <v>177.19298245614036</v>
      </c>
      <c r="N105" s="48"/>
      <c r="O105" s="48"/>
      <c r="P105" s="17">
        <f t="shared" si="32"/>
        <v>177.19298245614036</v>
      </c>
      <c r="Q105" s="20">
        <f t="shared" si="30"/>
        <v>75.93984962406014</v>
      </c>
      <c r="R105" s="18">
        <f t="shared" si="31"/>
        <v>53.1578947368421</v>
      </c>
      <c r="S105" s="18">
        <f t="shared" si="27"/>
        <v>53.1578947368421</v>
      </c>
    </row>
    <row r="106" spans="1:19" ht="12.75">
      <c r="A106" s="30" t="s">
        <v>42</v>
      </c>
      <c r="B106" s="30"/>
      <c r="C106" s="28" t="s">
        <v>43</v>
      </c>
      <c r="D106" s="50">
        <v>35</v>
      </c>
      <c r="E106" s="50">
        <f t="shared" si="39"/>
        <v>35</v>
      </c>
      <c r="F106" s="53">
        <f t="shared" si="38"/>
        <v>24.5</v>
      </c>
      <c r="G106" s="37">
        <v>10.5</v>
      </c>
      <c r="H106" s="37">
        <v>7</v>
      </c>
      <c r="I106" s="17">
        <v>7</v>
      </c>
      <c r="J106" s="18">
        <v>10.5</v>
      </c>
      <c r="K106" s="18">
        <v>55.5</v>
      </c>
      <c r="L106" s="20"/>
      <c r="M106" s="20">
        <f t="shared" si="40"/>
        <v>792.8571428571429</v>
      </c>
      <c r="N106" s="48"/>
      <c r="O106" s="48"/>
      <c r="P106" s="17">
        <f t="shared" si="32"/>
        <v>528.5714285714286</v>
      </c>
      <c r="Q106" s="20">
        <f t="shared" si="30"/>
        <v>226.53061224489795</v>
      </c>
      <c r="R106" s="18">
        <f t="shared" si="31"/>
        <v>158.57142857142858</v>
      </c>
      <c r="S106" s="18">
        <f t="shared" si="27"/>
        <v>158.57142857142858</v>
      </c>
    </row>
    <row r="107" spans="1:19" ht="18.75" customHeight="1">
      <c r="A107" s="21" t="s">
        <v>12</v>
      </c>
      <c r="B107" s="21"/>
      <c r="C107" s="86" t="s">
        <v>7</v>
      </c>
      <c r="D107" s="50"/>
      <c r="E107" s="50">
        <f t="shared" si="39"/>
        <v>0</v>
      </c>
      <c r="F107" s="53">
        <f t="shared" si="38"/>
        <v>0</v>
      </c>
      <c r="G107" s="37"/>
      <c r="H107" s="37"/>
      <c r="I107" s="17"/>
      <c r="J107" s="18"/>
      <c r="K107" s="18">
        <v>50</v>
      </c>
      <c r="L107" s="20"/>
      <c r="M107" s="20" t="e">
        <f t="shared" si="40"/>
        <v>#DIV/0!</v>
      </c>
      <c r="N107" s="48"/>
      <c r="O107" s="48"/>
      <c r="P107" s="17" t="e">
        <f t="shared" si="32"/>
        <v>#DIV/0!</v>
      </c>
      <c r="Q107" s="20"/>
      <c r="R107" s="18"/>
      <c r="S107" s="18"/>
    </row>
    <row r="108" spans="1:19" ht="16.5" customHeight="1">
      <c r="A108" s="30" t="s">
        <v>39</v>
      </c>
      <c r="B108" s="58"/>
      <c r="C108" s="16" t="s">
        <v>40</v>
      </c>
      <c r="D108" s="50"/>
      <c r="E108" s="50">
        <f t="shared" si="39"/>
        <v>0</v>
      </c>
      <c r="F108" s="53">
        <f t="shared" si="38"/>
        <v>0</v>
      </c>
      <c r="G108" s="37"/>
      <c r="H108" s="37"/>
      <c r="I108" s="17"/>
      <c r="J108" s="18"/>
      <c r="K108" s="18"/>
      <c r="L108" s="27"/>
      <c r="M108" s="20" t="e">
        <f t="shared" si="40"/>
        <v>#DIV/0!</v>
      </c>
      <c r="N108" s="48"/>
      <c r="O108" s="48"/>
      <c r="P108" s="17" t="e">
        <f t="shared" si="32"/>
        <v>#DIV/0!</v>
      </c>
      <c r="Q108" s="27"/>
      <c r="R108" s="24"/>
      <c r="S108" s="18"/>
    </row>
    <row r="109" spans="1:19" ht="12.75">
      <c r="A109" s="52" t="s">
        <v>1</v>
      </c>
      <c r="B109" s="52"/>
      <c r="C109" s="32" t="s">
        <v>0</v>
      </c>
      <c r="D109" s="33">
        <f aca="true" t="shared" si="41" ref="D109:L109">D110+D111</f>
        <v>19477.9</v>
      </c>
      <c r="E109" s="33">
        <f t="shared" si="41"/>
        <v>25737.2</v>
      </c>
      <c r="F109" s="33">
        <f t="shared" si="41"/>
        <v>20955.9</v>
      </c>
      <c r="G109" s="33">
        <f t="shared" si="41"/>
        <v>7217.5</v>
      </c>
      <c r="H109" s="33">
        <f t="shared" si="41"/>
        <v>8954.3</v>
      </c>
      <c r="I109" s="33">
        <f t="shared" si="41"/>
        <v>4784.1</v>
      </c>
      <c r="J109" s="33">
        <f t="shared" si="41"/>
        <v>4781.3</v>
      </c>
      <c r="K109" s="33">
        <f t="shared" si="41"/>
        <v>18536.7</v>
      </c>
      <c r="L109" s="33">
        <f t="shared" si="41"/>
        <v>0</v>
      </c>
      <c r="M109" s="27">
        <f>K109/I109*100</f>
        <v>387.4647269078824</v>
      </c>
      <c r="N109" s="48"/>
      <c r="O109" s="48"/>
      <c r="P109" s="36">
        <f t="shared" si="32"/>
        <v>387.6916319829335</v>
      </c>
      <c r="Q109" s="27">
        <f t="shared" si="30"/>
        <v>88.45575708988876</v>
      </c>
      <c r="R109" s="24">
        <f t="shared" si="31"/>
        <v>72.02298618342321</v>
      </c>
      <c r="S109" s="24">
        <f t="shared" si="27"/>
        <v>95.16785690449176</v>
      </c>
    </row>
    <row r="110" spans="1:19" ht="24">
      <c r="A110" s="14" t="s">
        <v>67</v>
      </c>
      <c r="B110" s="12"/>
      <c r="C110" s="34" t="s">
        <v>20</v>
      </c>
      <c r="D110" s="37">
        <v>19477.9</v>
      </c>
      <c r="E110" s="50">
        <f t="shared" si="39"/>
        <v>25737.2</v>
      </c>
      <c r="F110" s="53">
        <f>G110+H110+I110</f>
        <v>20955.9</v>
      </c>
      <c r="G110" s="37">
        <f>7108.9+108.6</f>
        <v>7217.5</v>
      </c>
      <c r="H110" s="37">
        <v>8954.3</v>
      </c>
      <c r="I110" s="17">
        <f>4781.3+2.8</f>
        <v>4784.1</v>
      </c>
      <c r="J110" s="18">
        <v>4781.3</v>
      </c>
      <c r="K110" s="18">
        <v>18536.7</v>
      </c>
      <c r="L110" s="20"/>
      <c r="M110" s="20">
        <f t="shared" si="40"/>
        <v>387.4647269078824</v>
      </c>
      <c r="N110" s="48"/>
      <c r="O110" s="48"/>
      <c r="P110" s="17">
        <f t="shared" si="32"/>
        <v>387.6916319829335</v>
      </c>
      <c r="Q110" s="20">
        <f t="shared" si="30"/>
        <v>88.45575708988876</v>
      </c>
      <c r="R110" s="18">
        <f t="shared" si="31"/>
        <v>72.02298618342321</v>
      </c>
      <c r="S110" s="18">
        <f t="shared" si="27"/>
        <v>95.16785690449176</v>
      </c>
    </row>
    <row r="111" spans="1:19" ht="12.75" hidden="1">
      <c r="A111" s="14" t="s">
        <v>2</v>
      </c>
      <c r="B111" s="14"/>
      <c r="C111" s="35" t="s">
        <v>19</v>
      </c>
      <c r="D111" s="35"/>
      <c r="E111" s="50">
        <f t="shared" si="39"/>
        <v>0</v>
      </c>
      <c r="F111" s="50">
        <f>G111+H111</f>
        <v>0</v>
      </c>
      <c r="G111" s="57"/>
      <c r="H111" s="57"/>
      <c r="I111" s="17"/>
      <c r="J111" s="18"/>
      <c r="K111" s="18"/>
      <c r="L111" s="20"/>
      <c r="M111" s="20"/>
      <c r="N111" s="48"/>
      <c r="O111" s="48"/>
      <c r="P111" s="17" t="e">
        <f t="shared" si="32"/>
        <v>#DIV/0!</v>
      </c>
      <c r="Q111" s="27"/>
      <c r="R111" s="24"/>
      <c r="S111" s="18" t="e">
        <f t="shared" si="27"/>
        <v>#DIV/0!</v>
      </c>
    </row>
    <row r="112" spans="1:19" ht="12.75">
      <c r="A112" s="21"/>
      <c r="B112" s="22"/>
      <c r="C112" s="23" t="s">
        <v>4</v>
      </c>
      <c r="D112" s="24">
        <f aca="true" t="shared" si="42" ref="D112:L112">D109+D99</f>
        <v>21697.800000000003</v>
      </c>
      <c r="E112" s="24">
        <f t="shared" si="42"/>
        <v>27957.100000000002</v>
      </c>
      <c r="F112" s="36">
        <f t="shared" si="42"/>
        <v>22618.9</v>
      </c>
      <c r="G112" s="36">
        <f t="shared" si="42"/>
        <v>7772.6</v>
      </c>
      <c r="H112" s="36">
        <f>H109+H99</f>
        <v>9507.8</v>
      </c>
      <c r="I112" s="24">
        <f t="shared" si="42"/>
        <v>5338.5</v>
      </c>
      <c r="J112" s="24">
        <f t="shared" si="42"/>
        <v>5338.200000000001</v>
      </c>
      <c r="K112" s="24">
        <f t="shared" si="42"/>
        <v>20174.2</v>
      </c>
      <c r="L112" s="24" t="e">
        <f t="shared" si="42"/>
        <v>#REF!</v>
      </c>
      <c r="M112" s="27">
        <f>K112/I112*100</f>
        <v>377.9001592207549</v>
      </c>
      <c r="N112" s="48"/>
      <c r="O112" s="49" t="e">
        <f>J112+#REF!+#REF!</f>
        <v>#REF!</v>
      </c>
      <c r="P112" s="36">
        <f t="shared" si="32"/>
        <v>377.92139672548797</v>
      </c>
      <c r="Q112" s="27">
        <f t="shared" si="30"/>
        <v>89.19178209373577</v>
      </c>
      <c r="R112" s="24">
        <f t="shared" si="31"/>
        <v>72.16127566879254</v>
      </c>
      <c r="S112" s="24">
        <f t="shared" si="27"/>
        <v>92.97808994460267</v>
      </c>
    </row>
    <row r="113" spans="1:19" ht="12.75">
      <c r="A113" s="91"/>
      <c r="B113" s="92"/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3"/>
      <c r="N113" s="48"/>
      <c r="O113" s="48"/>
      <c r="P113" s="47"/>
      <c r="Q113" s="27"/>
      <c r="R113" s="24"/>
      <c r="S113" s="18"/>
    </row>
    <row r="114" spans="1:19" ht="12.75">
      <c r="A114" s="88" t="s">
        <v>30</v>
      </c>
      <c r="B114" s="89"/>
      <c r="C114" s="8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90"/>
    </row>
    <row r="115" spans="1:19" ht="12.75">
      <c r="A115" s="25" t="s">
        <v>3</v>
      </c>
      <c r="B115" s="25"/>
      <c r="C115" s="26" t="s">
        <v>68</v>
      </c>
      <c r="D115" s="27">
        <f aca="true" t="shared" si="43" ref="D115:J115">D116+D120+D124+D121+D122+D125+D123+D126+D117+D118</f>
        <v>4041</v>
      </c>
      <c r="E115" s="27">
        <f t="shared" si="43"/>
        <v>4538.5</v>
      </c>
      <c r="F115" s="27">
        <f t="shared" si="43"/>
        <v>3557.5</v>
      </c>
      <c r="G115" s="27">
        <f t="shared" si="43"/>
        <v>952.3</v>
      </c>
      <c r="H115" s="27">
        <f t="shared" si="43"/>
        <v>1067.9</v>
      </c>
      <c r="I115" s="27">
        <f t="shared" si="43"/>
        <v>1537.3000000000002</v>
      </c>
      <c r="J115" s="27">
        <f t="shared" si="43"/>
        <v>981</v>
      </c>
      <c r="K115" s="27">
        <f>K116+K120+K124+K121+K122+K125+K123+K126+K117+K118+K119</f>
        <v>2758.7</v>
      </c>
      <c r="L115" s="27" t="e">
        <f>K115/#REF!*100</f>
        <v>#REF!</v>
      </c>
      <c r="M115" s="27">
        <f aca="true" t="shared" si="44" ref="M115:M124">K115/I115*100</f>
        <v>179.45098549404796</v>
      </c>
      <c r="N115" s="48"/>
      <c r="O115" s="48"/>
      <c r="P115" s="27">
        <f t="shared" si="32"/>
        <v>281.21304791029564</v>
      </c>
      <c r="Q115" s="27">
        <f t="shared" si="30"/>
        <v>77.54602951510893</v>
      </c>
      <c r="R115" s="24">
        <f t="shared" si="31"/>
        <v>60.78440013220227</v>
      </c>
      <c r="S115" s="24">
        <f t="shared" si="27"/>
        <v>68.26775550606285</v>
      </c>
    </row>
    <row r="116" spans="1:19" ht="12.75">
      <c r="A116" s="21" t="s">
        <v>23</v>
      </c>
      <c r="B116" s="21"/>
      <c r="C116" s="28" t="s">
        <v>22</v>
      </c>
      <c r="D116" s="50">
        <v>1110</v>
      </c>
      <c r="E116" s="50">
        <f>G116+H116+I116+J116</f>
        <v>1110</v>
      </c>
      <c r="F116" s="53">
        <f>G116+H116+I116</f>
        <v>875.1</v>
      </c>
      <c r="G116" s="50">
        <v>296.3</v>
      </c>
      <c r="H116" s="50">
        <v>353.7</v>
      </c>
      <c r="I116" s="18">
        <v>225.1</v>
      </c>
      <c r="J116" s="18">
        <v>234.9</v>
      </c>
      <c r="K116" s="18">
        <v>722.1</v>
      </c>
      <c r="L116" s="20" t="e">
        <f>K116/#REF!*100</f>
        <v>#REF!</v>
      </c>
      <c r="M116" s="20">
        <f t="shared" si="44"/>
        <v>320.7907596623723</v>
      </c>
      <c r="N116" s="48"/>
      <c r="O116" s="48"/>
      <c r="P116" s="17">
        <f t="shared" si="32"/>
        <v>307.4074074074074</v>
      </c>
      <c r="Q116" s="20">
        <f t="shared" si="30"/>
        <v>82.5162838532739</v>
      </c>
      <c r="R116" s="18">
        <f t="shared" si="31"/>
        <v>65.05405405405405</v>
      </c>
      <c r="S116" s="18">
        <f t="shared" si="27"/>
        <v>65.05405405405405</v>
      </c>
    </row>
    <row r="117" spans="1:19" ht="12.75" hidden="1">
      <c r="A117" s="12" t="s">
        <v>8</v>
      </c>
      <c r="B117" s="12"/>
      <c r="C117" s="28" t="s">
        <v>5</v>
      </c>
      <c r="D117" s="50"/>
      <c r="E117" s="50">
        <f>G117+H117+I117+J117</f>
        <v>0</v>
      </c>
      <c r="F117" s="53">
        <f aca="true" t="shared" si="45" ref="F117:F126">G117+H117+I117</f>
        <v>0</v>
      </c>
      <c r="G117" s="50"/>
      <c r="H117" s="50"/>
      <c r="I117" s="18"/>
      <c r="J117" s="18"/>
      <c r="K117" s="18"/>
      <c r="L117" s="20"/>
      <c r="M117" s="20"/>
      <c r="N117" s="48"/>
      <c r="O117" s="48"/>
      <c r="P117" s="17"/>
      <c r="Q117" s="20" t="e">
        <f>K117*100/F117</f>
        <v>#DIV/0!</v>
      </c>
      <c r="R117" s="18" t="e">
        <f>K117*100/E117</f>
        <v>#DIV/0!</v>
      </c>
      <c r="S117" s="18" t="e">
        <f t="shared" si="27"/>
        <v>#DIV/0!</v>
      </c>
    </row>
    <row r="118" spans="1:19" ht="13.5" customHeight="1">
      <c r="A118" s="12" t="s">
        <v>70</v>
      </c>
      <c r="B118" s="12"/>
      <c r="C118" s="28" t="s">
        <v>71</v>
      </c>
      <c r="D118" s="50">
        <v>2422</v>
      </c>
      <c r="E118" s="50">
        <f>G118+H118+I118+J118</f>
        <v>2422</v>
      </c>
      <c r="F118" s="53">
        <f t="shared" si="45"/>
        <v>1820.9</v>
      </c>
      <c r="G118" s="50">
        <v>463</v>
      </c>
      <c r="H118" s="50">
        <v>620.2</v>
      </c>
      <c r="I118" s="18">
        <v>737.7</v>
      </c>
      <c r="J118" s="18">
        <v>601.1</v>
      </c>
      <c r="K118" s="18">
        <v>1555.1</v>
      </c>
      <c r="L118" s="20"/>
      <c r="M118" s="20"/>
      <c r="N118" s="48"/>
      <c r="O118" s="48"/>
      <c r="P118" s="17"/>
      <c r="Q118" s="20">
        <f>K118*100/F118</f>
        <v>85.40282277994397</v>
      </c>
      <c r="R118" s="18">
        <f>K118*100/E118</f>
        <v>64.20726672171759</v>
      </c>
      <c r="S118" s="18">
        <f t="shared" si="27"/>
        <v>64.20726672171759</v>
      </c>
    </row>
    <row r="119" spans="1:19" ht="13.5" customHeight="1">
      <c r="A119" s="12" t="s">
        <v>8</v>
      </c>
      <c r="B119" s="12"/>
      <c r="C119" s="28" t="s">
        <v>5</v>
      </c>
      <c r="D119" s="50"/>
      <c r="E119" s="50"/>
      <c r="F119" s="53">
        <f t="shared" si="45"/>
        <v>0</v>
      </c>
      <c r="G119" s="50"/>
      <c r="H119" s="50"/>
      <c r="I119" s="18"/>
      <c r="J119" s="18"/>
      <c r="K119" s="18">
        <v>5.6</v>
      </c>
      <c r="L119" s="20"/>
      <c r="M119" s="20"/>
      <c r="N119" s="48"/>
      <c r="O119" s="48"/>
      <c r="P119" s="17"/>
      <c r="Q119" s="20"/>
      <c r="R119" s="18"/>
      <c r="S119" s="18"/>
    </row>
    <row r="120" spans="1:19" ht="12.75">
      <c r="A120" s="12" t="s">
        <v>9</v>
      </c>
      <c r="B120" s="12"/>
      <c r="C120" s="28" t="s">
        <v>6</v>
      </c>
      <c r="D120" s="50">
        <v>99</v>
      </c>
      <c r="E120" s="50">
        <f aca="true" t="shared" si="46" ref="E120:E128">G120+H120+I120+J120</f>
        <v>99</v>
      </c>
      <c r="F120" s="53">
        <f t="shared" si="45"/>
        <v>33</v>
      </c>
      <c r="G120" s="50">
        <v>11</v>
      </c>
      <c r="H120" s="50">
        <v>15</v>
      </c>
      <c r="I120" s="18">
        <v>7</v>
      </c>
      <c r="J120" s="18">
        <v>66</v>
      </c>
      <c r="K120" s="18">
        <v>48.9</v>
      </c>
      <c r="L120" s="20" t="e">
        <f>K120/#REF!*100</f>
        <v>#REF!</v>
      </c>
      <c r="M120" s="20">
        <f t="shared" si="44"/>
        <v>698.5714285714286</v>
      </c>
      <c r="N120" s="48"/>
      <c r="O120" s="48"/>
      <c r="P120" s="17">
        <f t="shared" si="32"/>
        <v>74.0909090909091</v>
      </c>
      <c r="Q120" s="20">
        <f t="shared" si="30"/>
        <v>148.1818181818182</v>
      </c>
      <c r="R120" s="18">
        <f t="shared" si="31"/>
        <v>49.39393939393939</v>
      </c>
      <c r="S120" s="18">
        <f t="shared" si="27"/>
        <v>49.39393939393939</v>
      </c>
    </row>
    <row r="121" spans="1:19" ht="12.75">
      <c r="A121" s="12" t="s">
        <v>10</v>
      </c>
      <c r="B121" s="12"/>
      <c r="C121" s="28" t="s">
        <v>21</v>
      </c>
      <c r="D121" s="50">
        <v>17</v>
      </c>
      <c r="E121" s="50">
        <f t="shared" si="46"/>
        <v>17</v>
      </c>
      <c r="F121" s="53">
        <f t="shared" si="45"/>
        <v>12</v>
      </c>
      <c r="G121" s="50">
        <v>6</v>
      </c>
      <c r="H121" s="50">
        <v>3</v>
      </c>
      <c r="I121" s="18">
        <v>3</v>
      </c>
      <c r="J121" s="18">
        <v>5</v>
      </c>
      <c r="K121" s="18">
        <v>6.9</v>
      </c>
      <c r="L121" s="20" t="e">
        <f>K121/#REF!*100</f>
        <v>#REF!</v>
      </c>
      <c r="M121" s="20">
        <f t="shared" si="44"/>
        <v>230.00000000000003</v>
      </c>
      <c r="N121" s="48"/>
      <c r="O121" s="48"/>
      <c r="P121" s="17">
        <f t="shared" si="32"/>
        <v>138</v>
      </c>
      <c r="Q121" s="20">
        <f t="shared" si="30"/>
        <v>57.5</v>
      </c>
      <c r="R121" s="18">
        <f t="shared" si="31"/>
        <v>40.588235294117645</v>
      </c>
      <c r="S121" s="18">
        <f t="shared" si="27"/>
        <v>40.588235294117645</v>
      </c>
    </row>
    <row r="122" spans="1:19" ht="24">
      <c r="A122" s="13" t="s">
        <v>11</v>
      </c>
      <c r="B122" s="13"/>
      <c r="C122" s="28" t="s">
        <v>17</v>
      </c>
      <c r="D122" s="50">
        <v>283</v>
      </c>
      <c r="E122" s="50">
        <f t="shared" si="46"/>
        <v>283</v>
      </c>
      <c r="F122" s="53">
        <f t="shared" si="45"/>
        <v>233</v>
      </c>
      <c r="G122" s="50">
        <v>137</v>
      </c>
      <c r="H122" s="50">
        <v>48</v>
      </c>
      <c r="I122" s="18">
        <v>48</v>
      </c>
      <c r="J122" s="18">
        <v>50</v>
      </c>
      <c r="K122" s="18">
        <v>337.5</v>
      </c>
      <c r="L122" s="20" t="e">
        <f>K122/#REF!*100</f>
        <v>#REF!</v>
      </c>
      <c r="M122" s="20">
        <f t="shared" si="44"/>
        <v>703.125</v>
      </c>
      <c r="N122" s="48"/>
      <c r="O122" s="48"/>
      <c r="P122" s="17">
        <f t="shared" si="32"/>
        <v>675</v>
      </c>
      <c r="Q122" s="20">
        <f t="shared" si="30"/>
        <v>144.84978540772534</v>
      </c>
      <c r="R122" s="18">
        <f t="shared" si="31"/>
        <v>119.25795053003533</v>
      </c>
      <c r="S122" s="18">
        <f t="shared" si="27"/>
        <v>119.25795053003533</v>
      </c>
    </row>
    <row r="123" spans="1:19" ht="12.75">
      <c r="A123" s="30" t="s">
        <v>42</v>
      </c>
      <c r="B123" s="30"/>
      <c r="C123" s="28" t="s">
        <v>43</v>
      </c>
      <c r="D123" s="50">
        <v>110</v>
      </c>
      <c r="E123" s="50">
        <f t="shared" si="46"/>
        <v>110</v>
      </c>
      <c r="F123" s="53">
        <f t="shared" si="45"/>
        <v>86</v>
      </c>
      <c r="G123" s="50">
        <v>39</v>
      </c>
      <c r="H123" s="50">
        <v>28</v>
      </c>
      <c r="I123" s="18">
        <v>19</v>
      </c>
      <c r="J123" s="18">
        <v>24</v>
      </c>
      <c r="K123" s="18">
        <v>75</v>
      </c>
      <c r="L123" s="20" t="e">
        <f>K123/#REF!*100</f>
        <v>#REF!</v>
      </c>
      <c r="M123" s="20">
        <f t="shared" si="44"/>
        <v>394.7368421052631</v>
      </c>
      <c r="N123" s="48"/>
      <c r="O123" s="48"/>
      <c r="P123" s="17">
        <f t="shared" si="32"/>
        <v>312.5</v>
      </c>
      <c r="Q123" s="20">
        <f t="shared" si="30"/>
        <v>87.20930232558139</v>
      </c>
      <c r="R123" s="18">
        <f t="shared" si="31"/>
        <v>68.18181818181819</v>
      </c>
      <c r="S123" s="18">
        <f t="shared" si="27"/>
        <v>68.18181818181819</v>
      </c>
    </row>
    <row r="124" spans="1:19" ht="18" customHeight="1">
      <c r="A124" s="29" t="s">
        <v>18</v>
      </c>
      <c r="B124" s="29"/>
      <c r="C124" s="28" t="s">
        <v>15</v>
      </c>
      <c r="D124" s="50"/>
      <c r="E124" s="50">
        <f t="shared" si="46"/>
        <v>497.5</v>
      </c>
      <c r="F124" s="53">
        <f t="shared" si="45"/>
        <v>497.5</v>
      </c>
      <c r="G124" s="50"/>
      <c r="H124" s="50"/>
      <c r="I124" s="18">
        <v>497.5</v>
      </c>
      <c r="J124" s="18"/>
      <c r="K124" s="18"/>
      <c r="L124" s="20" t="e">
        <f>K124/#REF!*100</f>
        <v>#REF!</v>
      </c>
      <c r="M124" s="20">
        <f t="shared" si="44"/>
        <v>0</v>
      </c>
      <c r="N124" s="48"/>
      <c r="O124" s="48"/>
      <c r="P124" s="17" t="e">
        <f t="shared" si="32"/>
        <v>#DIV/0!</v>
      </c>
      <c r="Q124" s="20"/>
      <c r="R124" s="18"/>
      <c r="S124" s="18"/>
    </row>
    <row r="125" spans="1:19" ht="16.5" customHeight="1" hidden="1">
      <c r="A125" s="21" t="s">
        <v>12</v>
      </c>
      <c r="B125" s="21"/>
      <c r="C125" s="28" t="s">
        <v>7</v>
      </c>
      <c r="D125" s="50"/>
      <c r="E125" s="50">
        <f t="shared" si="46"/>
        <v>0</v>
      </c>
      <c r="F125" s="53">
        <f t="shared" si="45"/>
        <v>0</v>
      </c>
      <c r="G125" s="50"/>
      <c r="H125" s="50"/>
      <c r="I125" s="18"/>
      <c r="J125" s="18"/>
      <c r="K125" s="18"/>
      <c r="L125" s="20"/>
      <c r="M125" s="20"/>
      <c r="N125" s="48"/>
      <c r="O125" s="48"/>
      <c r="P125" s="17" t="e">
        <f t="shared" si="32"/>
        <v>#DIV/0!</v>
      </c>
      <c r="Q125" s="27" t="e">
        <f t="shared" si="30"/>
        <v>#DIV/0!</v>
      </c>
      <c r="R125" s="24" t="e">
        <f t="shared" si="31"/>
        <v>#DIV/0!</v>
      </c>
      <c r="S125" s="18" t="e">
        <f t="shared" si="27"/>
        <v>#DIV/0!</v>
      </c>
    </row>
    <row r="126" spans="1:19" ht="11.25" customHeight="1">
      <c r="A126" s="29" t="s">
        <v>39</v>
      </c>
      <c r="B126" s="58"/>
      <c r="C126" s="16" t="s">
        <v>40</v>
      </c>
      <c r="D126" s="50"/>
      <c r="E126" s="50">
        <f t="shared" si="46"/>
        <v>0</v>
      </c>
      <c r="F126" s="53">
        <f t="shared" si="45"/>
        <v>0</v>
      </c>
      <c r="G126" s="50"/>
      <c r="H126" s="50"/>
      <c r="I126" s="18"/>
      <c r="J126" s="18"/>
      <c r="K126" s="18">
        <v>7.6</v>
      </c>
      <c r="L126" s="20"/>
      <c r="M126" s="20"/>
      <c r="N126" s="48"/>
      <c r="O126" s="48"/>
      <c r="P126" s="17" t="e">
        <f t="shared" si="32"/>
        <v>#DIV/0!</v>
      </c>
      <c r="Q126" s="27"/>
      <c r="R126" s="24"/>
      <c r="S126" s="18"/>
    </row>
    <row r="127" spans="1:19" ht="12.75">
      <c r="A127" s="25" t="s">
        <v>1</v>
      </c>
      <c r="B127" s="25"/>
      <c r="C127" s="32" t="s">
        <v>0</v>
      </c>
      <c r="D127" s="33">
        <f aca="true" t="shared" si="47" ref="D127:L127">D128</f>
        <v>26669.6</v>
      </c>
      <c r="E127" s="33">
        <f t="shared" si="47"/>
        <v>33177.7</v>
      </c>
      <c r="F127" s="59">
        <f t="shared" si="47"/>
        <v>27050.1</v>
      </c>
      <c r="G127" s="59">
        <f t="shared" si="47"/>
        <v>5481.7</v>
      </c>
      <c r="H127" s="59">
        <f t="shared" si="47"/>
        <v>9315.3</v>
      </c>
      <c r="I127" s="59">
        <f t="shared" si="47"/>
        <v>12253.1</v>
      </c>
      <c r="J127" s="33">
        <f t="shared" si="47"/>
        <v>6127.6</v>
      </c>
      <c r="K127" s="33">
        <f t="shared" si="47"/>
        <v>17184</v>
      </c>
      <c r="L127" s="33" t="e">
        <f t="shared" si="47"/>
        <v>#REF!</v>
      </c>
      <c r="M127" s="27">
        <f>K127/I127*100</f>
        <v>140.24206119267777</v>
      </c>
      <c r="N127" s="48"/>
      <c r="O127" s="48"/>
      <c r="P127" s="36">
        <f t="shared" si="32"/>
        <v>280.43605979502576</v>
      </c>
      <c r="Q127" s="27">
        <f t="shared" si="30"/>
        <v>63.52656736943671</v>
      </c>
      <c r="R127" s="24">
        <f t="shared" si="31"/>
        <v>51.7938253706556</v>
      </c>
      <c r="S127" s="24">
        <f t="shared" si="27"/>
        <v>64.43291237963824</v>
      </c>
    </row>
    <row r="128" spans="1:19" ht="24">
      <c r="A128" s="14" t="s">
        <v>67</v>
      </c>
      <c r="B128" s="12"/>
      <c r="C128" s="34" t="s">
        <v>20</v>
      </c>
      <c r="D128" s="37">
        <v>26669.6</v>
      </c>
      <c r="E128" s="50">
        <f t="shared" si="46"/>
        <v>33177.7</v>
      </c>
      <c r="F128" s="53">
        <f>G128+H128+I128</f>
        <v>27050.1</v>
      </c>
      <c r="G128" s="50">
        <v>5481.7</v>
      </c>
      <c r="H128" s="50">
        <v>9315.3</v>
      </c>
      <c r="I128" s="18">
        <f>12161+92.1</f>
        <v>12253.1</v>
      </c>
      <c r="J128" s="18">
        <v>6127.6</v>
      </c>
      <c r="K128" s="18">
        <v>17184</v>
      </c>
      <c r="L128" s="20" t="e">
        <f>K128/#REF!*100</f>
        <v>#REF!</v>
      </c>
      <c r="M128" s="20">
        <f>K128/I128*100</f>
        <v>140.24206119267777</v>
      </c>
      <c r="N128" s="48"/>
      <c r="O128" s="48"/>
      <c r="P128" s="17">
        <f t="shared" si="32"/>
        <v>280.43605979502576</v>
      </c>
      <c r="Q128" s="20">
        <f t="shared" si="30"/>
        <v>63.52656736943671</v>
      </c>
      <c r="R128" s="18">
        <f t="shared" si="31"/>
        <v>51.7938253706556</v>
      </c>
      <c r="S128" s="18">
        <f t="shared" si="27"/>
        <v>64.43291237963824</v>
      </c>
    </row>
    <row r="129" spans="1:19" ht="12.75">
      <c r="A129" s="21"/>
      <c r="B129" s="22"/>
      <c r="C129" s="23" t="s">
        <v>4</v>
      </c>
      <c r="D129" s="24">
        <f aca="true" t="shared" si="48" ref="D129:K129">D127+D115</f>
        <v>30710.6</v>
      </c>
      <c r="E129" s="24">
        <f t="shared" si="48"/>
        <v>37716.2</v>
      </c>
      <c r="F129" s="24">
        <f t="shared" si="48"/>
        <v>30607.6</v>
      </c>
      <c r="G129" s="24">
        <f t="shared" si="48"/>
        <v>6434</v>
      </c>
      <c r="H129" s="24">
        <f t="shared" si="48"/>
        <v>10383.199999999999</v>
      </c>
      <c r="I129" s="24">
        <f t="shared" si="48"/>
        <v>13790.400000000001</v>
      </c>
      <c r="J129" s="24">
        <f t="shared" si="48"/>
        <v>7108.6</v>
      </c>
      <c r="K129" s="24">
        <f t="shared" si="48"/>
        <v>19942.7</v>
      </c>
      <c r="L129" s="27" t="e">
        <f>K129/#REF!*100</f>
        <v>#REF!</v>
      </c>
      <c r="M129" s="27">
        <f>K129/I129*100</f>
        <v>144.6129191321499</v>
      </c>
      <c r="N129" s="48"/>
      <c r="O129" s="49" t="e">
        <f>J129+#REF!+#REF!</f>
        <v>#REF!</v>
      </c>
      <c r="P129" s="36">
        <f t="shared" si="32"/>
        <v>280.5432855977267</v>
      </c>
      <c r="Q129" s="27">
        <f t="shared" si="30"/>
        <v>65.15603967642024</v>
      </c>
      <c r="R129" s="24">
        <f t="shared" si="31"/>
        <v>52.87568737041378</v>
      </c>
      <c r="S129" s="24">
        <f t="shared" si="27"/>
        <v>64.93751343184438</v>
      </c>
    </row>
    <row r="130" spans="1:19" ht="12.75">
      <c r="A130" s="91"/>
      <c r="B130" s="92"/>
      <c r="C130" s="92"/>
      <c r="D130" s="92"/>
      <c r="E130" s="92"/>
      <c r="F130" s="92"/>
      <c r="G130" s="92"/>
      <c r="H130" s="92"/>
      <c r="I130" s="92"/>
      <c r="J130" s="92"/>
      <c r="K130" s="92"/>
      <c r="L130" s="92"/>
      <c r="M130" s="93"/>
      <c r="N130" s="48"/>
      <c r="O130" s="48"/>
      <c r="P130" s="47"/>
      <c r="Q130" s="27"/>
      <c r="R130" s="24"/>
      <c r="S130" s="18"/>
    </row>
    <row r="131" spans="1:19" ht="12.75">
      <c r="A131" s="88" t="s">
        <v>31</v>
      </c>
      <c r="B131" s="89"/>
      <c r="C131" s="8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90"/>
    </row>
    <row r="132" spans="1:19" ht="12.75">
      <c r="A132" s="25" t="s">
        <v>3</v>
      </c>
      <c r="B132" s="25"/>
      <c r="C132" s="26" t="s">
        <v>68</v>
      </c>
      <c r="D132" s="27">
        <f aca="true" t="shared" si="49" ref="D132:J132">D133+D135+D136+D137+D139+D141+D138+D140+D134</f>
        <v>8150.6</v>
      </c>
      <c r="E132" s="27">
        <f t="shared" si="49"/>
        <v>8475.8</v>
      </c>
      <c r="F132" s="27">
        <f t="shared" si="49"/>
        <v>6276</v>
      </c>
      <c r="G132" s="27">
        <f t="shared" si="49"/>
        <v>1445.3</v>
      </c>
      <c r="H132" s="27">
        <f t="shared" si="49"/>
        <v>2674.7</v>
      </c>
      <c r="I132" s="27">
        <f t="shared" si="49"/>
        <v>2156</v>
      </c>
      <c r="J132" s="27">
        <f t="shared" si="49"/>
        <v>2199.8</v>
      </c>
      <c r="K132" s="27">
        <f>K133+K135+K136+K137+K139+K141+K138+K140+K134</f>
        <v>5711.1</v>
      </c>
      <c r="L132" s="27" t="e">
        <f>K132/#REF!*100</f>
        <v>#REF!</v>
      </c>
      <c r="M132" s="27">
        <f aca="true" t="shared" si="50" ref="M132:M139">K132/I132*100</f>
        <v>264.89332096474953</v>
      </c>
      <c r="N132" s="48"/>
      <c r="O132" s="48"/>
      <c r="P132" s="27">
        <f t="shared" si="32"/>
        <v>259.6190562778434</v>
      </c>
      <c r="Q132" s="27">
        <f t="shared" si="30"/>
        <v>90.99904397705545</v>
      </c>
      <c r="R132" s="24">
        <f t="shared" si="31"/>
        <v>67.38125014747871</v>
      </c>
      <c r="S132" s="24">
        <f t="shared" si="27"/>
        <v>70.06968812111991</v>
      </c>
    </row>
    <row r="133" spans="1:19" ht="12.75">
      <c r="A133" s="21" t="s">
        <v>23</v>
      </c>
      <c r="B133" s="21"/>
      <c r="C133" s="28" t="s">
        <v>22</v>
      </c>
      <c r="D133" s="50">
        <v>2250</v>
      </c>
      <c r="E133" s="50">
        <f>G133+H133+I133+J133</f>
        <v>2250</v>
      </c>
      <c r="F133" s="53">
        <f>G133+H133+I133</f>
        <v>1710</v>
      </c>
      <c r="G133" s="37">
        <v>405</v>
      </c>
      <c r="H133" s="37">
        <v>697.5</v>
      </c>
      <c r="I133" s="17">
        <v>607.5</v>
      </c>
      <c r="J133" s="18">
        <v>540</v>
      </c>
      <c r="K133" s="18">
        <v>1880.3</v>
      </c>
      <c r="L133" s="20" t="e">
        <f>K133/#REF!*100</f>
        <v>#REF!</v>
      </c>
      <c r="M133" s="20">
        <f t="shared" si="50"/>
        <v>309.51440329218104</v>
      </c>
      <c r="N133" s="48"/>
      <c r="O133" s="48"/>
      <c r="P133" s="17">
        <f t="shared" si="32"/>
        <v>348.2037037037037</v>
      </c>
      <c r="Q133" s="20">
        <f t="shared" si="30"/>
        <v>109.95906432748538</v>
      </c>
      <c r="R133" s="18">
        <f t="shared" si="31"/>
        <v>83.56888888888889</v>
      </c>
      <c r="S133" s="18">
        <f t="shared" si="27"/>
        <v>83.56888888888889</v>
      </c>
    </row>
    <row r="134" spans="1:19" ht="12.75">
      <c r="A134" s="12" t="s">
        <v>70</v>
      </c>
      <c r="B134" s="12"/>
      <c r="C134" s="28" t="s">
        <v>71</v>
      </c>
      <c r="D134" s="50">
        <v>5246.2</v>
      </c>
      <c r="E134" s="50">
        <f>G134+H134+I134+J134</f>
        <v>5246.2</v>
      </c>
      <c r="F134" s="53">
        <f aca="true" t="shared" si="51" ref="F134:F141">G134+H134+I134</f>
        <v>3748.3999999999996</v>
      </c>
      <c r="G134" s="37">
        <v>944.3</v>
      </c>
      <c r="H134" s="37">
        <v>1387.6</v>
      </c>
      <c r="I134" s="17">
        <v>1416.5</v>
      </c>
      <c r="J134" s="18">
        <v>1497.8</v>
      </c>
      <c r="K134" s="18">
        <v>3368.4</v>
      </c>
      <c r="L134" s="20"/>
      <c r="M134" s="20"/>
      <c r="N134" s="48"/>
      <c r="O134" s="48"/>
      <c r="P134" s="17"/>
      <c r="Q134" s="20">
        <f>K134*100/F134</f>
        <v>89.86234126560667</v>
      </c>
      <c r="R134" s="18">
        <f>K134*100/E134</f>
        <v>64.20647325683352</v>
      </c>
      <c r="S134" s="18">
        <f t="shared" si="27"/>
        <v>64.20647325683352</v>
      </c>
    </row>
    <row r="135" spans="1:19" ht="12.75">
      <c r="A135" s="12" t="s">
        <v>9</v>
      </c>
      <c r="B135" s="12"/>
      <c r="C135" s="28" t="s">
        <v>6</v>
      </c>
      <c r="D135" s="50">
        <v>298</v>
      </c>
      <c r="E135" s="50">
        <f aca="true" t="shared" si="52" ref="E135:E144">G135+H135+I135+J135</f>
        <v>298</v>
      </c>
      <c r="F135" s="53">
        <f t="shared" si="51"/>
        <v>218.1</v>
      </c>
      <c r="G135" s="37">
        <v>53.6</v>
      </c>
      <c r="H135" s="37">
        <v>89.4</v>
      </c>
      <c r="I135" s="17">
        <v>75.1</v>
      </c>
      <c r="J135" s="18">
        <v>79.9</v>
      </c>
      <c r="K135" s="18">
        <v>140.4</v>
      </c>
      <c r="L135" s="20" t="e">
        <f>K135/#REF!*100</f>
        <v>#REF!</v>
      </c>
      <c r="M135" s="20">
        <f t="shared" si="50"/>
        <v>186.95073235685754</v>
      </c>
      <c r="N135" s="48"/>
      <c r="O135" s="48"/>
      <c r="P135" s="17">
        <f t="shared" si="32"/>
        <v>175.71964956195242</v>
      </c>
      <c r="Q135" s="20">
        <f t="shared" si="30"/>
        <v>64.37414030261348</v>
      </c>
      <c r="R135" s="18">
        <f t="shared" si="31"/>
        <v>47.11409395973154</v>
      </c>
      <c r="S135" s="18">
        <f t="shared" si="27"/>
        <v>47.11409395973154</v>
      </c>
    </row>
    <row r="136" spans="1:19" ht="12.75">
      <c r="A136" s="12" t="s">
        <v>10</v>
      </c>
      <c r="B136" s="12"/>
      <c r="C136" s="28" t="s">
        <v>21</v>
      </c>
      <c r="D136" s="50">
        <v>56.4</v>
      </c>
      <c r="E136" s="50">
        <f t="shared" si="52"/>
        <v>56.4</v>
      </c>
      <c r="F136" s="53">
        <f t="shared" si="51"/>
        <v>42.9</v>
      </c>
      <c r="G136" s="37">
        <v>10.2</v>
      </c>
      <c r="H136" s="37">
        <v>17.5</v>
      </c>
      <c r="I136" s="17">
        <v>15.2</v>
      </c>
      <c r="J136" s="18">
        <v>13.5</v>
      </c>
      <c r="K136" s="18">
        <v>8.5</v>
      </c>
      <c r="L136" s="20" t="e">
        <f>K136/#REF!*100</f>
        <v>#REF!</v>
      </c>
      <c r="M136" s="20">
        <f t="shared" si="50"/>
        <v>55.92105263157895</v>
      </c>
      <c r="N136" s="48"/>
      <c r="O136" s="48"/>
      <c r="P136" s="17">
        <f t="shared" si="32"/>
        <v>62.96296296296296</v>
      </c>
      <c r="Q136" s="20">
        <f t="shared" si="30"/>
        <v>19.813519813519815</v>
      </c>
      <c r="R136" s="18">
        <f t="shared" si="31"/>
        <v>15.070921985815604</v>
      </c>
      <c r="S136" s="18">
        <f t="shared" si="27"/>
        <v>15.070921985815604</v>
      </c>
    </row>
    <row r="137" spans="1:19" ht="24">
      <c r="A137" s="13" t="s">
        <v>11</v>
      </c>
      <c r="B137" s="13"/>
      <c r="C137" s="28" t="s">
        <v>17</v>
      </c>
      <c r="D137" s="50">
        <v>220</v>
      </c>
      <c r="E137" s="50">
        <f t="shared" si="52"/>
        <v>354.2</v>
      </c>
      <c r="F137" s="53">
        <f t="shared" si="51"/>
        <v>325.5</v>
      </c>
      <c r="G137" s="37">
        <v>12.6</v>
      </c>
      <c r="H137" s="37">
        <v>291</v>
      </c>
      <c r="I137" s="17">
        <v>21.9</v>
      </c>
      <c r="J137" s="18">
        <v>28.7</v>
      </c>
      <c r="K137" s="18">
        <v>227.6</v>
      </c>
      <c r="L137" s="20" t="e">
        <f>K137/#REF!*100</f>
        <v>#REF!</v>
      </c>
      <c r="M137" s="20">
        <f t="shared" si="50"/>
        <v>1039.269406392694</v>
      </c>
      <c r="N137" s="48"/>
      <c r="O137" s="48"/>
      <c r="P137" s="17">
        <f t="shared" si="32"/>
        <v>793.0313588850174</v>
      </c>
      <c r="Q137" s="20">
        <f t="shared" si="30"/>
        <v>69.92319508448541</v>
      </c>
      <c r="R137" s="18">
        <f t="shared" si="31"/>
        <v>64.257481648786</v>
      </c>
      <c r="S137" s="18">
        <f t="shared" si="27"/>
        <v>103.45454545454545</v>
      </c>
    </row>
    <row r="138" spans="1:19" ht="12.75">
      <c r="A138" s="30" t="s">
        <v>42</v>
      </c>
      <c r="B138" s="30"/>
      <c r="C138" s="28" t="s">
        <v>43</v>
      </c>
      <c r="D138" s="50">
        <v>80</v>
      </c>
      <c r="E138" s="50">
        <f t="shared" si="52"/>
        <v>100</v>
      </c>
      <c r="F138" s="53">
        <f t="shared" si="51"/>
        <v>60.099999999999994</v>
      </c>
      <c r="G138" s="37">
        <v>19.6</v>
      </c>
      <c r="H138" s="37">
        <v>20.7</v>
      </c>
      <c r="I138" s="17">
        <v>19.8</v>
      </c>
      <c r="J138" s="18">
        <v>39.9</v>
      </c>
      <c r="K138" s="18">
        <v>50</v>
      </c>
      <c r="L138" s="20" t="e">
        <f>K138/#REF!*100</f>
        <v>#REF!</v>
      </c>
      <c r="M138" s="20">
        <f t="shared" si="50"/>
        <v>252.5252525252525</v>
      </c>
      <c r="N138" s="48"/>
      <c r="O138" s="48"/>
      <c r="P138" s="17">
        <f t="shared" si="32"/>
        <v>125.31328320802005</v>
      </c>
      <c r="Q138" s="20">
        <f t="shared" si="30"/>
        <v>83.1946755407654</v>
      </c>
      <c r="R138" s="18">
        <f t="shared" si="31"/>
        <v>50</v>
      </c>
      <c r="S138" s="18">
        <f aca="true" t="shared" si="53" ref="S138:S201">K138*100/D138</f>
        <v>62.5</v>
      </c>
    </row>
    <row r="139" spans="1:19" ht="18.75" customHeight="1">
      <c r="A139" s="30" t="s">
        <v>18</v>
      </c>
      <c r="B139" s="30"/>
      <c r="C139" s="28" t="s">
        <v>15</v>
      </c>
      <c r="D139" s="50">
        <v>0</v>
      </c>
      <c r="E139" s="50">
        <f t="shared" si="52"/>
        <v>171</v>
      </c>
      <c r="F139" s="53">
        <f t="shared" si="51"/>
        <v>171</v>
      </c>
      <c r="G139" s="37"/>
      <c r="H139" s="37">
        <v>171</v>
      </c>
      <c r="I139" s="17"/>
      <c r="J139" s="18"/>
      <c r="K139" s="18">
        <v>31.4</v>
      </c>
      <c r="L139" s="20" t="e">
        <f>K139/#REF!*100</f>
        <v>#REF!</v>
      </c>
      <c r="M139" s="20" t="e">
        <f t="shared" si="50"/>
        <v>#DIV/0!</v>
      </c>
      <c r="N139" s="48"/>
      <c r="O139" s="48"/>
      <c r="P139" s="17" t="e">
        <f t="shared" si="32"/>
        <v>#DIV/0!</v>
      </c>
      <c r="Q139" s="20">
        <f t="shared" si="30"/>
        <v>18.362573099415204</v>
      </c>
      <c r="R139" s="18">
        <f t="shared" si="31"/>
        <v>18.362573099415204</v>
      </c>
      <c r="S139" s="18"/>
    </row>
    <row r="140" spans="1:19" ht="15" customHeight="1" hidden="1">
      <c r="A140" s="21" t="s">
        <v>12</v>
      </c>
      <c r="B140" s="21"/>
      <c r="C140" s="28" t="s">
        <v>7</v>
      </c>
      <c r="D140" s="50"/>
      <c r="E140" s="50">
        <f t="shared" si="52"/>
        <v>0</v>
      </c>
      <c r="F140" s="53">
        <f t="shared" si="51"/>
        <v>0</v>
      </c>
      <c r="G140" s="37"/>
      <c r="H140" s="37"/>
      <c r="I140" s="17"/>
      <c r="J140" s="18"/>
      <c r="K140" s="18"/>
      <c r="L140" s="20"/>
      <c r="M140" s="20"/>
      <c r="N140" s="48"/>
      <c r="O140" s="48"/>
      <c r="P140" s="17"/>
      <c r="Q140" s="20"/>
      <c r="R140" s="18"/>
      <c r="S140" s="18"/>
    </row>
    <row r="141" spans="1:19" ht="12.75">
      <c r="A141" s="30" t="s">
        <v>39</v>
      </c>
      <c r="B141" s="58"/>
      <c r="C141" s="16" t="s">
        <v>40</v>
      </c>
      <c r="D141" s="50"/>
      <c r="E141" s="50">
        <f t="shared" si="52"/>
        <v>0</v>
      </c>
      <c r="F141" s="53">
        <f t="shared" si="51"/>
        <v>0</v>
      </c>
      <c r="G141" s="37"/>
      <c r="H141" s="37"/>
      <c r="I141" s="17"/>
      <c r="J141" s="18"/>
      <c r="K141" s="17">
        <v>4.5</v>
      </c>
      <c r="L141" s="20"/>
      <c r="M141" s="20"/>
      <c r="N141" s="48"/>
      <c r="O141" s="48"/>
      <c r="P141" s="17"/>
      <c r="Q141" s="20"/>
      <c r="R141" s="18"/>
      <c r="S141" s="18"/>
    </row>
    <row r="142" spans="1:19" ht="12.75">
      <c r="A142" s="52" t="s">
        <v>1</v>
      </c>
      <c r="B142" s="52"/>
      <c r="C142" s="32" t="s">
        <v>0</v>
      </c>
      <c r="D142" s="33">
        <f aca="true" t="shared" si="54" ref="D142:K142">D143+D144</f>
        <v>42714</v>
      </c>
      <c r="E142" s="33">
        <f t="shared" si="54"/>
        <v>49404.799999999996</v>
      </c>
      <c r="F142" s="33">
        <f t="shared" si="54"/>
        <v>36699.299999999996</v>
      </c>
      <c r="G142" s="33">
        <f t="shared" si="54"/>
        <v>13333.9</v>
      </c>
      <c r="H142" s="33">
        <f t="shared" si="54"/>
        <v>13032.3</v>
      </c>
      <c r="I142" s="33">
        <f t="shared" si="54"/>
        <v>11167.099999999999</v>
      </c>
      <c r="J142" s="33">
        <f t="shared" si="54"/>
        <v>11871.5</v>
      </c>
      <c r="K142" s="33">
        <f t="shared" si="54"/>
        <v>26566.7</v>
      </c>
      <c r="L142" s="27" t="e">
        <f>K142/#REF!*100</f>
        <v>#REF!</v>
      </c>
      <c r="M142" s="27">
        <f>K142/I142*100</f>
        <v>237.90151426959554</v>
      </c>
      <c r="N142" s="48"/>
      <c r="O142" s="48"/>
      <c r="P142" s="36">
        <f t="shared" si="32"/>
        <v>223.78553678979068</v>
      </c>
      <c r="Q142" s="27">
        <f t="shared" si="30"/>
        <v>72.39020907755734</v>
      </c>
      <c r="R142" s="24">
        <f t="shared" si="31"/>
        <v>53.77351998186411</v>
      </c>
      <c r="S142" s="24">
        <f t="shared" si="53"/>
        <v>62.19670365688065</v>
      </c>
    </row>
    <row r="143" spans="1:19" ht="24">
      <c r="A143" s="14" t="s">
        <v>67</v>
      </c>
      <c r="B143" s="12"/>
      <c r="C143" s="34" t="s">
        <v>20</v>
      </c>
      <c r="D143" s="37">
        <v>42714</v>
      </c>
      <c r="E143" s="50">
        <f t="shared" si="52"/>
        <v>48570.799999999996</v>
      </c>
      <c r="F143" s="53">
        <f>G143+H143+I143</f>
        <v>36699.299999999996</v>
      </c>
      <c r="G143" s="37">
        <v>13333.9</v>
      </c>
      <c r="H143" s="37">
        <v>13032.3</v>
      </c>
      <c r="I143" s="17">
        <f>10300.8+32.3</f>
        <v>10333.099999999999</v>
      </c>
      <c r="J143" s="18">
        <v>11871.5</v>
      </c>
      <c r="K143" s="18">
        <v>25732.7</v>
      </c>
      <c r="L143" s="20" t="e">
        <f>K143/#REF!*100</f>
        <v>#REF!</v>
      </c>
      <c r="M143" s="20">
        <f>K143/I143*100</f>
        <v>249.03175232989136</v>
      </c>
      <c r="N143" s="48"/>
      <c r="O143" s="48"/>
      <c r="P143" s="17">
        <f t="shared" si="32"/>
        <v>216.7603083013941</v>
      </c>
      <c r="Q143" s="20">
        <f t="shared" si="30"/>
        <v>70.11768616840104</v>
      </c>
      <c r="R143" s="18">
        <f t="shared" si="31"/>
        <v>52.979773855896966</v>
      </c>
      <c r="S143" s="18">
        <f t="shared" si="53"/>
        <v>60.24418223533268</v>
      </c>
    </row>
    <row r="144" spans="1:19" ht="12.75" customHeight="1">
      <c r="A144" s="14" t="s">
        <v>2</v>
      </c>
      <c r="B144" s="14"/>
      <c r="C144" s="35" t="s">
        <v>19</v>
      </c>
      <c r="D144" s="35"/>
      <c r="E144" s="50">
        <f t="shared" si="52"/>
        <v>834</v>
      </c>
      <c r="F144" s="50">
        <f>G144</f>
        <v>0</v>
      </c>
      <c r="G144" s="57"/>
      <c r="H144" s="57"/>
      <c r="I144" s="17">
        <v>834</v>
      </c>
      <c r="J144" s="18"/>
      <c r="K144" s="18">
        <v>834</v>
      </c>
      <c r="L144" s="20"/>
      <c r="M144" s="20"/>
      <c r="N144" s="48"/>
      <c r="O144" s="48"/>
      <c r="P144" s="17" t="e">
        <f t="shared" si="32"/>
        <v>#DIV/0!</v>
      </c>
      <c r="Q144" s="20"/>
      <c r="R144" s="18"/>
      <c r="S144" s="18"/>
    </row>
    <row r="145" spans="1:19" ht="12.75">
      <c r="A145" s="21"/>
      <c r="B145" s="22"/>
      <c r="C145" s="23" t="s">
        <v>4</v>
      </c>
      <c r="D145" s="24">
        <f aca="true" t="shared" si="55" ref="D145:K145">D142+D132</f>
        <v>50864.6</v>
      </c>
      <c r="E145" s="24">
        <f t="shared" si="55"/>
        <v>57880.59999999999</v>
      </c>
      <c r="F145" s="24">
        <f t="shared" si="55"/>
        <v>42975.299999999996</v>
      </c>
      <c r="G145" s="36">
        <f t="shared" si="55"/>
        <v>14779.199999999999</v>
      </c>
      <c r="H145" s="36">
        <f t="shared" si="55"/>
        <v>15707</v>
      </c>
      <c r="I145" s="36">
        <f t="shared" si="55"/>
        <v>13323.099999999999</v>
      </c>
      <c r="J145" s="24">
        <f t="shared" si="55"/>
        <v>14071.3</v>
      </c>
      <c r="K145" s="24">
        <f t="shared" si="55"/>
        <v>32277.800000000003</v>
      </c>
      <c r="L145" s="27" t="e">
        <f>K145/#REF!*100</f>
        <v>#REF!</v>
      </c>
      <c r="M145" s="27">
        <f>K145/I145*100</f>
        <v>242.26944179657895</v>
      </c>
      <c r="N145" s="48"/>
      <c r="O145" s="49" t="e">
        <f>J145+#REF!+#REF!</f>
        <v>#REF!</v>
      </c>
      <c r="P145" s="36">
        <f t="shared" si="32"/>
        <v>229.38747663684242</v>
      </c>
      <c r="Q145" s="27">
        <f t="shared" si="30"/>
        <v>75.10779447729279</v>
      </c>
      <c r="R145" s="24">
        <f t="shared" si="31"/>
        <v>55.766180723765835</v>
      </c>
      <c r="S145" s="24">
        <f t="shared" si="53"/>
        <v>63.45827943206081</v>
      </c>
    </row>
    <row r="146" spans="1:19" ht="12.75">
      <c r="A146" s="100"/>
      <c r="B146" s="101"/>
      <c r="C146" s="101"/>
      <c r="D146" s="101"/>
      <c r="E146" s="101"/>
      <c r="F146" s="101"/>
      <c r="G146" s="101"/>
      <c r="H146" s="101"/>
      <c r="I146" s="101"/>
      <c r="J146" s="101"/>
      <c r="K146" s="101"/>
      <c r="L146" s="101"/>
      <c r="M146" s="102"/>
      <c r="N146" s="48"/>
      <c r="O146" s="48"/>
      <c r="P146" s="47"/>
      <c r="Q146" s="27"/>
      <c r="R146" s="24"/>
      <c r="S146" s="18"/>
    </row>
    <row r="147" spans="1:19" ht="12.75">
      <c r="A147" s="88" t="s">
        <v>32</v>
      </c>
      <c r="B147" s="89"/>
      <c r="C147" s="8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90"/>
    </row>
    <row r="148" spans="1:19" ht="12.75">
      <c r="A148" s="25" t="s">
        <v>3</v>
      </c>
      <c r="B148" s="25"/>
      <c r="C148" s="26" t="s">
        <v>68</v>
      </c>
      <c r="D148" s="27">
        <f aca="true" t="shared" si="56" ref="D148:K148">D149+D152+D154+D156+D153+D157+D155+D158+D151+D150</f>
        <v>18388.7</v>
      </c>
      <c r="E148" s="27">
        <f t="shared" si="56"/>
        <v>18388.7</v>
      </c>
      <c r="F148" s="27">
        <f t="shared" si="56"/>
        <v>13906.400000000001</v>
      </c>
      <c r="G148" s="27">
        <f t="shared" si="56"/>
        <v>4398.4</v>
      </c>
      <c r="H148" s="27">
        <f t="shared" si="56"/>
        <v>5217.5</v>
      </c>
      <c r="I148" s="27">
        <f t="shared" si="56"/>
        <v>4290.5</v>
      </c>
      <c r="J148" s="27">
        <f t="shared" si="56"/>
        <v>4482.3</v>
      </c>
      <c r="K148" s="27">
        <f t="shared" si="56"/>
        <v>12277.600000000002</v>
      </c>
      <c r="L148" s="27" t="e">
        <f>K148/#REF!*100</f>
        <v>#REF!</v>
      </c>
      <c r="M148" s="27">
        <f>K148/I148*100</f>
        <v>286.15779046731154</v>
      </c>
      <c r="N148" s="48"/>
      <c r="O148" s="48"/>
      <c r="P148" s="27">
        <f t="shared" si="32"/>
        <v>273.91294647837054</v>
      </c>
      <c r="Q148" s="27">
        <f t="shared" si="30"/>
        <v>88.28740723695566</v>
      </c>
      <c r="R148" s="24">
        <f t="shared" si="31"/>
        <v>66.76709065893729</v>
      </c>
      <c r="S148" s="24">
        <f t="shared" si="53"/>
        <v>66.76709065893729</v>
      </c>
    </row>
    <row r="149" spans="1:19" ht="12.75">
      <c r="A149" s="21" t="s">
        <v>23</v>
      </c>
      <c r="B149" s="21"/>
      <c r="C149" s="28" t="s">
        <v>22</v>
      </c>
      <c r="D149" s="50">
        <v>13000</v>
      </c>
      <c r="E149" s="37">
        <f>G149+H149+I149+J149</f>
        <v>13000</v>
      </c>
      <c r="F149" s="53">
        <f>G149+H149+I149</f>
        <v>10200</v>
      </c>
      <c r="G149" s="37">
        <v>3030</v>
      </c>
      <c r="H149" s="37">
        <v>4080</v>
      </c>
      <c r="I149" s="17">
        <v>3090</v>
      </c>
      <c r="J149" s="18">
        <v>2800</v>
      </c>
      <c r="K149" s="18">
        <v>8819.9</v>
      </c>
      <c r="L149" s="20" t="e">
        <f>K149/#REF!*100</f>
        <v>#REF!</v>
      </c>
      <c r="M149" s="20">
        <f>K149/I149*100</f>
        <v>285.43365695792875</v>
      </c>
      <c r="N149" s="48"/>
      <c r="O149" s="48"/>
      <c r="P149" s="17">
        <f t="shared" si="32"/>
        <v>314.99642857142857</v>
      </c>
      <c r="Q149" s="20">
        <f t="shared" si="30"/>
        <v>86.46960784313725</v>
      </c>
      <c r="R149" s="18">
        <f t="shared" si="31"/>
        <v>67.84538461538462</v>
      </c>
      <c r="S149" s="18">
        <f t="shared" si="53"/>
        <v>67.84538461538462</v>
      </c>
    </row>
    <row r="150" spans="1:19" ht="12.75">
      <c r="A150" s="12" t="s">
        <v>70</v>
      </c>
      <c r="B150" s="12"/>
      <c r="C150" s="28" t="s">
        <v>71</v>
      </c>
      <c r="D150" s="50">
        <v>3943.7</v>
      </c>
      <c r="E150" s="37">
        <f>G150+H150+I150+J150</f>
        <v>3943.7</v>
      </c>
      <c r="F150" s="53">
        <f aca="true" t="shared" si="57" ref="F150:F158">G150+H150+I150</f>
        <v>3063.7</v>
      </c>
      <c r="G150" s="37">
        <v>1110.9</v>
      </c>
      <c r="H150" s="37">
        <v>933.8</v>
      </c>
      <c r="I150" s="17">
        <v>1019</v>
      </c>
      <c r="J150" s="18">
        <v>880</v>
      </c>
      <c r="K150" s="18">
        <v>2532.2</v>
      </c>
      <c r="L150" s="20"/>
      <c r="M150" s="20"/>
      <c r="N150" s="48"/>
      <c r="O150" s="48"/>
      <c r="P150" s="17"/>
      <c r="Q150" s="20">
        <f>K150*100/F150</f>
        <v>82.6516956621079</v>
      </c>
      <c r="R150" s="18">
        <f>K150*100/E150</f>
        <v>64.2087379871694</v>
      </c>
      <c r="S150" s="18">
        <f t="shared" si="53"/>
        <v>64.2087379871694</v>
      </c>
    </row>
    <row r="151" spans="1:19" ht="12.75" customHeight="1">
      <c r="A151" s="12" t="s">
        <v>8</v>
      </c>
      <c r="B151" s="12"/>
      <c r="C151" s="28" t="s">
        <v>5</v>
      </c>
      <c r="D151" s="50">
        <v>16</v>
      </c>
      <c r="E151" s="37">
        <f aca="true" t="shared" si="58" ref="E151:E160">G151+H151+I151+J151</f>
        <v>16</v>
      </c>
      <c r="F151" s="53">
        <f t="shared" si="57"/>
        <v>11.2</v>
      </c>
      <c r="G151" s="37">
        <v>5</v>
      </c>
      <c r="H151" s="37">
        <v>3.2</v>
      </c>
      <c r="I151" s="17">
        <v>3</v>
      </c>
      <c r="J151" s="18">
        <v>4.8</v>
      </c>
      <c r="K151" s="18">
        <v>9.7</v>
      </c>
      <c r="L151" s="20"/>
      <c r="M151" s="20"/>
      <c r="N151" s="48"/>
      <c r="O151" s="48"/>
      <c r="P151" s="17">
        <f t="shared" si="32"/>
        <v>202.08333333333331</v>
      </c>
      <c r="Q151" s="20">
        <f>K151*100/F151</f>
        <v>86.60714285714285</v>
      </c>
      <c r="R151" s="18">
        <f>K151*100/E151</f>
        <v>60.62499999999999</v>
      </c>
      <c r="S151" s="18">
        <f t="shared" si="53"/>
        <v>60.62499999999999</v>
      </c>
    </row>
    <row r="152" spans="1:19" ht="12.75">
      <c r="A152" s="12" t="s">
        <v>9</v>
      </c>
      <c r="B152" s="12"/>
      <c r="C152" s="28" t="s">
        <v>6</v>
      </c>
      <c r="D152" s="50">
        <v>1137</v>
      </c>
      <c r="E152" s="37">
        <f t="shared" si="58"/>
        <v>1137</v>
      </c>
      <c r="F152" s="53">
        <f t="shared" si="57"/>
        <v>420</v>
      </c>
      <c r="G152" s="37">
        <v>170</v>
      </c>
      <c r="H152" s="37">
        <v>129</v>
      </c>
      <c r="I152" s="17">
        <v>121</v>
      </c>
      <c r="J152" s="18">
        <v>717</v>
      </c>
      <c r="K152" s="18">
        <v>699.4</v>
      </c>
      <c r="L152" s="20" t="e">
        <f>K152/#REF!*100</f>
        <v>#REF!</v>
      </c>
      <c r="M152" s="20">
        <f>K152/I152*100</f>
        <v>578.0165289256198</v>
      </c>
      <c r="N152" s="48"/>
      <c r="O152" s="48"/>
      <c r="P152" s="17">
        <f t="shared" si="32"/>
        <v>97.54532775453278</v>
      </c>
      <c r="Q152" s="20">
        <f aca="true" t="shared" si="59" ref="Q152:Q218">K152*100/F152</f>
        <v>166.52380952380952</v>
      </c>
      <c r="R152" s="18">
        <f aca="true" t="shared" si="60" ref="R152:R218">K152*100/E152</f>
        <v>61.512752858399296</v>
      </c>
      <c r="S152" s="18">
        <f t="shared" si="53"/>
        <v>61.512752858399296</v>
      </c>
    </row>
    <row r="153" spans="1:19" ht="12.75">
      <c r="A153" s="12" t="s">
        <v>10</v>
      </c>
      <c r="B153" s="12"/>
      <c r="C153" s="28" t="s">
        <v>21</v>
      </c>
      <c r="D153" s="50">
        <v>132</v>
      </c>
      <c r="E153" s="37">
        <f t="shared" si="58"/>
        <v>132</v>
      </c>
      <c r="F153" s="53">
        <f t="shared" si="57"/>
        <v>94</v>
      </c>
      <c r="G153" s="37">
        <v>43</v>
      </c>
      <c r="H153" s="37">
        <v>34</v>
      </c>
      <c r="I153" s="17">
        <v>17</v>
      </c>
      <c r="J153" s="18">
        <v>38</v>
      </c>
      <c r="K153" s="18">
        <v>68.2</v>
      </c>
      <c r="L153" s="20" t="e">
        <f>K153/#REF!*100</f>
        <v>#REF!</v>
      </c>
      <c r="M153" s="20">
        <f>K153/I153*100</f>
        <v>401.1764705882353</v>
      </c>
      <c r="N153" s="48"/>
      <c r="O153" s="48"/>
      <c r="P153" s="17">
        <f t="shared" si="32"/>
        <v>179.47368421052633</v>
      </c>
      <c r="Q153" s="20">
        <f t="shared" si="59"/>
        <v>72.55319148936171</v>
      </c>
      <c r="R153" s="18">
        <f t="shared" si="60"/>
        <v>51.666666666666664</v>
      </c>
      <c r="S153" s="18">
        <f t="shared" si="53"/>
        <v>51.666666666666664</v>
      </c>
    </row>
    <row r="154" spans="1:19" ht="24">
      <c r="A154" s="13" t="s">
        <v>11</v>
      </c>
      <c r="B154" s="13"/>
      <c r="C154" s="28" t="s">
        <v>17</v>
      </c>
      <c r="D154" s="50">
        <v>160</v>
      </c>
      <c r="E154" s="37">
        <f t="shared" si="58"/>
        <v>160</v>
      </c>
      <c r="F154" s="53">
        <f t="shared" si="57"/>
        <v>117.5</v>
      </c>
      <c r="G154" s="37">
        <v>39.5</v>
      </c>
      <c r="H154" s="37">
        <v>37.5</v>
      </c>
      <c r="I154" s="17">
        <v>40.5</v>
      </c>
      <c r="J154" s="18">
        <v>42.5</v>
      </c>
      <c r="K154" s="18">
        <v>125.9</v>
      </c>
      <c r="L154" s="20" t="e">
        <f>K154/#REF!*100</f>
        <v>#REF!</v>
      </c>
      <c r="M154" s="20">
        <f>K154/I154*100</f>
        <v>310.8641975308642</v>
      </c>
      <c r="N154" s="48"/>
      <c r="O154" s="48"/>
      <c r="P154" s="17">
        <f t="shared" si="32"/>
        <v>296.2352941176471</v>
      </c>
      <c r="Q154" s="20">
        <f t="shared" si="59"/>
        <v>107.14893617021276</v>
      </c>
      <c r="R154" s="18">
        <f t="shared" si="60"/>
        <v>78.6875</v>
      </c>
      <c r="S154" s="18">
        <f t="shared" si="53"/>
        <v>78.6875</v>
      </c>
    </row>
    <row r="155" spans="1:19" ht="19.5" customHeight="1">
      <c r="A155" s="30" t="s">
        <v>42</v>
      </c>
      <c r="B155" s="30"/>
      <c r="C155" s="28" t="s">
        <v>43</v>
      </c>
      <c r="D155" s="50"/>
      <c r="E155" s="37">
        <f t="shared" si="58"/>
        <v>0</v>
      </c>
      <c r="F155" s="53">
        <f t="shared" si="57"/>
        <v>0</v>
      </c>
      <c r="G155" s="37"/>
      <c r="H155" s="37"/>
      <c r="I155" s="17"/>
      <c r="J155" s="18"/>
      <c r="K155" s="18">
        <v>12.2</v>
      </c>
      <c r="L155" s="20"/>
      <c r="M155" s="20"/>
      <c r="N155" s="48"/>
      <c r="O155" s="48"/>
      <c r="P155" s="17" t="e">
        <f aca="true" t="shared" si="61" ref="P155:P221">K155*100/J155</f>
        <v>#DIV/0!</v>
      </c>
      <c r="Q155" s="20"/>
      <c r="R155" s="18"/>
      <c r="S155" s="18"/>
    </row>
    <row r="156" spans="1:19" ht="19.5" customHeight="1" hidden="1">
      <c r="A156" s="29" t="s">
        <v>18</v>
      </c>
      <c r="B156" s="29"/>
      <c r="C156" s="28" t="s">
        <v>15</v>
      </c>
      <c r="D156" s="50"/>
      <c r="E156" s="37">
        <f t="shared" si="58"/>
        <v>0</v>
      </c>
      <c r="F156" s="53">
        <f t="shared" si="57"/>
        <v>0</v>
      </c>
      <c r="G156" s="37"/>
      <c r="H156" s="37"/>
      <c r="I156" s="17"/>
      <c r="J156" s="18"/>
      <c r="K156" s="18"/>
      <c r="L156" s="20" t="e">
        <f>K156/#REF!*100</f>
        <v>#REF!</v>
      </c>
      <c r="M156" s="20" t="e">
        <f>K156/I156*100</f>
        <v>#DIV/0!</v>
      </c>
      <c r="N156" s="48"/>
      <c r="O156" s="48"/>
      <c r="P156" s="17" t="e">
        <f t="shared" si="61"/>
        <v>#DIV/0!</v>
      </c>
      <c r="Q156" s="20"/>
      <c r="R156" s="18"/>
      <c r="S156" s="18"/>
    </row>
    <row r="157" spans="1:19" ht="17.25" customHeight="1">
      <c r="A157" s="21" t="s">
        <v>12</v>
      </c>
      <c r="B157" s="21"/>
      <c r="C157" s="28" t="s">
        <v>7</v>
      </c>
      <c r="D157" s="50"/>
      <c r="E157" s="37">
        <f t="shared" si="58"/>
        <v>0</v>
      </c>
      <c r="F157" s="53">
        <f t="shared" si="57"/>
        <v>0</v>
      </c>
      <c r="G157" s="37"/>
      <c r="H157" s="37"/>
      <c r="I157" s="17"/>
      <c r="J157" s="18"/>
      <c r="K157" s="18">
        <v>10.1</v>
      </c>
      <c r="L157" s="20" t="e">
        <f>K157/#REF!*100</f>
        <v>#REF!</v>
      </c>
      <c r="M157" s="20"/>
      <c r="N157" s="48"/>
      <c r="O157" s="48"/>
      <c r="P157" s="17" t="e">
        <f t="shared" si="61"/>
        <v>#DIV/0!</v>
      </c>
      <c r="Q157" s="20"/>
      <c r="R157" s="18"/>
      <c r="S157" s="18"/>
    </row>
    <row r="158" spans="1:19" ht="16.5" customHeight="1">
      <c r="A158" s="29" t="s">
        <v>39</v>
      </c>
      <c r="B158" s="60"/>
      <c r="C158" s="16" t="s">
        <v>40</v>
      </c>
      <c r="D158" s="50"/>
      <c r="E158" s="37">
        <f t="shared" si="58"/>
        <v>0</v>
      </c>
      <c r="F158" s="53">
        <f t="shared" si="57"/>
        <v>0</v>
      </c>
      <c r="G158" s="37"/>
      <c r="H158" s="37"/>
      <c r="I158" s="17"/>
      <c r="J158" s="18"/>
      <c r="K158" s="18"/>
      <c r="L158" s="20"/>
      <c r="M158" s="20"/>
      <c r="N158" s="48"/>
      <c r="O158" s="48"/>
      <c r="P158" s="17" t="e">
        <f t="shared" si="61"/>
        <v>#DIV/0!</v>
      </c>
      <c r="Q158" s="27"/>
      <c r="R158" s="24"/>
      <c r="S158" s="18"/>
    </row>
    <row r="159" spans="1:19" ht="12.75">
      <c r="A159" s="25" t="s">
        <v>1</v>
      </c>
      <c r="B159" s="25"/>
      <c r="C159" s="32" t="s">
        <v>0</v>
      </c>
      <c r="D159" s="33">
        <f>D160+D161</f>
        <v>28989</v>
      </c>
      <c r="E159" s="33">
        <f>E160+E161</f>
        <v>40391.9</v>
      </c>
      <c r="F159" s="33">
        <f aca="true" t="shared" si="62" ref="F159:K159">F160+F161</f>
        <v>33471.4</v>
      </c>
      <c r="G159" s="33">
        <f t="shared" si="62"/>
        <v>13980.5</v>
      </c>
      <c r="H159" s="33">
        <f t="shared" si="62"/>
        <v>11257</v>
      </c>
      <c r="I159" s="33">
        <f t="shared" si="62"/>
        <v>8233.9</v>
      </c>
      <c r="J159" s="33">
        <f t="shared" si="62"/>
        <v>6920.5</v>
      </c>
      <c r="K159" s="33">
        <f t="shared" si="62"/>
        <v>20087</v>
      </c>
      <c r="L159" s="27" t="e">
        <f>K159/#REF!*100</f>
        <v>#REF!</v>
      </c>
      <c r="M159" s="27">
        <f>K159/I159*100</f>
        <v>243.9548695029087</v>
      </c>
      <c r="N159" s="48"/>
      <c r="O159" s="48"/>
      <c r="P159" s="36">
        <f t="shared" si="61"/>
        <v>290.2535943934687</v>
      </c>
      <c r="Q159" s="27">
        <f t="shared" si="59"/>
        <v>60.01242852106574</v>
      </c>
      <c r="R159" s="24">
        <f t="shared" si="60"/>
        <v>49.73026770218781</v>
      </c>
      <c r="S159" s="24">
        <f t="shared" si="53"/>
        <v>69.29180033805926</v>
      </c>
    </row>
    <row r="160" spans="1:19" ht="24">
      <c r="A160" s="14" t="s">
        <v>67</v>
      </c>
      <c r="B160" s="12"/>
      <c r="C160" s="34" t="s">
        <v>20</v>
      </c>
      <c r="D160" s="37">
        <v>28989</v>
      </c>
      <c r="E160" s="37">
        <f t="shared" si="58"/>
        <v>40391.9</v>
      </c>
      <c r="F160" s="53">
        <f>G160+H160+I160</f>
        <v>33471.4</v>
      </c>
      <c r="G160" s="37">
        <f>13980.5</f>
        <v>13980.5</v>
      </c>
      <c r="H160" s="37">
        <v>11257</v>
      </c>
      <c r="I160" s="17">
        <f>8123.2+110.7</f>
        <v>8233.9</v>
      </c>
      <c r="J160" s="18">
        <v>6920.5</v>
      </c>
      <c r="K160" s="18">
        <v>20087</v>
      </c>
      <c r="L160" s="20" t="e">
        <f>K160/#REF!*100</f>
        <v>#REF!</v>
      </c>
      <c r="M160" s="20">
        <f>K160/I160*100</f>
        <v>243.9548695029087</v>
      </c>
      <c r="N160" s="48"/>
      <c r="O160" s="48"/>
      <c r="P160" s="17">
        <f t="shared" si="61"/>
        <v>290.2535943934687</v>
      </c>
      <c r="Q160" s="20">
        <f t="shared" si="59"/>
        <v>60.01242852106574</v>
      </c>
      <c r="R160" s="18">
        <f t="shared" si="60"/>
        <v>49.73026770218781</v>
      </c>
      <c r="S160" s="18">
        <f t="shared" si="53"/>
        <v>69.29180033805926</v>
      </c>
    </row>
    <row r="161" spans="1:19" ht="12.75" hidden="1">
      <c r="A161" s="14" t="s">
        <v>2</v>
      </c>
      <c r="B161" s="14"/>
      <c r="C161" s="35" t="s">
        <v>19</v>
      </c>
      <c r="D161" s="35"/>
      <c r="E161" s="37">
        <f>G161+H161+I161+J161</f>
        <v>0</v>
      </c>
      <c r="F161" s="50">
        <f>G161</f>
        <v>0</v>
      </c>
      <c r="G161" s="37"/>
      <c r="H161" s="37"/>
      <c r="I161" s="17"/>
      <c r="J161" s="18"/>
      <c r="K161" s="18"/>
      <c r="L161" s="20"/>
      <c r="M161" s="20"/>
      <c r="N161" s="48"/>
      <c r="O161" s="48"/>
      <c r="P161" s="17"/>
      <c r="Q161" s="20"/>
      <c r="R161" s="18"/>
      <c r="S161" s="18" t="e">
        <f t="shared" si="53"/>
        <v>#DIV/0!</v>
      </c>
    </row>
    <row r="162" spans="1:19" ht="12.75">
      <c r="A162" s="21"/>
      <c r="B162" s="22"/>
      <c r="C162" s="23" t="s">
        <v>4</v>
      </c>
      <c r="D162" s="24">
        <f aca="true" t="shared" si="63" ref="D162:K162">D159+D148</f>
        <v>47377.7</v>
      </c>
      <c r="E162" s="24">
        <f t="shared" si="63"/>
        <v>58780.600000000006</v>
      </c>
      <c r="F162" s="24">
        <f t="shared" si="63"/>
        <v>47377.8</v>
      </c>
      <c r="G162" s="24">
        <f t="shared" si="63"/>
        <v>18378.9</v>
      </c>
      <c r="H162" s="24">
        <f t="shared" si="63"/>
        <v>16474.5</v>
      </c>
      <c r="I162" s="24">
        <f t="shared" si="63"/>
        <v>12524.4</v>
      </c>
      <c r="J162" s="24">
        <f t="shared" si="63"/>
        <v>11402.8</v>
      </c>
      <c r="K162" s="24">
        <f t="shared" si="63"/>
        <v>32364.600000000002</v>
      </c>
      <c r="L162" s="27" t="e">
        <f>K162/#REF!*100</f>
        <v>#REF!</v>
      </c>
      <c r="M162" s="27">
        <f>K162/I162*100</f>
        <v>258.41237903612154</v>
      </c>
      <c r="N162" s="48"/>
      <c r="O162" s="49" t="e">
        <f>J162+#REF!+#REF!</f>
        <v>#REF!</v>
      </c>
      <c r="P162" s="36">
        <f t="shared" si="61"/>
        <v>283.83028729785667</v>
      </c>
      <c r="Q162" s="27">
        <f t="shared" si="59"/>
        <v>68.31174094196015</v>
      </c>
      <c r="R162" s="24">
        <f t="shared" si="60"/>
        <v>55.060002790036165</v>
      </c>
      <c r="S162" s="24">
        <f t="shared" si="53"/>
        <v>68.31188512739116</v>
      </c>
    </row>
    <row r="163" spans="1:19" ht="12.75">
      <c r="A163" s="91"/>
      <c r="B163" s="92"/>
      <c r="C163" s="92"/>
      <c r="D163" s="92"/>
      <c r="E163" s="92"/>
      <c r="F163" s="92"/>
      <c r="G163" s="92"/>
      <c r="H163" s="92"/>
      <c r="I163" s="92"/>
      <c r="J163" s="92"/>
      <c r="K163" s="92"/>
      <c r="L163" s="92"/>
      <c r="M163" s="93"/>
      <c r="N163" s="48"/>
      <c r="O163" s="48"/>
      <c r="P163" s="47"/>
      <c r="Q163" s="27"/>
      <c r="R163" s="24"/>
      <c r="S163" s="18"/>
    </row>
    <row r="164" spans="1:19" ht="12.75">
      <c r="A164" s="88" t="s">
        <v>33</v>
      </c>
      <c r="B164" s="89"/>
      <c r="C164" s="8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90"/>
    </row>
    <row r="165" spans="1:19" ht="12.75">
      <c r="A165" s="25" t="s">
        <v>3</v>
      </c>
      <c r="B165" s="25"/>
      <c r="C165" s="26" t="s">
        <v>68</v>
      </c>
      <c r="D165" s="27">
        <f>D166+D169+D170+D171+D173+D174+D175+D172+D167+D168</f>
        <v>6153.8</v>
      </c>
      <c r="E165" s="27">
        <f>E166+E169+E170+E171+E173+E174+E175+E172+E167+E168</f>
        <v>6342.900000000001</v>
      </c>
      <c r="F165" s="27">
        <f aca="true" t="shared" si="64" ref="F165:P165">F166+F169+F170+F171+F173+F174+F175+F172+F167+F168</f>
        <v>4507.1</v>
      </c>
      <c r="G165" s="27">
        <f t="shared" si="64"/>
        <v>1325.8999999999999</v>
      </c>
      <c r="H165" s="27">
        <f t="shared" si="64"/>
        <v>1768.2</v>
      </c>
      <c r="I165" s="27">
        <f t="shared" si="64"/>
        <v>1413</v>
      </c>
      <c r="J165" s="27">
        <f t="shared" si="64"/>
        <v>1835.8</v>
      </c>
      <c r="K165" s="27">
        <f t="shared" si="64"/>
        <v>3921.7000000000003</v>
      </c>
      <c r="L165" s="27" t="e">
        <f t="shared" si="64"/>
        <v>#REF!</v>
      </c>
      <c r="M165" s="27" t="e">
        <f t="shared" si="64"/>
        <v>#DIV/0!</v>
      </c>
      <c r="N165" s="27">
        <f t="shared" si="64"/>
        <v>0</v>
      </c>
      <c r="O165" s="27">
        <f t="shared" si="64"/>
        <v>0</v>
      </c>
      <c r="P165" s="27" t="e">
        <f t="shared" si="64"/>
        <v>#DIV/0!</v>
      </c>
      <c r="Q165" s="27">
        <f t="shared" si="59"/>
        <v>87.01160391382484</v>
      </c>
      <c r="R165" s="24">
        <f t="shared" si="60"/>
        <v>61.82818584559113</v>
      </c>
      <c r="S165" s="24">
        <f t="shared" si="53"/>
        <v>63.728102960772205</v>
      </c>
    </row>
    <row r="166" spans="1:19" ht="12.75">
      <c r="A166" s="21" t="s">
        <v>23</v>
      </c>
      <c r="B166" s="21"/>
      <c r="C166" s="28" t="s">
        <v>22</v>
      </c>
      <c r="D166" s="50">
        <v>3305</v>
      </c>
      <c r="E166" s="37">
        <f>G166+H166+I166+J166</f>
        <v>3305</v>
      </c>
      <c r="F166" s="53">
        <f>G166+H166+I166</f>
        <v>2420</v>
      </c>
      <c r="G166" s="50">
        <v>690</v>
      </c>
      <c r="H166" s="50">
        <v>990</v>
      </c>
      <c r="I166" s="17">
        <v>740</v>
      </c>
      <c r="J166" s="18">
        <v>885</v>
      </c>
      <c r="K166" s="18">
        <v>1907.4</v>
      </c>
      <c r="L166" s="20" t="e">
        <f>K166/#REF!*100</f>
        <v>#REF!</v>
      </c>
      <c r="M166" s="20">
        <f aca="true" t="shared" si="65" ref="M166:M174">K166/I166*100</f>
        <v>257.7567567567568</v>
      </c>
      <c r="N166" s="48"/>
      <c r="O166" s="48"/>
      <c r="P166" s="17">
        <f t="shared" si="61"/>
        <v>215.52542372881356</v>
      </c>
      <c r="Q166" s="20">
        <f>K166*100/F166</f>
        <v>78.81818181818181</v>
      </c>
      <c r="R166" s="18">
        <f>K166*100/E166</f>
        <v>57.7125567322239</v>
      </c>
      <c r="S166" s="18">
        <f t="shared" si="53"/>
        <v>57.7125567322239</v>
      </c>
    </row>
    <row r="167" spans="1:19" ht="12.75">
      <c r="A167" s="12" t="s">
        <v>70</v>
      </c>
      <c r="B167" s="12"/>
      <c r="C167" s="28" t="s">
        <v>71</v>
      </c>
      <c r="D167" s="50">
        <v>2147.8</v>
      </c>
      <c r="E167" s="37">
        <f>G167+H167+I167+J167</f>
        <v>2147.8</v>
      </c>
      <c r="F167" s="53">
        <f aca="true" t="shared" si="66" ref="F167:F175">G167+H167+I167</f>
        <v>1508</v>
      </c>
      <c r="G167" s="50">
        <v>482</v>
      </c>
      <c r="H167" s="50">
        <v>483</v>
      </c>
      <c r="I167" s="17">
        <v>543</v>
      </c>
      <c r="J167" s="18">
        <v>639.8</v>
      </c>
      <c r="K167" s="18">
        <v>1379.1</v>
      </c>
      <c r="L167" s="20"/>
      <c r="M167" s="20"/>
      <c r="N167" s="48"/>
      <c r="O167" s="48"/>
      <c r="P167" s="17"/>
      <c r="Q167" s="20">
        <f>K167*100/F167</f>
        <v>91.45225464190982</v>
      </c>
      <c r="R167" s="18">
        <f>K167*100/E167</f>
        <v>64.20988918893751</v>
      </c>
      <c r="S167" s="18">
        <f t="shared" si="53"/>
        <v>64.20988918893751</v>
      </c>
    </row>
    <row r="168" spans="1:19" ht="15" customHeight="1">
      <c r="A168" s="12" t="s">
        <v>8</v>
      </c>
      <c r="B168" s="12"/>
      <c r="C168" s="28" t="s">
        <v>5</v>
      </c>
      <c r="D168" s="50"/>
      <c r="E168" s="37">
        <f>G168+H168+I168+J168</f>
        <v>10.8</v>
      </c>
      <c r="F168" s="53">
        <f t="shared" si="66"/>
        <v>10.8</v>
      </c>
      <c r="G168" s="50">
        <v>10.8</v>
      </c>
      <c r="H168" s="50"/>
      <c r="I168" s="17"/>
      <c r="J168" s="18"/>
      <c r="K168" s="18">
        <v>10.8</v>
      </c>
      <c r="L168" s="20"/>
      <c r="M168" s="20"/>
      <c r="N168" s="48"/>
      <c r="O168" s="48"/>
      <c r="P168" s="17"/>
      <c r="Q168" s="20">
        <f>K168*100/F168</f>
        <v>100</v>
      </c>
      <c r="R168" s="18">
        <f>K168*100/E168</f>
        <v>100</v>
      </c>
      <c r="S168" s="18"/>
    </row>
    <row r="169" spans="1:19" ht="12.75">
      <c r="A169" s="12" t="s">
        <v>9</v>
      </c>
      <c r="B169" s="12"/>
      <c r="C169" s="28" t="s">
        <v>6</v>
      </c>
      <c r="D169" s="50">
        <v>502</v>
      </c>
      <c r="E169" s="37">
        <f>G169+H169+I169+J169</f>
        <v>502</v>
      </c>
      <c r="F169" s="53">
        <f t="shared" si="66"/>
        <v>270</v>
      </c>
      <c r="G169" s="50">
        <v>90</v>
      </c>
      <c r="H169" s="50">
        <v>90</v>
      </c>
      <c r="I169" s="17">
        <v>90</v>
      </c>
      <c r="J169" s="18">
        <v>232</v>
      </c>
      <c r="K169" s="18">
        <v>284.5</v>
      </c>
      <c r="L169" s="20" t="e">
        <f>K169/#REF!*100</f>
        <v>#REF!</v>
      </c>
      <c r="M169" s="20">
        <f t="shared" si="65"/>
        <v>316.1111111111111</v>
      </c>
      <c r="N169" s="48"/>
      <c r="O169" s="48"/>
      <c r="P169" s="17">
        <f t="shared" si="61"/>
        <v>122.62931034482759</v>
      </c>
      <c r="Q169" s="20">
        <f t="shared" si="59"/>
        <v>105.37037037037037</v>
      </c>
      <c r="R169" s="18">
        <f t="shared" si="60"/>
        <v>56.67330677290837</v>
      </c>
      <c r="S169" s="18">
        <f t="shared" si="53"/>
        <v>56.67330677290837</v>
      </c>
    </row>
    <row r="170" spans="1:19" ht="12.75">
      <c r="A170" s="12" t="s">
        <v>10</v>
      </c>
      <c r="B170" s="12"/>
      <c r="C170" s="28" t="s">
        <v>21</v>
      </c>
      <c r="D170" s="50">
        <v>35</v>
      </c>
      <c r="E170" s="37">
        <f aca="true" t="shared" si="67" ref="E170:E177">G170+H170+I170+J170</f>
        <v>35</v>
      </c>
      <c r="F170" s="53">
        <f t="shared" si="66"/>
        <v>19</v>
      </c>
      <c r="G170" s="50">
        <v>3</v>
      </c>
      <c r="H170" s="50">
        <v>8</v>
      </c>
      <c r="I170" s="17">
        <v>8</v>
      </c>
      <c r="J170" s="18">
        <v>16</v>
      </c>
      <c r="K170" s="18">
        <v>11.9</v>
      </c>
      <c r="L170" s="20" t="e">
        <f>K170/#REF!*100</f>
        <v>#REF!</v>
      </c>
      <c r="M170" s="20">
        <f t="shared" si="65"/>
        <v>148.75</v>
      </c>
      <c r="N170" s="48"/>
      <c r="O170" s="48"/>
      <c r="P170" s="17">
        <f t="shared" si="61"/>
        <v>74.375</v>
      </c>
      <c r="Q170" s="20">
        <f t="shared" si="59"/>
        <v>62.63157894736842</v>
      </c>
      <c r="R170" s="18">
        <f t="shared" si="60"/>
        <v>34</v>
      </c>
      <c r="S170" s="18">
        <f t="shared" si="53"/>
        <v>34</v>
      </c>
    </row>
    <row r="171" spans="1:19" ht="24">
      <c r="A171" s="13" t="s">
        <v>11</v>
      </c>
      <c r="B171" s="13"/>
      <c r="C171" s="28" t="s">
        <v>17</v>
      </c>
      <c r="D171" s="50">
        <v>69</v>
      </c>
      <c r="E171" s="37">
        <f t="shared" si="67"/>
        <v>223</v>
      </c>
      <c r="F171" s="53">
        <f t="shared" si="66"/>
        <v>195</v>
      </c>
      <c r="G171" s="50">
        <f>12+10</f>
        <v>22</v>
      </c>
      <c r="H171" s="50">
        <v>161</v>
      </c>
      <c r="I171" s="17">
        <v>12</v>
      </c>
      <c r="J171" s="18">
        <v>28</v>
      </c>
      <c r="K171" s="18">
        <v>235.7</v>
      </c>
      <c r="L171" s="20" t="e">
        <f>K171/#REF!*100</f>
        <v>#REF!</v>
      </c>
      <c r="M171" s="20">
        <f t="shared" si="65"/>
        <v>1964.1666666666665</v>
      </c>
      <c r="N171" s="48"/>
      <c r="O171" s="48"/>
      <c r="P171" s="17">
        <f t="shared" si="61"/>
        <v>841.7857142857143</v>
      </c>
      <c r="Q171" s="20">
        <f t="shared" si="59"/>
        <v>120.87179487179488</v>
      </c>
      <c r="R171" s="18">
        <f t="shared" si="60"/>
        <v>105.69506726457399</v>
      </c>
      <c r="S171" s="18">
        <f t="shared" si="53"/>
        <v>341.59420289855075</v>
      </c>
    </row>
    <row r="172" spans="1:19" ht="12.75">
      <c r="A172" s="30" t="s">
        <v>42</v>
      </c>
      <c r="B172" s="30"/>
      <c r="C172" s="28" t="s">
        <v>43</v>
      </c>
      <c r="D172" s="50">
        <v>95</v>
      </c>
      <c r="E172" s="37">
        <f t="shared" si="67"/>
        <v>95</v>
      </c>
      <c r="F172" s="53">
        <f t="shared" si="66"/>
        <v>60</v>
      </c>
      <c r="G172" s="50">
        <v>20</v>
      </c>
      <c r="H172" s="50">
        <v>20</v>
      </c>
      <c r="I172" s="17">
        <v>20</v>
      </c>
      <c r="J172" s="18">
        <v>35</v>
      </c>
      <c r="K172" s="18">
        <v>68</v>
      </c>
      <c r="L172" s="20" t="e">
        <f>K172/#REF!*100</f>
        <v>#REF!</v>
      </c>
      <c r="M172" s="20">
        <f t="shared" si="65"/>
        <v>340</v>
      </c>
      <c r="N172" s="48"/>
      <c r="O172" s="48"/>
      <c r="P172" s="17">
        <f t="shared" si="61"/>
        <v>194.28571428571428</v>
      </c>
      <c r="Q172" s="20">
        <f t="shared" si="59"/>
        <v>113.33333333333333</v>
      </c>
      <c r="R172" s="18">
        <f t="shared" si="60"/>
        <v>71.57894736842105</v>
      </c>
      <c r="S172" s="18">
        <f t="shared" si="53"/>
        <v>71.57894736842105</v>
      </c>
    </row>
    <row r="173" spans="1:19" ht="12.75" hidden="1">
      <c r="A173" s="29" t="s">
        <v>18</v>
      </c>
      <c r="B173" s="29"/>
      <c r="C173" s="28" t="s">
        <v>15</v>
      </c>
      <c r="D173" s="50"/>
      <c r="E173" s="37">
        <f t="shared" si="67"/>
        <v>0</v>
      </c>
      <c r="F173" s="53">
        <f t="shared" si="66"/>
        <v>0</v>
      </c>
      <c r="G173" s="50"/>
      <c r="H173" s="50"/>
      <c r="I173" s="17"/>
      <c r="J173" s="18"/>
      <c r="K173" s="18"/>
      <c r="L173" s="20" t="e">
        <f>K173/#REF!*100</f>
        <v>#REF!</v>
      </c>
      <c r="M173" s="20" t="e">
        <f t="shared" si="65"/>
        <v>#DIV/0!</v>
      </c>
      <c r="N173" s="48"/>
      <c r="O173" s="48"/>
      <c r="P173" s="17" t="e">
        <f t="shared" si="61"/>
        <v>#DIV/0!</v>
      </c>
      <c r="Q173" s="20"/>
      <c r="R173" s="18"/>
      <c r="S173" s="18" t="e">
        <f t="shared" si="53"/>
        <v>#DIV/0!</v>
      </c>
    </row>
    <row r="174" spans="1:19" ht="17.25" customHeight="1">
      <c r="A174" s="21" t="s">
        <v>12</v>
      </c>
      <c r="B174" s="21"/>
      <c r="C174" s="28" t="s">
        <v>7</v>
      </c>
      <c r="D174" s="50"/>
      <c r="E174" s="37">
        <f t="shared" si="67"/>
        <v>24.299999999999997</v>
      </c>
      <c r="F174" s="53">
        <f t="shared" si="66"/>
        <v>24.299999999999997</v>
      </c>
      <c r="G174" s="50">
        <v>8.1</v>
      </c>
      <c r="H174" s="50">
        <v>16.2</v>
      </c>
      <c r="I174" s="17"/>
      <c r="J174" s="18"/>
      <c r="K174" s="18">
        <v>24.3</v>
      </c>
      <c r="L174" s="20"/>
      <c r="M174" s="20" t="e">
        <f t="shared" si="65"/>
        <v>#DIV/0!</v>
      </c>
      <c r="N174" s="48"/>
      <c r="O174" s="48"/>
      <c r="P174" s="17" t="e">
        <f t="shared" si="61"/>
        <v>#DIV/0!</v>
      </c>
      <c r="Q174" s="27"/>
      <c r="R174" s="24"/>
      <c r="S174" s="18"/>
    </row>
    <row r="175" spans="1:19" ht="14.25" customHeight="1">
      <c r="A175" s="56" t="s">
        <v>39</v>
      </c>
      <c r="B175" s="54"/>
      <c r="C175" s="16" t="s">
        <v>40</v>
      </c>
      <c r="D175" s="50"/>
      <c r="E175" s="37">
        <f t="shared" si="67"/>
        <v>0</v>
      </c>
      <c r="F175" s="53">
        <f t="shared" si="66"/>
        <v>0</v>
      </c>
      <c r="G175" s="50"/>
      <c r="H175" s="50"/>
      <c r="I175" s="17"/>
      <c r="J175" s="18"/>
      <c r="K175" s="18"/>
      <c r="L175" s="20"/>
      <c r="M175" s="20"/>
      <c r="N175" s="48"/>
      <c r="O175" s="48"/>
      <c r="P175" s="17" t="e">
        <f t="shared" si="61"/>
        <v>#DIV/0!</v>
      </c>
      <c r="Q175" s="27"/>
      <c r="R175" s="24"/>
      <c r="S175" s="18"/>
    </row>
    <row r="176" spans="1:19" ht="12.75">
      <c r="A176" s="25" t="s">
        <v>1</v>
      </c>
      <c r="B176" s="25"/>
      <c r="C176" s="32" t="s">
        <v>0</v>
      </c>
      <c r="D176" s="33">
        <f aca="true" t="shared" si="68" ref="D176:K176">D177+D178</f>
        <v>23711.2</v>
      </c>
      <c r="E176" s="33">
        <f t="shared" si="68"/>
        <v>49344.5</v>
      </c>
      <c r="F176" s="59">
        <f t="shared" si="68"/>
        <v>46732</v>
      </c>
      <c r="G176" s="59">
        <f t="shared" si="68"/>
        <v>11444.900000000001</v>
      </c>
      <c r="H176" s="59">
        <f t="shared" si="68"/>
        <v>27653.1</v>
      </c>
      <c r="I176" s="33">
        <f t="shared" si="68"/>
        <v>7634</v>
      </c>
      <c r="J176" s="33">
        <f t="shared" si="68"/>
        <v>2612.5</v>
      </c>
      <c r="K176" s="33">
        <f t="shared" si="68"/>
        <v>17376</v>
      </c>
      <c r="L176" s="27" t="e">
        <f>K176/#REF!*100</f>
        <v>#REF!</v>
      </c>
      <c r="M176" s="27">
        <f>K176/I176*100</f>
        <v>227.61330888132042</v>
      </c>
      <c r="N176" s="48"/>
      <c r="O176" s="48"/>
      <c r="P176" s="36">
        <f t="shared" si="61"/>
        <v>665.11004784689</v>
      </c>
      <c r="Q176" s="27">
        <f t="shared" si="59"/>
        <v>37.182230591457675</v>
      </c>
      <c r="R176" s="24">
        <f t="shared" si="60"/>
        <v>35.21365096413987</v>
      </c>
      <c r="S176" s="24">
        <f t="shared" si="53"/>
        <v>73.28182462296299</v>
      </c>
    </row>
    <row r="177" spans="1:19" ht="23.25" customHeight="1">
      <c r="A177" s="14" t="s">
        <v>67</v>
      </c>
      <c r="B177" s="12"/>
      <c r="C177" s="34" t="s">
        <v>20</v>
      </c>
      <c r="D177" s="37">
        <v>23711.2</v>
      </c>
      <c r="E177" s="37">
        <f t="shared" si="67"/>
        <v>49344.5</v>
      </c>
      <c r="F177" s="53">
        <f>G177+H177+I177</f>
        <v>46732</v>
      </c>
      <c r="G177" s="50">
        <f>11398.7+46.2</f>
        <v>11444.900000000001</v>
      </c>
      <c r="H177" s="50">
        <v>27653.1</v>
      </c>
      <c r="I177" s="17">
        <f>7555.4+78.6</f>
        <v>7634</v>
      </c>
      <c r="J177" s="18">
        <v>2612.5</v>
      </c>
      <c r="K177" s="18">
        <v>17376</v>
      </c>
      <c r="L177" s="20" t="e">
        <f>K177/#REF!*100</f>
        <v>#REF!</v>
      </c>
      <c r="M177" s="20">
        <f>K177/I177*100</f>
        <v>227.61330888132042</v>
      </c>
      <c r="N177" s="48"/>
      <c r="O177" s="48"/>
      <c r="P177" s="17">
        <f t="shared" si="61"/>
        <v>665.11004784689</v>
      </c>
      <c r="Q177" s="20">
        <f t="shared" si="59"/>
        <v>37.182230591457675</v>
      </c>
      <c r="R177" s="18">
        <f t="shared" si="60"/>
        <v>35.21365096413987</v>
      </c>
      <c r="S177" s="18">
        <f t="shared" si="53"/>
        <v>73.28182462296299</v>
      </c>
    </row>
    <row r="178" spans="1:19" ht="15.75" customHeight="1" hidden="1">
      <c r="A178" s="14" t="s">
        <v>2</v>
      </c>
      <c r="B178" s="14"/>
      <c r="C178" s="35" t="s">
        <v>19</v>
      </c>
      <c r="D178" s="55"/>
      <c r="E178" s="37">
        <f>G178+H178+I178+J178</f>
        <v>0</v>
      </c>
      <c r="F178" s="53">
        <f>G178+H178</f>
        <v>0</v>
      </c>
      <c r="G178" s="55"/>
      <c r="H178" s="55"/>
      <c r="I178" s="17"/>
      <c r="J178" s="18"/>
      <c r="K178" s="18"/>
      <c r="L178" s="20" t="e">
        <f>K178/#REF!*100</f>
        <v>#REF!</v>
      </c>
      <c r="M178" s="20"/>
      <c r="N178" s="48"/>
      <c r="O178" s="48"/>
      <c r="P178" s="17" t="e">
        <f t="shared" si="61"/>
        <v>#DIV/0!</v>
      </c>
      <c r="Q178" s="20"/>
      <c r="R178" s="18"/>
      <c r="S178" s="18"/>
    </row>
    <row r="179" spans="1:19" ht="12.75">
      <c r="A179" s="21"/>
      <c r="B179" s="22"/>
      <c r="C179" s="23" t="s">
        <v>4</v>
      </c>
      <c r="D179" s="24">
        <f aca="true" t="shared" si="69" ref="D179:K179">D176+D165</f>
        <v>29865</v>
      </c>
      <c r="E179" s="24">
        <f t="shared" si="69"/>
        <v>55687.4</v>
      </c>
      <c r="F179" s="24">
        <f t="shared" si="69"/>
        <v>51239.1</v>
      </c>
      <c r="G179" s="24">
        <f t="shared" si="69"/>
        <v>12770.800000000001</v>
      </c>
      <c r="H179" s="24">
        <f t="shared" si="69"/>
        <v>29421.3</v>
      </c>
      <c r="I179" s="24">
        <f t="shared" si="69"/>
        <v>9047</v>
      </c>
      <c r="J179" s="24">
        <f t="shared" si="69"/>
        <v>4448.3</v>
      </c>
      <c r="K179" s="24">
        <f t="shared" si="69"/>
        <v>21297.7</v>
      </c>
      <c r="L179" s="27" t="e">
        <f>K179/#REF!*100</f>
        <v>#REF!</v>
      </c>
      <c r="M179" s="27">
        <f>K179/I179*100</f>
        <v>235.41173869791092</v>
      </c>
      <c r="N179" s="48"/>
      <c r="O179" s="49" t="e">
        <f>J179+#REF!+#REF!</f>
        <v>#REF!</v>
      </c>
      <c r="P179" s="36">
        <f t="shared" si="61"/>
        <v>478.78290582919317</v>
      </c>
      <c r="Q179" s="27">
        <f t="shared" si="59"/>
        <v>41.56532804050032</v>
      </c>
      <c r="R179" s="24">
        <f t="shared" si="60"/>
        <v>38.24509673642512</v>
      </c>
      <c r="S179" s="24">
        <f t="shared" si="53"/>
        <v>71.3132429265026</v>
      </c>
    </row>
    <row r="180" spans="1:19" ht="12.75">
      <c r="A180" s="91"/>
      <c r="B180" s="92"/>
      <c r="C180" s="92"/>
      <c r="D180" s="92"/>
      <c r="E180" s="92"/>
      <c r="F180" s="92"/>
      <c r="G180" s="92"/>
      <c r="H180" s="92"/>
      <c r="I180" s="92"/>
      <c r="J180" s="92"/>
      <c r="K180" s="92"/>
      <c r="L180" s="92"/>
      <c r="M180" s="93"/>
      <c r="N180" s="48"/>
      <c r="O180" s="48"/>
      <c r="P180" s="47"/>
      <c r="Q180" s="27"/>
      <c r="R180" s="24"/>
      <c r="S180" s="18"/>
    </row>
    <row r="181" spans="1:19" ht="12.75">
      <c r="A181" s="88" t="s">
        <v>34</v>
      </c>
      <c r="B181" s="89"/>
      <c r="C181" s="89"/>
      <c r="D181" s="89"/>
      <c r="E181" s="89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90"/>
    </row>
    <row r="182" spans="1:19" ht="12.75">
      <c r="A182" s="25" t="s">
        <v>3</v>
      </c>
      <c r="B182" s="25"/>
      <c r="C182" s="26" t="s">
        <v>68</v>
      </c>
      <c r="D182" s="27">
        <f aca="true" t="shared" si="70" ref="D182:J182">D183+D185+D186+D187+D188+D190+D192+D191+D189+D184</f>
        <v>22444.4</v>
      </c>
      <c r="E182" s="27">
        <f t="shared" si="70"/>
        <v>22464.4</v>
      </c>
      <c r="F182" s="27">
        <f t="shared" si="70"/>
        <v>15804</v>
      </c>
      <c r="G182" s="27">
        <f t="shared" si="70"/>
        <v>5212</v>
      </c>
      <c r="H182" s="27">
        <f t="shared" si="70"/>
        <v>5308</v>
      </c>
      <c r="I182" s="27">
        <f t="shared" si="70"/>
        <v>5284</v>
      </c>
      <c r="J182" s="27">
        <f t="shared" si="70"/>
        <v>6660.4</v>
      </c>
      <c r="K182" s="27">
        <f>K183+K185+K186+K187+K188+K190+K192+K191+K189+K184</f>
        <v>15080.000000000002</v>
      </c>
      <c r="L182" s="27" t="e">
        <f>K182/#REF!*100</f>
        <v>#REF!</v>
      </c>
      <c r="M182" s="27">
        <f>K182/I182*100</f>
        <v>285.38985616956853</v>
      </c>
      <c r="N182" s="48"/>
      <c r="O182" s="48"/>
      <c r="P182" s="27">
        <f t="shared" si="61"/>
        <v>226.4128280583749</v>
      </c>
      <c r="Q182" s="27">
        <f t="shared" si="59"/>
        <v>95.41888129587447</v>
      </c>
      <c r="R182" s="24">
        <f t="shared" si="60"/>
        <v>67.12843432275066</v>
      </c>
      <c r="S182" s="24">
        <f t="shared" si="53"/>
        <v>67.18825185792447</v>
      </c>
    </row>
    <row r="183" spans="1:19" ht="12.75">
      <c r="A183" s="21" t="s">
        <v>23</v>
      </c>
      <c r="B183" s="21"/>
      <c r="C183" s="28" t="s">
        <v>22</v>
      </c>
      <c r="D183" s="50">
        <v>16400</v>
      </c>
      <c r="E183" s="37">
        <f>G183+H183+I183+J183</f>
        <v>16400</v>
      </c>
      <c r="F183" s="53">
        <f>G183+H183+I183</f>
        <v>12100</v>
      </c>
      <c r="G183" s="37">
        <v>3760</v>
      </c>
      <c r="H183" s="37">
        <v>4165</v>
      </c>
      <c r="I183" s="17">
        <v>4175</v>
      </c>
      <c r="J183" s="18">
        <v>4300</v>
      </c>
      <c r="K183" s="18">
        <v>11524.7</v>
      </c>
      <c r="L183" s="20" t="e">
        <f>K183/#REF!*100</f>
        <v>#REF!</v>
      </c>
      <c r="M183" s="20">
        <f>K183/I183*100</f>
        <v>276.0407185628743</v>
      </c>
      <c r="N183" s="48"/>
      <c r="O183" s="48"/>
      <c r="P183" s="17">
        <f t="shared" si="61"/>
        <v>268.01627906976745</v>
      </c>
      <c r="Q183" s="20">
        <f t="shared" si="59"/>
        <v>95.24545454545455</v>
      </c>
      <c r="R183" s="18">
        <f t="shared" si="60"/>
        <v>70.27256097560975</v>
      </c>
      <c r="S183" s="18">
        <f t="shared" si="53"/>
        <v>70.27256097560975</v>
      </c>
    </row>
    <row r="184" spans="1:19" ht="12.75">
      <c r="A184" s="12" t="s">
        <v>70</v>
      </c>
      <c r="B184" s="12"/>
      <c r="C184" s="28" t="s">
        <v>71</v>
      </c>
      <c r="D184" s="50">
        <v>2714.4</v>
      </c>
      <c r="E184" s="37">
        <f>G184+H184+I184+J184</f>
        <v>2714.4</v>
      </c>
      <c r="F184" s="53">
        <f aca="true" t="shared" si="71" ref="F184:F192">G184+H184+I184</f>
        <v>2023</v>
      </c>
      <c r="G184" s="37">
        <v>673</v>
      </c>
      <c r="H184" s="37">
        <v>675</v>
      </c>
      <c r="I184" s="17">
        <v>675</v>
      </c>
      <c r="J184" s="18">
        <v>691.4</v>
      </c>
      <c r="K184" s="18">
        <v>1742.9</v>
      </c>
      <c r="L184" s="20"/>
      <c r="M184" s="20"/>
      <c r="N184" s="48"/>
      <c r="O184" s="48"/>
      <c r="P184" s="17"/>
      <c r="Q184" s="20">
        <f>K184*100/F184</f>
        <v>86.15422639644093</v>
      </c>
      <c r="R184" s="18">
        <f>K184*100/E184</f>
        <v>64.2094017094017</v>
      </c>
      <c r="S184" s="18">
        <f t="shared" si="53"/>
        <v>64.2094017094017</v>
      </c>
    </row>
    <row r="185" spans="1:19" ht="13.5" customHeight="1" hidden="1">
      <c r="A185" s="12" t="s">
        <v>8</v>
      </c>
      <c r="B185" s="12"/>
      <c r="C185" s="28" t="s">
        <v>5</v>
      </c>
      <c r="D185" s="50"/>
      <c r="E185" s="37">
        <f aca="true" t="shared" si="72" ref="E185:E194">G185+H185+I185+J185</f>
        <v>0</v>
      </c>
      <c r="F185" s="53">
        <f t="shared" si="71"/>
        <v>0</v>
      </c>
      <c r="G185" s="37"/>
      <c r="H185" s="37"/>
      <c r="I185" s="17"/>
      <c r="J185" s="18"/>
      <c r="K185" s="18"/>
      <c r="L185" s="20"/>
      <c r="M185" s="20"/>
      <c r="N185" s="48"/>
      <c r="O185" s="48"/>
      <c r="P185" s="17" t="e">
        <f t="shared" si="61"/>
        <v>#DIV/0!</v>
      </c>
      <c r="Q185" s="20" t="e">
        <f>K185*100/F185</f>
        <v>#DIV/0!</v>
      </c>
      <c r="R185" s="18" t="e">
        <f>K185*100/E185</f>
        <v>#DIV/0!</v>
      </c>
      <c r="S185" s="18" t="e">
        <f t="shared" si="53"/>
        <v>#DIV/0!</v>
      </c>
    </row>
    <row r="186" spans="1:19" ht="12.75">
      <c r="A186" s="12" t="s">
        <v>9</v>
      </c>
      <c r="B186" s="12"/>
      <c r="C186" s="28" t="s">
        <v>6</v>
      </c>
      <c r="D186" s="50">
        <v>2320</v>
      </c>
      <c r="E186" s="37">
        <f t="shared" si="72"/>
        <v>2320</v>
      </c>
      <c r="F186" s="53">
        <f t="shared" si="71"/>
        <v>1062</v>
      </c>
      <c r="G186" s="37">
        <v>532</v>
      </c>
      <c r="H186" s="37">
        <v>265</v>
      </c>
      <c r="I186" s="17">
        <v>265</v>
      </c>
      <c r="J186" s="18">
        <v>1258</v>
      </c>
      <c r="K186" s="18">
        <v>1070.7</v>
      </c>
      <c r="L186" s="20" t="e">
        <f>K186/#REF!*100</f>
        <v>#REF!</v>
      </c>
      <c r="M186" s="20">
        <f>K186/I186*100</f>
        <v>404.0377358490566</v>
      </c>
      <c r="N186" s="48"/>
      <c r="O186" s="48"/>
      <c r="P186" s="17">
        <f t="shared" si="61"/>
        <v>85.11128775834658</v>
      </c>
      <c r="Q186" s="20">
        <f t="shared" si="59"/>
        <v>100.81920903954803</v>
      </c>
      <c r="R186" s="18">
        <f t="shared" si="60"/>
        <v>46.150862068965516</v>
      </c>
      <c r="S186" s="18">
        <f t="shared" si="53"/>
        <v>46.150862068965516</v>
      </c>
    </row>
    <row r="187" spans="1:19" ht="12.75">
      <c r="A187" s="12" t="s">
        <v>10</v>
      </c>
      <c r="B187" s="12"/>
      <c r="C187" s="28" t="s">
        <v>21</v>
      </c>
      <c r="D187" s="50">
        <v>156</v>
      </c>
      <c r="E187" s="37">
        <f t="shared" si="72"/>
        <v>176</v>
      </c>
      <c r="F187" s="53">
        <f t="shared" si="71"/>
        <v>132</v>
      </c>
      <c r="G187" s="37">
        <v>42</v>
      </c>
      <c r="H187" s="37">
        <v>62</v>
      </c>
      <c r="I187" s="17">
        <v>28</v>
      </c>
      <c r="J187" s="18">
        <v>44</v>
      </c>
      <c r="K187" s="18">
        <v>127.6</v>
      </c>
      <c r="L187" s="20" t="e">
        <f>K187/#REF!*100</f>
        <v>#REF!</v>
      </c>
      <c r="M187" s="20">
        <f>K187/I187*100</f>
        <v>455.71428571428567</v>
      </c>
      <c r="N187" s="48"/>
      <c r="O187" s="48"/>
      <c r="P187" s="17">
        <f t="shared" si="61"/>
        <v>290</v>
      </c>
      <c r="Q187" s="20">
        <f t="shared" si="59"/>
        <v>96.66666666666667</v>
      </c>
      <c r="R187" s="18">
        <f t="shared" si="60"/>
        <v>72.5</v>
      </c>
      <c r="S187" s="18">
        <f t="shared" si="53"/>
        <v>81.7948717948718</v>
      </c>
    </row>
    <row r="188" spans="1:19" ht="24">
      <c r="A188" s="13" t="s">
        <v>11</v>
      </c>
      <c r="B188" s="13"/>
      <c r="C188" s="28" t="s">
        <v>17</v>
      </c>
      <c r="D188" s="50">
        <v>694</v>
      </c>
      <c r="E188" s="37">
        <f t="shared" si="72"/>
        <v>663.2</v>
      </c>
      <c r="F188" s="53">
        <f t="shared" si="71"/>
        <v>348.2</v>
      </c>
      <c r="G188" s="37">
        <f>169-30.8</f>
        <v>138.2</v>
      </c>
      <c r="H188" s="37">
        <v>105</v>
      </c>
      <c r="I188" s="17">
        <v>105</v>
      </c>
      <c r="J188" s="18">
        <v>315</v>
      </c>
      <c r="K188" s="18">
        <v>488.7</v>
      </c>
      <c r="L188" s="20" t="e">
        <f>K188/#REF!*100</f>
        <v>#REF!</v>
      </c>
      <c r="M188" s="20">
        <f>K188/I188*100</f>
        <v>465.4285714285714</v>
      </c>
      <c r="N188" s="48"/>
      <c r="O188" s="48"/>
      <c r="P188" s="17">
        <f t="shared" si="61"/>
        <v>155.14285714285714</v>
      </c>
      <c r="Q188" s="20">
        <f t="shared" si="59"/>
        <v>140.3503733486502</v>
      </c>
      <c r="R188" s="18">
        <f t="shared" si="60"/>
        <v>73.68817852834741</v>
      </c>
      <c r="S188" s="18">
        <f t="shared" si="53"/>
        <v>70.4178674351585</v>
      </c>
    </row>
    <row r="189" spans="1:19" ht="12.75">
      <c r="A189" s="29" t="s">
        <v>42</v>
      </c>
      <c r="B189" s="30"/>
      <c r="C189" s="28" t="s">
        <v>43</v>
      </c>
      <c r="D189" s="50">
        <v>160</v>
      </c>
      <c r="E189" s="37">
        <f t="shared" si="72"/>
        <v>190.8</v>
      </c>
      <c r="F189" s="53">
        <f t="shared" si="71"/>
        <v>138.8</v>
      </c>
      <c r="G189" s="37">
        <f>36+30.8</f>
        <v>66.8</v>
      </c>
      <c r="H189" s="37">
        <v>36</v>
      </c>
      <c r="I189" s="17">
        <v>36</v>
      </c>
      <c r="J189" s="18">
        <v>52</v>
      </c>
      <c r="K189" s="18">
        <v>91.4</v>
      </c>
      <c r="L189" s="20" t="e">
        <f>K189/#REF!*100</f>
        <v>#REF!</v>
      </c>
      <c r="M189" s="20">
        <f>K189/I189*100</f>
        <v>253.8888888888889</v>
      </c>
      <c r="N189" s="48"/>
      <c r="O189" s="48"/>
      <c r="P189" s="17">
        <f t="shared" si="61"/>
        <v>175.76923076923077</v>
      </c>
      <c r="Q189" s="20">
        <f t="shared" si="59"/>
        <v>65.85014409221901</v>
      </c>
      <c r="R189" s="18">
        <f t="shared" si="60"/>
        <v>47.90356394129979</v>
      </c>
      <c r="S189" s="18">
        <f t="shared" si="53"/>
        <v>57.125</v>
      </c>
    </row>
    <row r="190" spans="1:19" ht="12.75" hidden="1">
      <c r="A190" s="29" t="s">
        <v>18</v>
      </c>
      <c r="B190" s="30"/>
      <c r="C190" s="28" t="s">
        <v>15</v>
      </c>
      <c r="D190" s="50"/>
      <c r="E190" s="37">
        <f t="shared" si="72"/>
        <v>0</v>
      </c>
      <c r="F190" s="53">
        <f t="shared" si="71"/>
        <v>0</v>
      </c>
      <c r="G190" s="37"/>
      <c r="H190" s="37"/>
      <c r="I190" s="17"/>
      <c r="J190" s="18"/>
      <c r="K190" s="18"/>
      <c r="L190" s="20" t="e">
        <f>K190/#REF!*100</f>
        <v>#REF!</v>
      </c>
      <c r="M190" s="20" t="e">
        <f>K190/I190*100</f>
        <v>#DIV/0!</v>
      </c>
      <c r="N190" s="48"/>
      <c r="O190" s="48"/>
      <c r="P190" s="17" t="e">
        <f t="shared" si="61"/>
        <v>#DIV/0!</v>
      </c>
      <c r="Q190" s="20"/>
      <c r="R190" s="18"/>
      <c r="S190" s="18" t="e">
        <f t="shared" si="53"/>
        <v>#DIV/0!</v>
      </c>
    </row>
    <row r="191" spans="1:19" ht="15.75" customHeight="1">
      <c r="A191" s="21" t="s">
        <v>12</v>
      </c>
      <c r="B191" s="21"/>
      <c r="C191" s="28" t="s">
        <v>7</v>
      </c>
      <c r="D191" s="50"/>
      <c r="E191" s="37">
        <f t="shared" si="72"/>
        <v>0</v>
      </c>
      <c r="F191" s="53">
        <f t="shared" si="71"/>
        <v>0</v>
      </c>
      <c r="G191" s="37"/>
      <c r="H191" s="37"/>
      <c r="I191" s="17"/>
      <c r="J191" s="18"/>
      <c r="K191" s="18">
        <v>34</v>
      </c>
      <c r="L191" s="20" t="e">
        <f>K191/#REF!*100</f>
        <v>#REF!</v>
      </c>
      <c r="M191" s="20"/>
      <c r="N191" s="48"/>
      <c r="O191" s="48"/>
      <c r="P191" s="17" t="e">
        <f t="shared" si="61"/>
        <v>#DIV/0!</v>
      </c>
      <c r="Q191" s="20"/>
      <c r="R191" s="18"/>
      <c r="S191" s="18"/>
    </row>
    <row r="192" spans="1:19" ht="15" customHeight="1">
      <c r="A192" s="56" t="s">
        <v>39</v>
      </c>
      <c r="B192" s="54"/>
      <c r="C192" s="16" t="s">
        <v>40</v>
      </c>
      <c r="D192" s="50"/>
      <c r="E192" s="37">
        <f t="shared" si="72"/>
        <v>0</v>
      </c>
      <c r="F192" s="53">
        <f t="shared" si="71"/>
        <v>0</v>
      </c>
      <c r="G192" s="61"/>
      <c r="H192" s="61"/>
      <c r="I192" s="17"/>
      <c r="J192" s="18"/>
      <c r="K192" s="18"/>
      <c r="L192" s="20" t="e">
        <f>K192/#REF!*100</f>
        <v>#REF!</v>
      </c>
      <c r="M192" s="20"/>
      <c r="N192" s="48"/>
      <c r="O192" s="48"/>
      <c r="P192" s="17" t="e">
        <f t="shared" si="61"/>
        <v>#DIV/0!</v>
      </c>
      <c r="Q192" s="27"/>
      <c r="R192" s="24"/>
      <c r="S192" s="18"/>
    </row>
    <row r="193" spans="1:19" ht="12.75">
      <c r="A193" s="52" t="s">
        <v>1</v>
      </c>
      <c r="B193" s="25"/>
      <c r="C193" s="32" t="s">
        <v>0</v>
      </c>
      <c r="D193" s="36">
        <f aca="true" t="shared" si="73" ref="D193:K193">D194</f>
        <v>28036.5</v>
      </c>
      <c r="E193" s="36">
        <f t="shared" si="73"/>
        <v>41585.299999999996</v>
      </c>
      <c r="F193" s="36">
        <f t="shared" si="73"/>
        <v>34887.299999999996</v>
      </c>
      <c r="G193" s="36">
        <f t="shared" si="73"/>
        <v>16568.3</v>
      </c>
      <c r="H193" s="36">
        <f t="shared" si="73"/>
        <v>10730.9</v>
      </c>
      <c r="I193" s="36">
        <f t="shared" si="73"/>
        <v>7588.1</v>
      </c>
      <c r="J193" s="36">
        <f t="shared" si="73"/>
        <v>6698</v>
      </c>
      <c r="K193" s="36">
        <f t="shared" si="73"/>
        <v>19394.7</v>
      </c>
      <c r="L193" s="27" t="e">
        <f>K193/#REF!*100</f>
        <v>#REF!</v>
      </c>
      <c r="M193" s="27">
        <f>K193/I193*100</f>
        <v>255.59362686311462</v>
      </c>
      <c r="N193" s="48"/>
      <c r="O193" s="48"/>
      <c r="P193" s="36">
        <f t="shared" si="61"/>
        <v>289.5595700209018</v>
      </c>
      <c r="Q193" s="27">
        <f t="shared" si="59"/>
        <v>55.59243621604424</v>
      </c>
      <c r="R193" s="24">
        <f t="shared" si="60"/>
        <v>46.63835538038683</v>
      </c>
      <c r="S193" s="24">
        <f t="shared" si="53"/>
        <v>69.1766090631855</v>
      </c>
    </row>
    <row r="194" spans="1:19" ht="24">
      <c r="A194" s="62" t="s">
        <v>67</v>
      </c>
      <c r="B194" s="12"/>
      <c r="C194" s="34" t="s">
        <v>20</v>
      </c>
      <c r="D194" s="37">
        <v>28036.5</v>
      </c>
      <c r="E194" s="37">
        <f t="shared" si="72"/>
        <v>41585.299999999996</v>
      </c>
      <c r="F194" s="53">
        <f>G194+H194+I194</f>
        <v>34887.299999999996</v>
      </c>
      <c r="G194" s="37">
        <f>16161.6+406.7</f>
        <v>16568.3</v>
      </c>
      <c r="H194" s="37">
        <v>10730.9</v>
      </c>
      <c r="I194" s="17">
        <f>7523.8+64.3</f>
        <v>7588.1</v>
      </c>
      <c r="J194" s="18">
        <v>6698</v>
      </c>
      <c r="K194" s="18">
        <v>19394.7</v>
      </c>
      <c r="L194" s="20" t="e">
        <f>K194/#REF!*100</f>
        <v>#REF!</v>
      </c>
      <c r="M194" s="20">
        <f>K194/I194*100</f>
        <v>255.59362686311462</v>
      </c>
      <c r="N194" s="48"/>
      <c r="O194" s="48"/>
      <c r="P194" s="17">
        <f t="shared" si="61"/>
        <v>289.5595700209018</v>
      </c>
      <c r="Q194" s="20">
        <f t="shared" si="59"/>
        <v>55.59243621604424</v>
      </c>
      <c r="R194" s="18">
        <f t="shared" si="60"/>
        <v>46.63835538038683</v>
      </c>
      <c r="S194" s="18">
        <f t="shared" si="53"/>
        <v>69.1766090631855</v>
      </c>
    </row>
    <row r="195" spans="1:19" ht="12.75">
      <c r="A195" s="21"/>
      <c r="B195" s="22"/>
      <c r="C195" s="23" t="s">
        <v>4</v>
      </c>
      <c r="D195" s="24">
        <f aca="true" t="shared" si="74" ref="D195:K195">D193+D182</f>
        <v>50480.9</v>
      </c>
      <c r="E195" s="24">
        <f t="shared" si="74"/>
        <v>64049.7</v>
      </c>
      <c r="F195" s="24">
        <f t="shared" si="74"/>
        <v>50691.299999999996</v>
      </c>
      <c r="G195" s="24">
        <f t="shared" si="74"/>
        <v>21780.3</v>
      </c>
      <c r="H195" s="24">
        <f t="shared" si="74"/>
        <v>16038.9</v>
      </c>
      <c r="I195" s="24">
        <f t="shared" si="74"/>
        <v>12872.1</v>
      </c>
      <c r="J195" s="24">
        <f t="shared" si="74"/>
        <v>13358.4</v>
      </c>
      <c r="K195" s="24">
        <f t="shared" si="74"/>
        <v>34474.700000000004</v>
      </c>
      <c r="L195" s="27" t="e">
        <f>K195/#REF!*100</f>
        <v>#REF!</v>
      </c>
      <c r="M195" s="27">
        <f>K195/I195*100</f>
        <v>267.82498582204926</v>
      </c>
      <c r="N195" s="48"/>
      <c r="O195" s="49" t="e">
        <f>J195+#REF!+#REF!</f>
        <v>#REF!</v>
      </c>
      <c r="P195" s="36">
        <f t="shared" si="61"/>
        <v>258.07506887052347</v>
      </c>
      <c r="Q195" s="27">
        <f t="shared" si="59"/>
        <v>68.00910609907422</v>
      </c>
      <c r="R195" s="24">
        <f t="shared" si="60"/>
        <v>53.824920335302124</v>
      </c>
      <c r="S195" s="24">
        <f t="shared" si="53"/>
        <v>68.29256213736285</v>
      </c>
    </row>
    <row r="196" spans="1:19" ht="12.75">
      <c r="A196" s="91"/>
      <c r="B196" s="92"/>
      <c r="C196" s="92"/>
      <c r="D196" s="92"/>
      <c r="E196" s="92"/>
      <c r="F196" s="92"/>
      <c r="G196" s="92"/>
      <c r="H196" s="92"/>
      <c r="I196" s="92"/>
      <c r="J196" s="92"/>
      <c r="K196" s="92"/>
      <c r="L196" s="92"/>
      <c r="M196" s="93"/>
      <c r="N196" s="48"/>
      <c r="O196" s="48"/>
      <c r="P196" s="47"/>
      <c r="Q196" s="27"/>
      <c r="R196" s="24"/>
      <c r="S196" s="18"/>
    </row>
    <row r="197" spans="1:19" ht="12.75">
      <c r="A197" s="88" t="s">
        <v>35</v>
      </c>
      <c r="B197" s="89"/>
      <c r="C197" s="89"/>
      <c r="D197" s="89"/>
      <c r="E197" s="89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90"/>
    </row>
    <row r="198" spans="1:19" ht="12.75">
      <c r="A198" s="25" t="s">
        <v>3</v>
      </c>
      <c r="B198" s="25"/>
      <c r="C198" s="26" t="s">
        <v>68</v>
      </c>
      <c r="D198" s="27">
        <f>D199+D202+D204+D205+D203+D206+D207+D201+D200</f>
        <v>4141.5</v>
      </c>
      <c r="E198" s="27">
        <f>E199+E202+E204+E205+E203+E206+E207+E201+E200</f>
        <v>4241.8</v>
      </c>
      <c r="F198" s="27">
        <f>F199+F202+F204+F205+F203+F206+F207+F201+F200</f>
        <v>3210.2999999999997</v>
      </c>
      <c r="G198" s="27">
        <f aca="true" t="shared" si="75" ref="G198:P198">G199+G202+G204+G205+G203+G206+G207+G201+G200</f>
        <v>855.2</v>
      </c>
      <c r="H198" s="27">
        <f t="shared" si="75"/>
        <v>1182.7</v>
      </c>
      <c r="I198" s="27">
        <f t="shared" si="75"/>
        <v>1172.4</v>
      </c>
      <c r="J198" s="27">
        <f t="shared" si="75"/>
        <v>1031.5</v>
      </c>
      <c r="K198" s="27">
        <f t="shared" si="75"/>
        <v>2771.9</v>
      </c>
      <c r="L198" s="27" t="e">
        <f t="shared" si="75"/>
        <v>#REF!</v>
      </c>
      <c r="M198" s="27" t="e">
        <f t="shared" si="75"/>
        <v>#DIV/0!</v>
      </c>
      <c r="N198" s="27">
        <f t="shared" si="75"/>
        <v>0</v>
      </c>
      <c r="O198" s="27">
        <f t="shared" si="75"/>
        <v>0</v>
      </c>
      <c r="P198" s="27" t="e">
        <f t="shared" si="75"/>
        <v>#DIV/0!</v>
      </c>
      <c r="Q198" s="27">
        <f t="shared" si="59"/>
        <v>86.34395539357693</v>
      </c>
      <c r="R198" s="24">
        <f t="shared" si="60"/>
        <v>65.34725823942665</v>
      </c>
      <c r="S198" s="24">
        <f t="shared" si="53"/>
        <v>66.92985633224677</v>
      </c>
    </row>
    <row r="199" spans="1:19" ht="12.75">
      <c r="A199" s="21" t="s">
        <v>23</v>
      </c>
      <c r="B199" s="21"/>
      <c r="C199" s="28" t="s">
        <v>22</v>
      </c>
      <c r="D199" s="50">
        <v>1055</v>
      </c>
      <c r="E199" s="37">
        <f>G199+H199+I199+J199</f>
        <v>1058.9</v>
      </c>
      <c r="F199" s="53">
        <f>G199+H199+I199</f>
        <v>770.9</v>
      </c>
      <c r="G199" s="37">
        <v>172</v>
      </c>
      <c r="H199" s="37">
        <v>348.9</v>
      </c>
      <c r="I199" s="17">
        <v>250</v>
      </c>
      <c r="J199" s="17">
        <v>288</v>
      </c>
      <c r="K199" s="18">
        <v>741.5</v>
      </c>
      <c r="L199" s="20" t="e">
        <f>K199/#REF!*100</f>
        <v>#REF!</v>
      </c>
      <c r="M199" s="20">
        <f aca="true" t="shared" si="76" ref="M199:M205">K199/I199*100</f>
        <v>296.6</v>
      </c>
      <c r="N199" s="48"/>
      <c r="O199" s="48"/>
      <c r="P199" s="17">
        <f t="shared" si="61"/>
        <v>257.46527777777777</v>
      </c>
      <c r="Q199" s="20">
        <f t="shared" si="59"/>
        <v>96.18627578155403</v>
      </c>
      <c r="R199" s="18">
        <f t="shared" si="60"/>
        <v>70.02549815846632</v>
      </c>
      <c r="S199" s="18">
        <f t="shared" si="53"/>
        <v>70.28436018957346</v>
      </c>
    </row>
    <row r="200" spans="1:19" ht="12.75">
      <c r="A200" s="12" t="s">
        <v>70</v>
      </c>
      <c r="B200" s="12"/>
      <c r="C200" s="28" t="s">
        <v>71</v>
      </c>
      <c r="D200" s="50">
        <v>2819.5</v>
      </c>
      <c r="E200" s="37">
        <f>G200+H200+I200+J200</f>
        <v>2819.5</v>
      </c>
      <c r="F200" s="53">
        <f aca="true" t="shared" si="77" ref="F200:F207">G200+H200+I200</f>
        <v>2160</v>
      </c>
      <c r="G200" s="37">
        <v>632.2</v>
      </c>
      <c r="H200" s="37">
        <v>678.4</v>
      </c>
      <c r="I200" s="17">
        <v>849.4</v>
      </c>
      <c r="J200" s="17">
        <v>659.5</v>
      </c>
      <c r="K200" s="18">
        <v>1810.4</v>
      </c>
      <c r="L200" s="20"/>
      <c r="M200" s="20"/>
      <c r="N200" s="48"/>
      <c r="O200" s="48"/>
      <c r="P200" s="17"/>
      <c r="Q200" s="20">
        <f>K200*100/F200</f>
        <v>83.81481481481481</v>
      </c>
      <c r="R200" s="18">
        <f>K200*100/E200</f>
        <v>64.20996630608263</v>
      </c>
      <c r="S200" s="18">
        <f t="shared" si="53"/>
        <v>64.20996630608263</v>
      </c>
    </row>
    <row r="201" spans="1:19" ht="12.75">
      <c r="A201" s="12" t="s">
        <v>8</v>
      </c>
      <c r="B201" s="38" t="s">
        <v>55</v>
      </c>
      <c r="C201" s="28" t="s">
        <v>5</v>
      </c>
      <c r="D201" s="50">
        <v>7</v>
      </c>
      <c r="E201" s="37">
        <f aca="true" t="shared" si="78" ref="E201:E209">G201+H201+I201+J201</f>
        <v>24.1</v>
      </c>
      <c r="F201" s="53">
        <f t="shared" si="77"/>
        <v>24.1</v>
      </c>
      <c r="G201" s="37"/>
      <c r="H201" s="37">
        <v>24.1</v>
      </c>
      <c r="I201" s="17"/>
      <c r="J201" s="17"/>
      <c r="K201" s="18">
        <v>24.1</v>
      </c>
      <c r="L201" s="20" t="e">
        <f>K201/#REF!*100</f>
        <v>#REF!</v>
      </c>
      <c r="M201" s="20"/>
      <c r="N201" s="48"/>
      <c r="O201" s="48"/>
      <c r="P201" s="17" t="e">
        <f t="shared" si="61"/>
        <v>#DIV/0!</v>
      </c>
      <c r="Q201" s="20"/>
      <c r="R201" s="18">
        <f t="shared" si="60"/>
        <v>100</v>
      </c>
      <c r="S201" s="18">
        <f t="shared" si="53"/>
        <v>344.2857142857143</v>
      </c>
    </row>
    <row r="202" spans="1:19" ht="12.75">
      <c r="A202" s="12" t="s">
        <v>9</v>
      </c>
      <c r="B202" s="12"/>
      <c r="C202" s="28" t="s">
        <v>6</v>
      </c>
      <c r="D202" s="50">
        <v>178</v>
      </c>
      <c r="E202" s="37">
        <f t="shared" si="78"/>
        <v>178</v>
      </c>
      <c r="F202" s="53">
        <f t="shared" si="77"/>
        <v>115</v>
      </c>
      <c r="G202" s="37">
        <v>31</v>
      </c>
      <c r="H202" s="37">
        <v>31</v>
      </c>
      <c r="I202" s="17">
        <v>53</v>
      </c>
      <c r="J202" s="17">
        <v>63</v>
      </c>
      <c r="K202" s="18">
        <v>94</v>
      </c>
      <c r="L202" s="20" t="e">
        <f>K202/#REF!*100</f>
        <v>#REF!</v>
      </c>
      <c r="M202" s="20">
        <f t="shared" si="76"/>
        <v>177.35849056603774</v>
      </c>
      <c r="N202" s="48"/>
      <c r="O202" s="48"/>
      <c r="P202" s="17">
        <f t="shared" si="61"/>
        <v>149.20634920634922</v>
      </c>
      <c r="Q202" s="20">
        <f t="shared" si="59"/>
        <v>81.73913043478261</v>
      </c>
      <c r="R202" s="18">
        <f t="shared" si="60"/>
        <v>52.80898876404494</v>
      </c>
      <c r="S202" s="18">
        <f aca="true" t="shared" si="79" ref="S202:S231">K202*100/D202</f>
        <v>52.80898876404494</v>
      </c>
    </row>
    <row r="203" spans="1:19" ht="12.75">
      <c r="A203" s="12" t="s">
        <v>10</v>
      </c>
      <c r="B203" s="12"/>
      <c r="C203" s="28" t="s">
        <v>21</v>
      </c>
      <c r="D203" s="50">
        <v>17</v>
      </c>
      <c r="E203" s="37">
        <f t="shared" si="78"/>
        <v>17</v>
      </c>
      <c r="F203" s="53">
        <f t="shared" si="77"/>
        <v>13</v>
      </c>
      <c r="G203" s="37">
        <v>4</v>
      </c>
      <c r="H203" s="37">
        <v>5</v>
      </c>
      <c r="I203" s="17">
        <v>4</v>
      </c>
      <c r="J203" s="17">
        <v>4</v>
      </c>
      <c r="K203" s="18">
        <v>12.6</v>
      </c>
      <c r="L203" s="20" t="e">
        <f>K203/#REF!*100</f>
        <v>#REF!</v>
      </c>
      <c r="M203" s="20">
        <f t="shared" si="76"/>
        <v>315</v>
      </c>
      <c r="N203" s="48"/>
      <c r="O203" s="48"/>
      <c r="P203" s="17">
        <f t="shared" si="61"/>
        <v>315</v>
      </c>
      <c r="Q203" s="20">
        <f t="shared" si="59"/>
        <v>96.92307692307692</v>
      </c>
      <c r="R203" s="18">
        <f t="shared" si="60"/>
        <v>74.11764705882354</v>
      </c>
      <c r="S203" s="18">
        <f t="shared" si="79"/>
        <v>74.11764705882354</v>
      </c>
    </row>
    <row r="204" spans="1:19" ht="24">
      <c r="A204" s="13" t="s">
        <v>11</v>
      </c>
      <c r="B204" s="13"/>
      <c r="C204" s="28" t="s">
        <v>17</v>
      </c>
      <c r="D204" s="50">
        <v>65</v>
      </c>
      <c r="E204" s="37">
        <f t="shared" si="78"/>
        <v>144.3</v>
      </c>
      <c r="F204" s="53">
        <f t="shared" si="77"/>
        <v>127.3</v>
      </c>
      <c r="G204" s="37">
        <v>16</v>
      </c>
      <c r="H204" s="37">
        <v>95.3</v>
      </c>
      <c r="I204" s="17">
        <v>16</v>
      </c>
      <c r="J204" s="17">
        <v>17</v>
      </c>
      <c r="K204" s="18">
        <v>95.1</v>
      </c>
      <c r="L204" s="20" t="e">
        <f>K204/#REF!*100</f>
        <v>#REF!</v>
      </c>
      <c r="M204" s="20">
        <f t="shared" si="76"/>
        <v>594.375</v>
      </c>
      <c r="N204" s="48"/>
      <c r="O204" s="48"/>
      <c r="P204" s="17">
        <f t="shared" si="61"/>
        <v>559.4117647058823</v>
      </c>
      <c r="Q204" s="20">
        <f t="shared" si="59"/>
        <v>74.70542026708563</v>
      </c>
      <c r="R204" s="18">
        <f t="shared" si="60"/>
        <v>65.9043659043659</v>
      </c>
      <c r="S204" s="18">
        <f t="shared" si="79"/>
        <v>146.30769230769232</v>
      </c>
    </row>
    <row r="205" spans="1:19" ht="12.75" hidden="1">
      <c r="A205" s="29" t="s">
        <v>18</v>
      </c>
      <c r="B205" s="29"/>
      <c r="C205" s="28" t="s">
        <v>15</v>
      </c>
      <c r="D205" s="50"/>
      <c r="E205" s="37">
        <f t="shared" si="78"/>
        <v>0</v>
      </c>
      <c r="F205" s="53">
        <f t="shared" si="77"/>
        <v>0</v>
      </c>
      <c r="G205" s="37"/>
      <c r="H205" s="37"/>
      <c r="I205" s="17"/>
      <c r="J205" s="17"/>
      <c r="K205" s="18"/>
      <c r="L205" s="20" t="e">
        <f>K205/#REF!*100</f>
        <v>#REF!</v>
      </c>
      <c r="M205" s="20" t="e">
        <f t="shared" si="76"/>
        <v>#DIV/0!</v>
      </c>
      <c r="N205" s="48"/>
      <c r="O205" s="48"/>
      <c r="P205" s="17" t="e">
        <f t="shared" si="61"/>
        <v>#DIV/0!</v>
      </c>
      <c r="Q205" s="20"/>
      <c r="R205" s="18"/>
      <c r="S205" s="18" t="e">
        <f t="shared" si="79"/>
        <v>#DIV/0!</v>
      </c>
    </row>
    <row r="206" spans="1:19" ht="15.75" customHeight="1" hidden="1">
      <c r="A206" s="29" t="s">
        <v>12</v>
      </c>
      <c r="B206" s="60"/>
      <c r="C206" s="28" t="s">
        <v>7</v>
      </c>
      <c r="D206" s="50"/>
      <c r="E206" s="37">
        <f t="shared" si="78"/>
        <v>0</v>
      </c>
      <c r="F206" s="53">
        <f t="shared" si="77"/>
        <v>0</v>
      </c>
      <c r="G206" s="37"/>
      <c r="H206" s="37"/>
      <c r="I206" s="17"/>
      <c r="J206" s="17"/>
      <c r="K206" s="18"/>
      <c r="L206" s="20" t="e">
        <f>K206/#REF!*100</f>
        <v>#REF!</v>
      </c>
      <c r="M206" s="20"/>
      <c r="N206" s="48"/>
      <c r="O206" s="48"/>
      <c r="P206" s="17" t="e">
        <f t="shared" si="61"/>
        <v>#DIV/0!</v>
      </c>
      <c r="Q206" s="20"/>
      <c r="R206" s="18"/>
      <c r="S206" s="18" t="e">
        <f t="shared" si="79"/>
        <v>#DIV/0!</v>
      </c>
    </row>
    <row r="207" spans="1:19" ht="13.5" customHeight="1">
      <c r="A207" s="56" t="s">
        <v>39</v>
      </c>
      <c r="B207" s="54"/>
      <c r="C207" s="16" t="s">
        <v>40</v>
      </c>
      <c r="D207" s="50"/>
      <c r="E207" s="37">
        <f t="shared" si="78"/>
        <v>0</v>
      </c>
      <c r="F207" s="53">
        <f t="shared" si="77"/>
        <v>0</v>
      </c>
      <c r="G207" s="37"/>
      <c r="H207" s="37"/>
      <c r="I207" s="17"/>
      <c r="J207" s="17"/>
      <c r="K207" s="18">
        <v>-5.8</v>
      </c>
      <c r="L207" s="20" t="e">
        <f>K207/#REF!*100</f>
        <v>#REF!</v>
      </c>
      <c r="M207" s="20"/>
      <c r="N207" s="48"/>
      <c r="O207" s="48"/>
      <c r="P207" s="17"/>
      <c r="Q207" s="20"/>
      <c r="R207" s="18"/>
      <c r="S207" s="18"/>
    </row>
    <row r="208" spans="1:19" ht="12.75">
      <c r="A208" s="25" t="s">
        <v>1</v>
      </c>
      <c r="B208" s="25"/>
      <c r="C208" s="32" t="s">
        <v>0</v>
      </c>
      <c r="D208" s="33">
        <f aca="true" t="shared" si="80" ref="D208:K208">D209</f>
        <v>21907.3</v>
      </c>
      <c r="E208" s="33">
        <f t="shared" si="80"/>
        <v>24547.600000000002</v>
      </c>
      <c r="F208" s="33">
        <f t="shared" si="80"/>
        <v>19290.9</v>
      </c>
      <c r="G208" s="33">
        <f t="shared" si="80"/>
        <v>6687.4</v>
      </c>
      <c r="H208" s="33">
        <f t="shared" si="80"/>
        <v>7296.3</v>
      </c>
      <c r="I208" s="33">
        <f t="shared" si="80"/>
        <v>5307.2</v>
      </c>
      <c r="J208" s="33">
        <f t="shared" si="80"/>
        <v>5256.7</v>
      </c>
      <c r="K208" s="33">
        <f t="shared" si="80"/>
        <v>14152.5</v>
      </c>
      <c r="L208" s="27" t="e">
        <f>K208/#REF!*100</f>
        <v>#REF!</v>
      </c>
      <c r="M208" s="27">
        <f>K208/I208*100</f>
        <v>266.66603858908655</v>
      </c>
      <c r="N208" s="48"/>
      <c r="O208" s="48"/>
      <c r="P208" s="36">
        <f t="shared" si="61"/>
        <v>269.2278425628246</v>
      </c>
      <c r="Q208" s="27">
        <f t="shared" si="59"/>
        <v>73.3636066746497</v>
      </c>
      <c r="R208" s="24">
        <f t="shared" si="60"/>
        <v>57.65329400837556</v>
      </c>
      <c r="S208" s="24">
        <f t="shared" si="79"/>
        <v>64.60175375331511</v>
      </c>
    </row>
    <row r="209" spans="1:19" ht="24">
      <c r="A209" s="14" t="s">
        <v>67</v>
      </c>
      <c r="B209" s="12"/>
      <c r="C209" s="34" t="s">
        <v>20</v>
      </c>
      <c r="D209" s="37">
        <v>21907.3</v>
      </c>
      <c r="E209" s="37">
        <f t="shared" si="78"/>
        <v>24547.600000000002</v>
      </c>
      <c r="F209" s="53">
        <f>G209+H209+I209</f>
        <v>19290.9</v>
      </c>
      <c r="G209" s="37">
        <f>6570+117.4</f>
        <v>6687.4</v>
      </c>
      <c r="H209" s="37">
        <v>7296.3</v>
      </c>
      <c r="I209" s="17">
        <f>6450.9-1143.7</f>
        <v>5307.2</v>
      </c>
      <c r="J209" s="17">
        <v>5256.7</v>
      </c>
      <c r="K209" s="18">
        <v>14152.5</v>
      </c>
      <c r="L209" s="20" t="e">
        <f>K209/#REF!*100</f>
        <v>#REF!</v>
      </c>
      <c r="M209" s="20">
        <f>K209/I209*100</f>
        <v>266.66603858908655</v>
      </c>
      <c r="N209" s="48"/>
      <c r="O209" s="48"/>
      <c r="P209" s="17">
        <f t="shared" si="61"/>
        <v>269.2278425628246</v>
      </c>
      <c r="Q209" s="20">
        <f t="shared" si="59"/>
        <v>73.3636066746497</v>
      </c>
      <c r="R209" s="18">
        <f t="shared" si="60"/>
        <v>57.65329400837556</v>
      </c>
      <c r="S209" s="18">
        <f t="shared" si="79"/>
        <v>64.60175375331511</v>
      </c>
    </row>
    <row r="210" spans="1:19" ht="12.75">
      <c r="A210" s="21"/>
      <c r="B210" s="22"/>
      <c r="C210" s="23" t="s">
        <v>4</v>
      </c>
      <c r="D210" s="24">
        <f aca="true" t="shared" si="81" ref="D210:K210">D208+D198</f>
        <v>26048.8</v>
      </c>
      <c r="E210" s="24">
        <f t="shared" si="81"/>
        <v>28789.4</v>
      </c>
      <c r="F210" s="24">
        <f t="shared" si="81"/>
        <v>22501.2</v>
      </c>
      <c r="G210" s="36">
        <f t="shared" si="81"/>
        <v>7542.599999999999</v>
      </c>
      <c r="H210" s="36">
        <f t="shared" si="81"/>
        <v>8479</v>
      </c>
      <c r="I210" s="36">
        <f t="shared" si="81"/>
        <v>6479.6</v>
      </c>
      <c r="J210" s="36">
        <f t="shared" si="81"/>
        <v>6288.2</v>
      </c>
      <c r="K210" s="24">
        <f t="shared" si="81"/>
        <v>16924.4</v>
      </c>
      <c r="L210" s="27" t="e">
        <f>K210/#REF!*100</f>
        <v>#REF!</v>
      </c>
      <c r="M210" s="27">
        <f>K210/I210*100</f>
        <v>261.1951355021915</v>
      </c>
      <c r="N210" s="48"/>
      <c r="O210" s="49" t="e">
        <f>J210+#REF!+#REF!</f>
        <v>#REF!</v>
      </c>
      <c r="P210" s="36">
        <f t="shared" si="61"/>
        <v>269.14538341655805</v>
      </c>
      <c r="Q210" s="27">
        <f t="shared" si="59"/>
        <v>75.21554405987237</v>
      </c>
      <c r="R210" s="24">
        <f t="shared" si="60"/>
        <v>58.7869146283007</v>
      </c>
      <c r="S210" s="24">
        <f t="shared" si="79"/>
        <v>64.97189889745403</v>
      </c>
    </row>
    <row r="211" spans="1:19" ht="12.75">
      <c r="A211" s="91"/>
      <c r="B211" s="92"/>
      <c r="C211" s="92"/>
      <c r="D211" s="92"/>
      <c r="E211" s="92"/>
      <c r="F211" s="92"/>
      <c r="G211" s="92"/>
      <c r="H211" s="92"/>
      <c r="I211" s="92"/>
      <c r="J211" s="92"/>
      <c r="K211" s="92"/>
      <c r="L211" s="92"/>
      <c r="M211" s="93"/>
      <c r="N211" s="48"/>
      <c r="O211" s="48"/>
      <c r="P211" s="47"/>
      <c r="Q211" s="27"/>
      <c r="R211" s="24"/>
      <c r="S211" s="18"/>
    </row>
    <row r="212" spans="1:19" ht="12.75">
      <c r="A212" s="88" t="s">
        <v>36</v>
      </c>
      <c r="B212" s="89"/>
      <c r="C212" s="89"/>
      <c r="D212" s="89"/>
      <c r="E212" s="89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90"/>
    </row>
    <row r="213" spans="1:19" ht="12.75">
      <c r="A213" s="25" t="s">
        <v>3</v>
      </c>
      <c r="B213" s="39"/>
      <c r="C213" s="26" t="s">
        <v>68</v>
      </c>
      <c r="D213" s="27">
        <f aca="true" t="shared" si="82" ref="D213:K213">D214+D216+D217+D218+D220+D221+D223+D225+D222+D219+D226+D224+D215</f>
        <v>939794.6</v>
      </c>
      <c r="E213" s="27">
        <f t="shared" si="82"/>
        <v>981291.6</v>
      </c>
      <c r="F213" s="27">
        <f t="shared" si="82"/>
        <v>723010.7999999999</v>
      </c>
      <c r="G213" s="27">
        <f t="shared" si="82"/>
        <v>237970</v>
      </c>
      <c r="H213" s="27">
        <f t="shared" si="82"/>
        <v>259373.50000000003</v>
      </c>
      <c r="I213" s="27">
        <f t="shared" si="82"/>
        <v>225667.30000000005</v>
      </c>
      <c r="J213" s="27">
        <f t="shared" si="82"/>
        <v>258280.69999999998</v>
      </c>
      <c r="K213" s="27">
        <f t="shared" si="82"/>
        <v>647250.9</v>
      </c>
      <c r="L213" s="27" t="e">
        <f>K213/#REF!*100</f>
        <v>#REF!</v>
      </c>
      <c r="M213" s="27">
        <f aca="true" t="shared" si="83" ref="M213:M224">K213/I213*100</f>
        <v>286.8164328637777</v>
      </c>
      <c r="N213" s="48"/>
      <c r="O213" s="48"/>
      <c r="P213" s="27">
        <f t="shared" si="61"/>
        <v>250.59979317076346</v>
      </c>
      <c r="Q213" s="27">
        <f t="shared" si="59"/>
        <v>89.52160880584357</v>
      </c>
      <c r="R213" s="24">
        <f t="shared" si="60"/>
        <v>65.95907883039048</v>
      </c>
      <c r="S213" s="24">
        <f t="shared" si="79"/>
        <v>68.87152788492294</v>
      </c>
    </row>
    <row r="214" spans="1:19" ht="12.75">
      <c r="A214" s="21" t="s">
        <v>23</v>
      </c>
      <c r="B214" s="40" t="s">
        <v>54</v>
      </c>
      <c r="C214" s="28" t="s">
        <v>22</v>
      </c>
      <c r="D214" s="18">
        <f>D9+D31+D47+D65+D82+D100+D116+D133+D149+D166+D183+D199</f>
        <v>685973.2</v>
      </c>
      <c r="E214" s="37">
        <f>G214+H214+I214+J214</f>
        <v>686323.1000000001</v>
      </c>
      <c r="F214" s="53">
        <f>G214+H214+I214</f>
        <v>507643.80000000005</v>
      </c>
      <c r="G214" s="18">
        <f>G9+G31+G47+G65+G82+G100+G116+G133+G149+G166+G183+G199</f>
        <v>160906</v>
      </c>
      <c r="H214" s="18">
        <f>H9+H31+H47+H65+H82+H100+H116+H133+H149+H166+H183+H199</f>
        <v>189374.90000000002</v>
      </c>
      <c r="I214" s="18">
        <f>I9+I31+I47+I65+I82+I100+I116+I133+I149+I166+I183+I199</f>
        <v>157362.90000000002</v>
      </c>
      <c r="J214" s="18">
        <f>J9+J31+J47+J65+J82+J100+J116+J133+J149+J166+J183+J199</f>
        <v>178679.3</v>
      </c>
      <c r="K214" s="18">
        <f>K9+K31+K47+K65+K82+K100+K116+K133+K149+K166+K183+K199</f>
        <v>445610.6000000001</v>
      </c>
      <c r="L214" s="20" t="e">
        <f>K214/#REF!*100</f>
        <v>#REF!</v>
      </c>
      <c r="M214" s="20">
        <f t="shared" si="83"/>
        <v>283.17386118329034</v>
      </c>
      <c r="N214" s="48"/>
      <c r="O214" s="48"/>
      <c r="P214" s="17">
        <f t="shared" si="61"/>
        <v>249.3912837133345</v>
      </c>
      <c r="Q214" s="20">
        <f t="shared" si="59"/>
        <v>87.78017184490385</v>
      </c>
      <c r="R214" s="18">
        <f t="shared" si="60"/>
        <v>64.92723325209366</v>
      </c>
      <c r="S214" s="18">
        <f t="shared" si="79"/>
        <v>64.96035122071827</v>
      </c>
    </row>
    <row r="215" spans="1:19" ht="12.75">
      <c r="A215" s="12" t="s">
        <v>70</v>
      </c>
      <c r="B215" s="12"/>
      <c r="C215" s="28" t="s">
        <v>71</v>
      </c>
      <c r="D215" s="18">
        <f>D10+D32+D48+D66+D83+D101+D118+D134+D150+D167+D184+D200</f>
        <v>38564.40000000001</v>
      </c>
      <c r="E215" s="37">
        <f aca="true" t="shared" si="84" ref="E215:E230">G215+H215+I215+J215</f>
        <v>38564.399999999994</v>
      </c>
      <c r="F215" s="53">
        <f aca="true" t="shared" si="85" ref="F215:F226">G215+H215+I215</f>
        <v>28757.199999999997</v>
      </c>
      <c r="G215" s="18">
        <f>G10+G32+G48+G66+G83+G101+G118+G134+G150+G167+G184+G200</f>
        <v>9120.800000000001</v>
      </c>
      <c r="H215" s="18">
        <f>H10+H32+H48+H66+H83+H101+H118+H134+H150+H167+H184+H200</f>
        <v>9550.699999999999</v>
      </c>
      <c r="I215" s="18">
        <f>I10+I32+I48+I66+I83+I101+I118+I134+I150+I167+I184+I200</f>
        <v>10085.699999999999</v>
      </c>
      <c r="J215" s="18">
        <f>J10+J32+J48+J66+J83+J101+J118+J134+J150+J167+J184+J200</f>
        <v>9807.2</v>
      </c>
      <c r="K215" s="18">
        <f>K10+K32+K48+K66+K83+K101+K118+K134+K150+K167+K184+K200-0.1</f>
        <v>24761.500000000004</v>
      </c>
      <c r="L215" s="18">
        <f>L10</f>
        <v>0</v>
      </c>
      <c r="M215" s="18">
        <f>M10</f>
        <v>0</v>
      </c>
      <c r="N215" s="18">
        <f>N10</f>
        <v>0</v>
      </c>
      <c r="O215" s="18">
        <f>O10</f>
        <v>0</v>
      </c>
      <c r="P215" s="18">
        <f>P10</f>
        <v>0</v>
      </c>
      <c r="Q215" s="20">
        <f t="shared" si="59"/>
        <v>86.10539273642777</v>
      </c>
      <c r="R215" s="18">
        <f t="shared" si="60"/>
        <v>64.20818163902462</v>
      </c>
      <c r="S215" s="18">
        <f t="shared" si="79"/>
        <v>64.20818163902459</v>
      </c>
    </row>
    <row r="216" spans="1:19" ht="12.75">
      <c r="A216" s="12" t="s">
        <v>8</v>
      </c>
      <c r="B216" s="38" t="s">
        <v>55</v>
      </c>
      <c r="C216" s="28" t="s">
        <v>5</v>
      </c>
      <c r="D216" s="18">
        <f>D11+D49+D67+D201+D151+D117+D185+D84+D102+D168+D119</f>
        <v>38556</v>
      </c>
      <c r="E216" s="37">
        <f>G216+H216+I216+J216</f>
        <v>39771.200000000004</v>
      </c>
      <c r="F216" s="53">
        <f t="shared" si="85"/>
        <v>33399.200000000004</v>
      </c>
      <c r="G216" s="18">
        <f>G11+G49+G67+G201+G151+G117+G185+G84+G102+G168</f>
        <v>13069.9</v>
      </c>
      <c r="H216" s="18">
        <f>H11+H49+H67+H201+H151+H117+H185+H84+H102+H168</f>
        <v>13567.500000000002</v>
      </c>
      <c r="I216" s="18">
        <f>I11+I49+I67+I201+I151+I117+I185+I84+I102+I168</f>
        <v>6761.8</v>
      </c>
      <c r="J216" s="18">
        <f>J11+J49+J67+J201+J151+J117+J185+J84+J102+J168</f>
        <v>6372</v>
      </c>
      <c r="K216" s="18">
        <f>K11+K49+K67+K201+K151+K117+K185+K84+K102+K168+K119</f>
        <v>41921.4</v>
      </c>
      <c r="L216" s="20" t="e">
        <f>K216/#REF!*100</f>
        <v>#REF!</v>
      </c>
      <c r="M216" s="20">
        <f t="shared" si="83"/>
        <v>619.9739714277263</v>
      </c>
      <c r="N216" s="48"/>
      <c r="O216" s="48"/>
      <c r="P216" s="17">
        <f t="shared" si="61"/>
        <v>657.9001883239172</v>
      </c>
      <c r="Q216" s="20">
        <f t="shared" si="59"/>
        <v>125.51618002826413</v>
      </c>
      <c r="R216" s="18">
        <f t="shared" si="60"/>
        <v>105.40642474956752</v>
      </c>
      <c r="S216" s="18">
        <f t="shared" si="79"/>
        <v>108.72860255213196</v>
      </c>
    </row>
    <row r="217" spans="1:19" ht="12.75">
      <c r="A217" s="12" t="s">
        <v>9</v>
      </c>
      <c r="B217" s="38" t="s">
        <v>56</v>
      </c>
      <c r="C217" s="28" t="s">
        <v>6</v>
      </c>
      <c r="D217" s="18">
        <f>D12+D33+D50+D68+D85+D103+D120+D135+D152+D169+D186+D202</f>
        <v>20925.8</v>
      </c>
      <c r="E217" s="37">
        <f t="shared" si="84"/>
        <v>18526.4</v>
      </c>
      <c r="F217" s="53">
        <f t="shared" si="85"/>
        <v>9722</v>
      </c>
      <c r="G217" s="18">
        <f>G12+G33+G50+G68+G85+G103+G120+G135+G152+G169+G186+G202</f>
        <v>3507.8999999999996</v>
      </c>
      <c r="H217" s="18">
        <f>H12+H33+H50+H68+H85+H103+H120+H135+H152+H169+H186+H202</f>
        <v>2492.1000000000004</v>
      </c>
      <c r="I217" s="18">
        <f>I12+I33+I50+I68+I85+I103+I120+I135+I152+I169+I186+I202</f>
        <v>3722</v>
      </c>
      <c r="J217" s="18">
        <f>J12+J33+J50+J68+J85+J103+J120+J135+J152+J169+J186+J202</f>
        <v>8804.4</v>
      </c>
      <c r="K217" s="18">
        <f>K12+K33+K50+K68+K85+K103+K120+K135+K152+K169+K186+K202+0.1</f>
        <v>7397</v>
      </c>
      <c r="L217" s="20" t="e">
        <f>K217/#REF!*100</f>
        <v>#REF!</v>
      </c>
      <c r="M217" s="20">
        <f t="shared" si="83"/>
        <v>198.73723804406234</v>
      </c>
      <c r="N217" s="48"/>
      <c r="O217" s="48"/>
      <c r="P217" s="17">
        <f t="shared" si="61"/>
        <v>84.01481077642997</v>
      </c>
      <c r="Q217" s="20">
        <f t="shared" si="59"/>
        <v>76.0851676609751</v>
      </c>
      <c r="R217" s="18">
        <f t="shared" si="60"/>
        <v>39.926807150876584</v>
      </c>
      <c r="S217" s="18">
        <f t="shared" si="79"/>
        <v>35.348708293111855</v>
      </c>
    </row>
    <row r="218" spans="1:19" ht="12.75">
      <c r="A218" s="12" t="s">
        <v>10</v>
      </c>
      <c r="B218" s="38" t="s">
        <v>49</v>
      </c>
      <c r="C218" s="28" t="s">
        <v>21</v>
      </c>
      <c r="D218" s="18">
        <f>D13+D34+D51+D69+D86+D104+D121+D136+D153+D170+D187+D203</f>
        <v>4252.4</v>
      </c>
      <c r="E218" s="37">
        <f t="shared" si="84"/>
        <v>3833.6</v>
      </c>
      <c r="F218" s="53">
        <f t="shared" si="85"/>
        <v>2882</v>
      </c>
      <c r="G218" s="18">
        <f>G13+G34+G69+G86+G104+G121+G136+G153+G170+G187+G203</f>
        <v>981.5</v>
      </c>
      <c r="H218" s="18">
        <f>H13+H34+H69+H86+H104+H121+H136+H153+H170+H187+H203</f>
        <v>986.3000000000001</v>
      </c>
      <c r="I218" s="18">
        <f>I13+I34+I69+I86+I104+I121+I136+I153+I170+I187+I203</f>
        <v>914.2</v>
      </c>
      <c r="J218" s="18">
        <f>J13+J34+J69+J86+J104+J121+J136+J153+J170+J187+J203</f>
        <v>951.6</v>
      </c>
      <c r="K218" s="18">
        <f>K13+K34+K51+K69+K86+K104+K121+K136+K153+K170+K187+K203</f>
        <v>2107.6000000000004</v>
      </c>
      <c r="L218" s="20" t="e">
        <f>K218/#REF!*100</f>
        <v>#REF!</v>
      </c>
      <c r="M218" s="20">
        <f t="shared" si="83"/>
        <v>230.5403631590462</v>
      </c>
      <c r="N218" s="48"/>
      <c r="O218" s="48"/>
      <c r="P218" s="17">
        <f t="shared" si="61"/>
        <v>221.479613282892</v>
      </c>
      <c r="Q218" s="20">
        <f t="shared" si="59"/>
        <v>73.12977099236642</v>
      </c>
      <c r="R218" s="18">
        <f t="shared" si="60"/>
        <v>54.97704507512522</v>
      </c>
      <c r="S218" s="18">
        <f t="shared" si="79"/>
        <v>49.562599943561295</v>
      </c>
    </row>
    <row r="219" spans="1:19" ht="24" hidden="1">
      <c r="A219" s="12" t="s">
        <v>37</v>
      </c>
      <c r="B219" s="38" t="s">
        <v>57</v>
      </c>
      <c r="C219" s="28" t="s">
        <v>38</v>
      </c>
      <c r="D219" s="41">
        <f>D14</f>
        <v>0</v>
      </c>
      <c r="E219" s="37">
        <f t="shared" si="84"/>
        <v>0</v>
      </c>
      <c r="F219" s="53">
        <f t="shared" si="85"/>
        <v>0</v>
      </c>
      <c r="G219" s="41">
        <f>G14</f>
        <v>0</v>
      </c>
      <c r="H219" s="41">
        <f>H14</f>
        <v>0</v>
      </c>
      <c r="I219" s="41">
        <f>I14</f>
        <v>0</v>
      </c>
      <c r="J219" s="41">
        <f>J14</f>
        <v>0</v>
      </c>
      <c r="K219" s="41">
        <f>K14</f>
        <v>0</v>
      </c>
      <c r="L219" s="20" t="e">
        <f>K219/#REF!*100</f>
        <v>#REF!</v>
      </c>
      <c r="M219" s="20"/>
      <c r="N219" s="48"/>
      <c r="O219" s="48"/>
      <c r="P219" s="17" t="e">
        <f t="shared" si="61"/>
        <v>#DIV/0!</v>
      </c>
      <c r="Q219" s="20"/>
      <c r="R219" s="18"/>
      <c r="S219" s="18" t="e">
        <f t="shared" si="79"/>
        <v>#DIV/0!</v>
      </c>
    </row>
    <row r="220" spans="1:19" ht="24">
      <c r="A220" s="13" t="s">
        <v>11</v>
      </c>
      <c r="B220" s="42" t="s">
        <v>48</v>
      </c>
      <c r="C220" s="28" t="s">
        <v>17</v>
      </c>
      <c r="D220" s="18">
        <f>D15+D35+D52+D70+D87+D105+D122+D137+D154+D171+D188+D204</f>
        <v>112300.7</v>
      </c>
      <c r="E220" s="37">
        <f t="shared" si="84"/>
        <v>113377.70000000001</v>
      </c>
      <c r="F220" s="53">
        <f t="shared" si="85"/>
        <v>84153.1</v>
      </c>
      <c r="G220" s="18">
        <f>G15+G35+G52+G70+G87+G105+G122+G137+G154+G171+G188+G204</f>
        <v>27315.100000000002</v>
      </c>
      <c r="H220" s="18">
        <f>H15+H35+H52+H70+H87+H105+H122+H137+H154+H171+H188+H204</f>
        <v>28764</v>
      </c>
      <c r="I220" s="18">
        <f>I15+I35+I52+I70+I87+I105+I122+I137+I154+I171+I188+I204</f>
        <v>28074.000000000004</v>
      </c>
      <c r="J220" s="18">
        <f>J15+J35+J52+J70+J87+J105+J122+J137+J154+J171+J188+J204</f>
        <v>29224.600000000002</v>
      </c>
      <c r="K220" s="18">
        <f>K15+K35+K52+K70+K87+K105+K122+K137+K154+K171+K188+K204+0.2</f>
        <v>72484.8</v>
      </c>
      <c r="L220" s="20" t="e">
        <f>K220/#REF!*100</f>
        <v>#REF!</v>
      </c>
      <c r="M220" s="20">
        <f t="shared" si="83"/>
        <v>258.191921350716</v>
      </c>
      <c r="N220" s="48"/>
      <c r="O220" s="48"/>
      <c r="P220" s="17">
        <f t="shared" si="61"/>
        <v>248.02666246928956</v>
      </c>
      <c r="Q220" s="20">
        <f aca="true" t="shared" si="86" ref="Q220:Q231">K220*100/F220</f>
        <v>86.1344383035206</v>
      </c>
      <c r="R220" s="18">
        <f aca="true" t="shared" si="87" ref="R220:R231">K220*100/E220</f>
        <v>63.93214891464547</v>
      </c>
      <c r="S220" s="18">
        <f t="shared" si="79"/>
        <v>64.54527888071935</v>
      </c>
    </row>
    <row r="221" spans="1:19" ht="12.75">
      <c r="A221" s="29" t="s">
        <v>14</v>
      </c>
      <c r="B221" s="43" t="s">
        <v>47</v>
      </c>
      <c r="C221" s="28" t="s">
        <v>13</v>
      </c>
      <c r="D221" s="18">
        <f>D16</f>
        <v>5108.6</v>
      </c>
      <c r="E221" s="37">
        <f t="shared" si="84"/>
        <v>7036.799999999999</v>
      </c>
      <c r="F221" s="53">
        <f t="shared" si="85"/>
        <v>6411.499999999999</v>
      </c>
      <c r="G221" s="18">
        <f>G16</f>
        <v>3585.2</v>
      </c>
      <c r="H221" s="18">
        <f>H16</f>
        <v>2201.1</v>
      </c>
      <c r="I221" s="18">
        <f>I16</f>
        <v>625.2</v>
      </c>
      <c r="J221" s="18">
        <f>J16</f>
        <v>625.3</v>
      </c>
      <c r="K221" s="18">
        <f>K16</f>
        <v>8758.2</v>
      </c>
      <c r="L221" s="20" t="e">
        <f>K221/#REF!*100</f>
        <v>#REF!</v>
      </c>
      <c r="M221" s="20">
        <f t="shared" si="83"/>
        <v>1400.8637236084453</v>
      </c>
      <c r="N221" s="48"/>
      <c r="O221" s="48"/>
      <c r="P221" s="17">
        <f t="shared" si="61"/>
        <v>1400.6396929473856</v>
      </c>
      <c r="Q221" s="20">
        <f t="shared" si="86"/>
        <v>136.60141932465106</v>
      </c>
      <c r="R221" s="18">
        <f t="shared" si="87"/>
        <v>124.46282401091408</v>
      </c>
      <c r="S221" s="18">
        <f t="shared" si="79"/>
        <v>171.44031632932703</v>
      </c>
    </row>
    <row r="222" spans="1:19" ht="12.75">
      <c r="A222" s="30" t="s">
        <v>42</v>
      </c>
      <c r="B222" s="44" t="s">
        <v>58</v>
      </c>
      <c r="C222" s="28" t="s">
        <v>43</v>
      </c>
      <c r="D222" s="45">
        <f>D17+D88+D53+D106+D138+D155+D172+D189+D123+D71+D36</f>
        <v>15702.1</v>
      </c>
      <c r="E222" s="37">
        <f t="shared" si="84"/>
        <v>18387.1</v>
      </c>
      <c r="F222" s="53">
        <f t="shared" si="85"/>
        <v>14222.8</v>
      </c>
      <c r="G222" s="45">
        <f>G17+G88+G53+G106+G138+G155+G172+G189+G123+G71+G36</f>
        <v>3970.9</v>
      </c>
      <c r="H222" s="45">
        <f>H17+H88+H53+H106+H138+H155+H172+H189+H123+H71+H36</f>
        <v>6279.9</v>
      </c>
      <c r="I222" s="45">
        <f>I17+I88+I53+I106+I138+I155+I172+I189+I123+I71+I36</f>
        <v>3972</v>
      </c>
      <c r="J222" s="45">
        <f>J17+J88+J53+J106+J138+J155+J172+J189+J123+J71+J36</f>
        <v>4164.3</v>
      </c>
      <c r="K222" s="45">
        <f>K17+K88+K53+K106+K138+K155+K172+K189+K123+K71+K36+0.1</f>
        <v>14589.2</v>
      </c>
      <c r="L222" s="45" t="e">
        <f>L17+L88+L53+L106+L138+L155+L172+L189+L123+L71+L36</f>
        <v>#REF!</v>
      </c>
      <c r="M222" s="45">
        <f>M17+M88+M53+M106+M138+M155+M172+M189+M123+M71+M36</f>
        <v>3658.886768742585</v>
      </c>
      <c r="N222" s="45">
        <f>N17+N88+N53+N106+N138+N155+N172+N189+N123+N71+N36</f>
        <v>0</v>
      </c>
      <c r="O222" s="45">
        <f>O17+O88+O53+O106+O138+O155+O172+O189+O123+O71+O36</f>
        <v>0</v>
      </c>
      <c r="P222" s="45" t="e">
        <f>P17+P88+P53+P106+P138+P155+P172+P189+P123+P71+P36</f>
        <v>#DIV/0!</v>
      </c>
      <c r="Q222" s="20">
        <f t="shared" si="86"/>
        <v>102.5761453440954</v>
      </c>
      <c r="R222" s="18">
        <f t="shared" si="87"/>
        <v>79.34475800969159</v>
      </c>
      <c r="S222" s="18">
        <f t="shared" si="79"/>
        <v>92.91241298934537</v>
      </c>
    </row>
    <row r="223" spans="1:19" ht="12.75">
      <c r="A223" s="30" t="s">
        <v>18</v>
      </c>
      <c r="B223" s="44" t="s">
        <v>53</v>
      </c>
      <c r="C223" s="28" t="s">
        <v>15</v>
      </c>
      <c r="D223" s="18">
        <f>D18+D37+D54+D72+D89+D124+D156+D173+D190+D205+D139</f>
        <v>13944</v>
      </c>
      <c r="E223" s="37">
        <f>G223+H223+I223+J223+0.1</f>
        <v>39386.2</v>
      </c>
      <c r="F223" s="53">
        <f t="shared" si="85"/>
        <v>21025.6</v>
      </c>
      <c r="G223" s="18">
        <f>G18+G37+G54+G72+G89+G107+G124+G156+G173+G190+G205+G139</f>
        <v>4045.7000000000003</v>
      </c>
      <c r="H223" s="18">
        <f>H18+H37+H54+H72+H89+H107+H124+H156+H173+H190+H205+H139</f>
        <v>4105.5</v>
      </c>
      <c r="I223" s="18">
        <f>I18+I37+I54+I72+I89+I107+I124+I156+I173+I190+I205+I139</f>
        <v>12874.4</v>
      </c>
      <c r="J223" s="18">
        <f>J18+J37+J54+J72+J89+J107+J124+J156+J173+J190+J205+J139</f>
        <v>18360.5</v>
      </c>
      <c r="K223" s="18">
        <f>K18+K37+K54+K72+K89+K124+K156+K173+K190+K205+K139</f>
        <v>15557.7</v>
      </c>
      <c r="L223" s="20" t="e">
        <f>K223/#REF!*100</f>
        <v>#REF!</v>
      </c>
      <c r="M223" s="20">
        <f t="shared" si="83"/>
        <v>120.84213633256698</v>
      </c>
      <c r="N223" s="48"/>
      <c r="O223" s="48"/>
      <c r="P223" s="17">
        <f aca="true" t="shared" si="88" ref="P223:P231">K223*100/J223</f>
        <v>84.73462051687045</v>
      </c>
      <c r="Q223" s="20">
        <f t="shared" si="86"/>
        <v>73.99408340308958</v>
      </c>
      <c r="R223" s="18">
        <f t="shared" si="87"/>
        <v>39.50038338301233</v>
      </c>
      <c r="S223" s="18">
        <f t="shared" si="79"/>
        <v>111.57271944922547</v>
      </c>
    </row>
    <row r="224" spans="1:19" ht="12.75">
      <c r="A224" s="30" t="s">
        <v>60</v>
      </c>
      <c r="B224" s="30"/>
      <c r="C224" s="28" t="s">
        <v>61</v>
      </c>
      <c r="D224" s="18">
        <f>D19</f>
        <v>6</v>
      </c>
      <c r="E224" s="37">
        <f t="shared" si="84"/>
        <v>6</v>
      </c>
      <c r="F224" s="53">
        <f t="shared" si="85"/>
        <v>4</v>
      </c>
      <c r="G224" s="18">
        <f>G19</f>
        <v>1</v>
      </c>
      <c r="H224" s="18">
        <f>H19</f>
        <v>2</v>
      </c>
      <c r="I224" s="18">
        <f>I19</f>
        <v>1</v>
      </c>
      <c r="J224" s="18">
        <f>J19</f>
        <v>2</v>
      </c>
      <c r="K224" s="18">
        <f>K19</f>
        <v>9</v>
      </c>
      <c r="L224" s="20" t="e">
        <f>K224/#REF!*100</f>
        <v>#REF!</v>
      </c>
      <c r="M224" s="20">
        <f t="shared" si="83"/>
        <v>900</v>
      </c>
      <c r="N224" s="48"/>
      <c r="O224" s="48"/>
      <c r="P224" s="17">
        <f t="shared" si="88"/>
        <v>450</v>
      </c>
      <c r="Q224" s="20">
        <f t="shared" si="86"/>
        <v>225</v>
      </c>
      <c r="R224" s="18">
        <f t="shared" si="87"/>
        <v>150</v>
      </c>
      <c r="S224" s="18">
        <f t="shared" si="79"/>
        <v>150</v>
      </c>
    </row>
    <row r="225" spans="1:19" ht="12.75">
      <c r="A225" s="21" t="s">
        <v>12</v>
      </c>
      <c r="B225" s="40" t="s">
        <v>50</v>
      </c>
      <c r="C225" s="28" t="s">
        <v>7</v>
      </c>
      <c r="D225" s="18">
        <f>D20+D191+D206+D73+D140+D55+D157+D90+D174+D107</f>
        <v>4461.4</v>
      </c>
      <c r="E225" s="37">
        <f t="shared" si="84"/>
        <v>16079.1</v>
      </c>
      <c r="F225" s="53">
        <f t="shared" si="85"/>
        <v>14789.6</v>
      </c>
      <c r="G225" s="18">
        <f>G20+G191+G206+G73+G140+G55+G157+G90+G174</f>
        <v>11466</v>
      </c>
      <c r="H225" s="18">
        <f>H20+H191+H206+H73+H140+H55+H157+H90+H174</f>
        <v>2049.5</v>
      </c>
      <c r="I225" s="18">
        <f>I20+I191+I206+I73+I140+I55+I157+I90+I174</f>
        <v>1274.1</v>
      </c>
      <c r="J225" s="18">
        <f>J20+J191+J206+J73+J140+J55+J157+J90+J174</f>
        <v>1289.5</v>
      </c>
      <c r="K225" s="18">
        <f>K20+K191+K206+K73+K140+K55+K157+K90+K174+K107+K38</f>
        <v>13946.5</v>
      </c>
      <c r="L225" s="18" t="e">
        <f>L20+L191+L206+L73+L140+L55+L157+L90</f>
        <v>#REF!</v>
      </c>
      <c r="M225" s="18">
        <f>M20+M191+M206+M73+M140+M55+M157+M90</f>
        <v>1083.1253433796408</v>
      </c>
      <c r="N225" s="18">
        <f>N20+N191+N206+N73+N140+N55+N157+N90</f>
        <v>0</v>
      </c>
      <c r="O225" s="18">
        <f>O20+O191+O206+O73+O140+O55+O157+O90</f>
        <v>0</v>
      </c>
      <c r="P225" s="18" t="e">
        <f>P20+P191+P206+P73+P140+P55+P157+P90</f>
        <v>#DIV/0!</v>
      </c>
      <c r="Q225" s="20">
        <f t="shared" si="86"/>
        <v>94.29937253204955</v>
      </c>
      <c r="R225" s="18">
        <f t="shared" si="87"/>
        <v>86.73681984688197</v>
      </c>
      <c r="S225" s="18">
        <f t="shared" si="79"/>
        <v>312.60366701035554</v>
      </c>
    </row>
    <row r="226" spans="1:19" ht="12.75">
      <c r="A226" s="31" t="s">
        <v>39</v>
      </c>
      <c r="B226" s="46" t="s">
        <v>57</v>
      </c>
      <c r="C226" s="16" t="s">
        <v>40</v>
      </c>
      <c r="D226" s="18">
        <f>D21+D39+D56+D74+D91+D108+D126+D141+D158+D175+D192+D207</f>
        <v>0</v>
      </c>
      <c r="E226" s="37">
        <v>0</v>
      </c>
      <c r="F226" s="53">
        <f t="shared" si="85"/>
        <v>0</v>
      </c>
      <c r="G226" s="18">
        <v>0</v>
      </c>
      <c r="H226" s="18">
        <f>H21+H39+H56+H74+H91+H108+H126+H141+H158+H175+H192+H207</f>
        <v>0</v>
      </c>
      <c r="I226" s="18">
        <f>I21+I39+I56+I74+I91+I108+I126+I141+I158+I175+I192+I207</f>
        <v>0</v>
      </c>
      <c r="J226" s="18">
        <f>J21+J39+J56+J74+J91+J108+J126+J141+J158+J175+J192+J207</f>
        <v>0</v>
      </c>
      <c r="K226" s="18">
        <f>K21+K39+K56+K74+K91+K108+K126+K141+K158+K175+K192+K207-0.2</f>
        <v>107.4</v>
      </c>
      <c r="L226" s="20"/>
      <c r="M226" s="20"/>
      <c r="N226" s="48"/>
      <c r="O226" s="48"/>
      <c r="P226" s="17" t="e">
        <f t="shared" si="88"/>
        <v>#DIV/0!</v>
      </c>
      <c r="Q226" s="20"/>
      <c r="R226" s="18"/>
      <c r="S226" s="18"/>
    </row>
    <row r="227" spans="1:19" ht="12.75">
      <c r="A227" s="25" t="s">
        <v>1</v>
      </c>
      <c r="B227" s="39"/>
      <c r="C227" s="32" t="s">
        <v>0</v>
      </c>
      <c r="D227" s="33">
        <f aca="true" t="shared" si="89" ref="D227:J227">D228+D229+D230</f>
        <v>2394102</v>
      </c>
      <c r="E227" s="33">
        <f t="shared" si="89"/>
        <v>2726729.7</v>
      </c>
      <c r="F227" s="33">
        <f t="shared" si="89"/>
        <v>1954580.5000000005</v>
      </c>
      <c r="G227" s="33">
        <f t="shared" si="89"/>
        <v>597274.3</v>
      </c>
      <c r="H227" s="33">
        <f t="shared" si="89"/>
        <v>709372.1000000001</v>
      </c>
      <c r="I227" s="33">
        <f t="shared" si="89"/>
        <v>647934.1</v>
      </c>
      <c r="J227" s="33">
        <f t="shared" si="89"/>
        <v>771315.2000000001</v>
      </c>
      <c r="K227" s="33">
        <f>K228+K229+K230+0.1</f>
        <v>1582725.9</v>
      </c>
      <c r="L227" s="27" t="e">
        <f>K227/#REF!*100</f>
        <v>#REF!</v>
      </c>
      <c r="M227" s="27">
        <f>K227/I227*100</f>
        <v>244.27266600106398</v>
      </c>
      <c r="N227" s="48"/>
      <c r="O227" s="48"/>
      <c r="P227" s="36">
        <f t="shared" si="88"/>
        <v>205.19832877661426</v>
      </c>
      <c r="Q227" s="27">
        <f t="shared" si="86"/>
        <v>80.97522204892557</v>
      </c>
      <c r="R227" s="24">
        <f>K227*100/E227</f>
        <v>58.04484030815375</v>
      </c>
      <c r="S227" s="24">
        <f t="shared" si="79"/>
        <v>66.10937629223818</v>
      </c>
    </row>
    <row r="228" spans="1:19" ht="24">
      <c r="A228" s="14" t="s">
        <v>67</v>
      </c>
      <c r="B228" s="38" t="s">
        <v>51</v>
      </c>
      <c r="C228" s="34" t="s">
        <v>20</v>
      </c>
      <c r="D228" s="17">
        <f>D23</f>
        <v>2384102</v>
      </c>
      <c r="E228" s="37">
        <f t="shared" si="84"/>
        <v>2602153.7</v>
      </c>
      <c r="F228" s="53">
        <f>G228+H228+I228</f>
        <v>1890190.9000000004</v>
      </c>
      <c r="G228" s="17">
        <f>G23-75.7</f>
        <v>596721.7000000001</v>
      </c>
      <c r="H228" s="17">
        <f>H23-39.2</f>
        <v>708085.1000000001</v>
      </c>
      <c r="I228" s="17">
        <f>I23-3342.1</f>
        <v>585384.1</v>
      </c>
      <c r="J228" s="17">
        <f>J23</f>
        <v>711962.8</v>
      </c>
      <c r="K228" s="17">
        <f>K23-139.8</f>
        <v>1539778</v>
      </c>
      <c r="L228" s="20" t="e">
        <f>K228/#REF!*100</f>
        <v>#REF!</v>
      </c>
      <c r="M228" s="20">
        <f>K228/I228*100</f>
        <v>263.03720924432355</v>
      </c>
      <c r="N228" s="48"/>
      <c r="O228" s="48"/>
      <c r="P228" s="17">
        <f t="shared" si="88"/>
        <v>216.27225467398014</v>
      </c>
      <c r="Q228" s="20">
        <f t="shared" si="86"/>
        <v>81.46150740647411</v>
      </c>
      <c r="R228" s="18">
        <f t="shared" si="87"/>
        <v>59.17321486428722</v>
      </c>
      <c r="S228" s="18">
        <f t="shared" si="79"/>
        <v>64.58524006103765</v>
      </c>
    </row>
    <row r="229" spans="1:19" ht="12.75">
      <c r="A229" s="14" t="s">
        <v>2</v>
      </c>
      <c r="B229" s="14" t="s">
        <v>52</v>
      </c>
      <c r="C229" s="35" t="s">
        <v>19</v>
      </c>
      <c r="D229" s="18">
        <f>D24+D95+D178+D77</f>
        <v>10000</v>
      </c>
      <c r="E229" s="18">
        <f>E24+E95+E178+E77+E144</f>
        <v>131019</v>
      </c>
      <c r="F229" s="53">
        <f>G229+H229+I229</f>
        <v>70832.6</v>
      </c>
      <c r="G229" s="18">
        <f>G24+G95+G178+G77</f>
        <v>4873.1</v>
      </c>
      <c r="H229" s="18">
        <f>H24+H95+H178+H77</f>
        <v>3409.5</v>
      </c>
      <c r="I229" s="18">
        <f>I24+I95+I178+I77</f>
        <v>62550</v>
      </c>
      <c r="J229" s="18">
        <f>J24+J95+J178+J77</f>
        <v>59352.4</v>
      </c>
      <c r="K229" s="18">
        <f>K24+K95+K178+K77+K144</f>
        <v>49322.9</v>
      </c>
      <c r="L229" s="20" t="e">
        <f>K229/#REF!*100</f>
        <v>#REF!</v>
      </c>
      <c r="M229" s="20">
        <f>K229/I229*100</f>
        <v>78.85355715427657</v>
      </c>
      <c r="N229" s="48"/>
      <c r="O229" s="48"/>
      <c r="P229" s="17">
        <f t="shared" si="88"/>
        <v>83.1017785295961</v>
      </c>
      <c r="Q229" s="20">
        <f t="shared" si="86"/>
        <v>69.63305031863858</v>
      </c>
      <c r="R229" s="18">
        <f t="shared" si="87"/>
        <v>37.645608652180215</v>
      </c>
      <c r="S229" s="18">
        <f t="shared" si="79"/>
        <v>493.229</v>
      </c>
    </row>
    <row r="230" spans="1:19" ht="24">
      <c r="A230" s="14" t="s">
        <v>66</v>
      </c>
      <c r="B230" s="15"/>
      <c r="C230" s="19" t="s">
        <v>63</v>
      </c>
      <c r="D230" s="18">
        <f>D26</f>
        <v>0</v>
      </c>
      <c r="E230" s="37">
        <f t="shared" si="84"/>
        <v>-6443</v>
      </c>
      <c r="F230" s="53">
        <f>G230+H230+I230</f>
        <v>-6443</v>
      </c>
      <c r="G230" s="18">
        <f>G26</f>
        <v>-4320.5</v>
      </c>
      <c r="H230" s="18">
        <f>H26</f>
        <v>-2122.5</v>
      </c>
      <c r="I230" s="18">
        <f>I26</f>
        <v>0</v>
      </c>
      <c r="J230" s="18">
        <f>J26</f>
        <v>0</v>
      </c>
      <c r="K230" s="18">
        <f>K26</f>
        <v>-6375.1</v>
      </c>
      <c r="L230" s="20" t="e">
        <f>K230/#REF!*100</f>
        <v>#REF!</v>
      </c>
      <c r="M230" s="20"/>
      <c r="N230" s="48"/>
      <c r="O230" s="48"/>
      <c r="P230" s="17" t="e">
        <f t="shared" si="88"/>
        <v>#DIV/0!</v>
      </c>
      <c r="Q230" s="20">
        <f>K230*100/F230</f>
        <v>98.9461431010399</v>
      </c>
      <c r="R230" s="18">
        <f>K230*100/E230</f>
        <v>98.9461431010399</v>
      </c>
      <c r="S230" s="18"/>
    </row>
    <row r="231" spans="1:19" ht="12.75">
      <c r="A231" s="21"/>
      <c r="B231" s="22"/>
      <c r="C231" s="23" t="s">
        <v>4</v>
      </c>
      <c r="D231" s="24">
        <f>D227+D213</f>
        <v>3333896.6</v>
      </c>
      <c r="E231" s="24">
        <f>E227+E213</f>
        <v>3708021.3000000003</v>
      </c>
      <c r="F231" s="24">
        <f aca="true" t="shared" si="90" ref="F231:K231">F227+F213</f>
        <v>2677591.3000000003</v>
      </c>
      <c r="G231" s="24">
        <f t="shared" si="90"/>
        <v>835244.3</v>
      </c>
      <c r="H231" s="24">
        <f t="shared" si="90"/>
        <v>968745.6000000001</v>
      </c>
      <c r="I231" s="24">
        <f t="shared" si="90"/>
        <v>873601.4</v>
      </c>
      <c r="J231" s="24">
        <f t="shared" si="90"/>
        <v>1029595.9</v>
      </c>
      <c r="K231" s="24">
        <f t="shared" si="90"/>
        <v>2229976.8</v>
      </c>
      <c r="L231" s="27" t="e">
        <f>K231/#REF!*100</f>
        <v>#REF!</v>
      </c>
      <c r="M231" s="27">
        <f>K231/I231*100</f>
        <v>255.26250301338803</v>
      </c>
      <c r="N231" s="48"/>
      <c r="O231" s="49" t="e">
        <f>J231+#REF!+#REF!</f>
        <v>#REF!</v>
      </c>
      <c r="P231" s="36">
        <f t="shared" si="88"/>
        <v>216.5875757663759</v>
      </c>
      <c r="Q231" s="27">
        <f t="shared" si="86"/>
        <v>83.2829416498328</v>
      </c>
      <c r="R231" s="24">
        <f t="shared" si="87"/>
        <v>60.13926619029938</v>
      </c>
      <c r="S231" s="24">
        <f t="shared" si="79"/>
        <v>66.88800126554614</v>
      </c>
    </row>
    <row r="232" spans="3:9" ht="12.75">
      <c r="C232" s="8"/>
      <c r="D232" s="8"/>
      <c r="E232" s="8"/>
      <c r="F232" s="8"/>
      <c r="G232" s="8"/>
      <c r="H232" s="8"/>
      <c r="I232" s="2"/>
    </row>
    <row r="233" spans="3:12" ht="12.75">
      <c r="C233" s="9" t="s">
        <v>59</v>
      </c>
      <c r="D233" s="9"/>
      <c r="E233" s="9"/>
      <c r="F233" s="9"/>
      <c r="G233" s="9"/>
      <c r="H233" s="9"/>
      <c r="I233" s="3"/>
      <c r="J233" s="3"/>
      <c r="K233" s="5"/>
      <c r="L233" s="5"/>
    </row>
    <row r="234" spans="3:13" ht="12.75" hidden="1">
      <c r="C234" s="9"/>
      <c r="D234" s="9"/>
      <c r="E234" s="9"/>
      <c r="F234" s="9"/>
      <c r="G234" s="9"/>
      <c r="H234" s="9"/>
      <c r="I234" s="3" t="s">
        <v>62</v>
      </c>
      <c r="J234" s="3">
        <f>J233-J213</f>
        <v>-258280.69999999998</v>
      </c>
      <c r="K234" s="4"/>
      <c r="L234" s="5"/>
      <c r="M234" s="2" t="e">
        <f>O27+O43+O61+O78+O96+O112+O129+O145+O162+O179+O195+O210-#REF!-#REF!-#REF!-#REF!-#REF!-#REF!-#REF!-#REF!-#REF!-#REF!-#REF!-#REF!-5301.3-7951.9-535.1-7243.1</f>
        <v>#REF!</v>
      </c>
    </row>
    <row r="235" spans="1:13" ht="12.75" hidden="1">
      <c r="A235" s="2"/>
      <c r="C235" s="9"/>
      <c r="D235" s="9"/>
      <c r="E235" s="9"/>
      <c r="F235" s="9"/>
      <c r="G235" s="9"/>
      <c r="H235" s="9"/>
      <c r="I235" s="6"/>
      <c r="J235" s="3"/>
      <c r="K235" s="5"/>
      <c r="L235" s="5"/>
      <c r="M235" s="2" t="e">
        <f>O231-M234</f>
        <v>#REF!</v>
      </c>
    </row>
    <row r="236" spans="3:12" ht="12.75" hidden="1">
      <c r="C236" s="10"/>
      <c r="D236" s="10"/>
      <c r="E236" s="10"/>
      <c r="F236" s="10"/>
      <c r="G236" s="10"/>
      <c r="H236" s="10"/>
      <c r="I236" s="3"/>
      <c r="J236" s="3">
        <f>J235-J227</f>
        <v>-771315.2000000001</v>
      </c>
      <c r="K236" s="5"/>
      <c r="L236" s="5"/>
    </row>
    <row r="237" spans="3:12" ht="12.75" hidden="1">
      <c r="C237" s="10"/>
      <c r="D237" s="10"/>
      <c r="E237" s="10"/>
      <c r="F237" s="10"/>
      <c r="G237" s="10"/>
      <c r="H237" s="10"/>
      <c r="I237" s="6"/>
      <c r="J237" s="3" t="e">
        <f>#REF!+#REF!+#REF!+#REF!+#REF!+#REF!+#REF!+#REF!+#REF!+#REF!</f>
        <v>#REF!</v>
      </c>
      <c r="K237" s="5"/>
      <c r="L237" s="5"/>
    </row>
    <row r="238" spans="1:12" ht="12.75" hidden="1">
      <c r="A238" s="2">
        <f>J213+J227</f>
        <v>1029595.9</v>
      </c>
      <c r="C238" s="11"/>
      <c r="D238" s="11"/>
      <c r="E238" s="11"/>
      <c r="F238" s="11"/>
      <c r="G238" s="11"/>
      <c r="H238" s="11"/>
      <c r="I238" s="6"/>
      <c r="J238" s="3" t="e">
        <f>J237-#REF!</f>
        <v>#REF!</v>
      </c>
      <c r="K238" s="5"/>
      <c r="L238" s="5"/>
    </row>
    <row r="239" spans="1:12" ht="12.75" hidden="1">
      <c r="A239" s="2" t="e">
        <f>#REF!+#REF!</f>
        <v>#REF!</v>
      </c>
      <c r="C239" s="10"/>
      <c r="D239" s="10"/>
      <c r="E239" s="10"/>
      <c r="F239" s="10"/>
      <c r="G239" s="10"/>
      <c r="H239" s="10"/>
      <c r="I239" s="6"/>
      <c r="J239" s="3" t="e">
        <f>J233+J235+J237</f>
        <v>#REF!</v>
      </c>
      <c r="K239" s="5"/>
      <c r="L239" s="5"/>
    </row>
    <row r="240" spans="1:12" ht="12.75" hidden="1">
      <c r="A240" s="2" t="e">
        <f>J213+#REF!</f>
        <v>#REF!</v>
      </c>
      <c r="C240" s="9"/>
      <c r="D240" s="9"/>
      <c r="E240" s="9"/>
      <c r="F240" s="9"/>
      <c r="G240" s="9"/>
      <c r="H240" s="9"/>
      <c r="I240" s="6"/>
      <c r="J240" s="3">
        <f>J27+J43+J61+J78+J96+J112+J129+J145+J162+J179+J195+J210-J208-J193-J176-J159-J142-J127-J109-J93-J75-J40-J57</f>
        <v>1029595.9</v>
      </c>
      <c r="K240" s="5"/>
      <c r="L240" s="5"/>
    </row>
    <row r="241" spans="1:12" ht="12.75" hidden="1">
      <c r="A241" s="2" t="e">
        <f>J227+#REF!</f>
        <v>#REF!</v>
      </c>
      <c r="C241" s="9"/>
      <c r="D241" s="9"/>
      <c r="E241" s="9"/>
      <c r="F241" s="9"/>
      <c r="G241" s="9"/>
      <c r="H241" s="9"/>
      <c r="I241" s="6"/>
      <c r="J241" s="3">
        <f>J240-J231</f>
        <v>0</v>
      </c>
      <c r="K241" s="5"/>
      <c r="L241" s="5"/>
    </row>
    <row r="242" spans="3:12" ht="12.75" hidden="1">
      <c r="C242" s="9"/>
      <c r="D242" s="9"/>
      <c r="E242" s="9"/>
      <c r="F242" s="9"/>
      <c r="G242" s="9"/>
      <c r="H242" s="9"/>
      <c r="I242" s="6"/>
      <c r="J242" s="3"/>
      <c r="K242" s="5"/>
      <c r="L242" s="5"/>
    </row>
    <row r="243" spans="3:12" ht="12.75" hidden="1">
      <c r="C243" s="8"/>
      <c r="D243" s="8"/>
      <c r="E243" s="8"/>
      <c r="F243" s="8"/>
      <c r="G243" s="8"/>
      <c r="H243" s="8"/>
      <c r="I243" s="5"/>
      <c r="J243" s="4"/>
      <c r="K243" s="5"/>
      <c r="L243" s="5"/>
    </row>
    <row r="244" spans="3:12" ht="12.75">
      <c r="C244" s="8"/>
      <c r="D244" s="8"/>
      <c r="E244" s="8"/>
      <c r="F244" s="8"/>
      <c r="G244" s="51"/>
      <c r="H244" s="51"/>
      <c r="I244" s="51"/>
      <c r="J244" s="51"/>
      <c r="K244" s="51"/>
      <c r="L244" s="5"/>
    </row>
    <row r="245" spans="3:12" ht="12.75">
      <c r="C245" s="8"/>
      <c r="D245" s="8"/>
      <c r="E245" s="8"/>
      <c r="F245" s="8"/>
      <c r="G245" s="8"/>
      <c r="H245" s="8"/>
      <c r="I245" s="5"/>
      <c r="J245" s="4"/>
      <c r="K245" s="5"/>
      <c r="L245" s="5"/>
    </row>
    <row r="246" spans="3:12" ht="12.75">
      <c r="C246" s="8"/>
      <c r="D246" s="51"/>
      <c r="E246" s="51"/>
      <c r="F246" s="8"/>
      <c r="G246" s="51"/>
      <c r="H246" s="51"/>
      <c r="I246" s="51"/>
      <c r="J246" s="51"/>
      <c r="K246" s="51"/>
      <c r="L246" s="5"/>
    </row>
    <row r="247" spans="9:12" ht="12.75">
      <c r="I247" s="5"/>
      <c r="J247" s="4"/>
      <c r="K247" s="5"/>
      <c r="L247" s="5"/>
    </row>
    <row r="248" spans="9:12" ht="12.75">
      <c r="I248" s="5"/>
      <c r="J248" s="4"/>
      <c r="K248" s="5"/>
      <c r="L248" s="5"/>
    </row>
    <row r="249" spans="9:12" ht="12.75">
      <c r="I249" s="5"/>
      <c r="J249" s="4"/>
      <c r="K249" s="5"/>
      <c r="L249" s="5"/>
    </row>
    <row r="250" spans="3:12" ht="12.75">
      <c r="C250" s="8"/>
      <c r="D250" s="8"/>
      <c r="E250" s="8"/>
      <c r="F250" s="8"/>
      <c r="G250" s="8"/>
      <c r="H250" s="8"/>
      <c r="I250" s="5"/>
      <c r="J250" s="4"/>
      <c r="K250" s="5"/>
      <c r="L250" s="5"/>
    </row>
    <row r="251" spans="3:12" ht="12.75">
      <c r="C251" s="8"/>
      <c r="D251" s="8"/>
      <c r="E251" s="8"/>
      <c r="F251" s="8"/>
      <c r="G251" s="8"/>
      <c r="H251" s="8"/>
      <c r="I251" s="5"/>
      <c r="J251" s="4"/>
      <c r="K251" s="5"/>
      <c r="L251" s="5"/>
    </row>
    <row r="252" spans="3:12" ht="12.75">
      <c r="C252" s="8"/>
      <c r="D252" s="8"/>
      <c r="E252" s="8"/>
      <c r="F252" s="8"/>
      <c r="G252" s="8"/>
      <c r="H252" s="8"/>
      <c r="I252" s="5"/>
      <c r="J252" s="4"/>
      <c r="K252" s="5"/>
      <c r="L252" s="5"/>
    </row>
    <row r="253" spans="3:12" ht="12.75">
      <c r="C253" s="8"/>
      <c r="D253" s="8"/>
      <c r="E253" s="8"/>
      <c r="F253" s="8"/>
      <c r="G253" s="8"/>
      <c r="H253" s="8"/>
      <c r="I253" s="5"/>
      <c r="J253" s="4"/>
      <c r="K253" s="5"/>
      <c r="L253" s="5"/>
    </row>
    <row r="254" spans="3:12" ht="12.75">
      <c r="C254" s="8"/>
      <c r="D254" s="8"/>
      <c r="E254" s="8"/>
      <c r="F254" s="8"/>
      <c r="G254" s="8"/>
      <c r="H254" s="8"/>
      <c r="I254" s="4"/>
      <c r="J254" s="4"/>
      <c r="K254" s="4"/>
      <c r="L254" s="5"/>
    </row>
    <row r="255" spans="3:12" ht="12.75">
      <c r="C255" s="8"/>
      <c r="D255" s="8"/>
      <c r="E255" s="8"/>
      <c r="F255" s="8"/>
      <c r="G255" s="8"/>
      <c r="H255" s="8"/>
      <c r="I255" s="5"/>
      <c r="J255" s="5"/>
      <c r="K255" s="5"/>
      <c r="L255" s="5"/>
    </row>
    <row r="256" spans="3:12" ht="12.75">
      <c r="C256" s="8"/>
      <c r="D256" s="8"/>
      <c r="E256" s="8"/>
      <c r="F256" s="8"/>
      <c r="G256" s="8"/>
      <c r="H256" s="8"/>
      <c r="I256" s="7"/>
      <c r="J256" s="4"/>
      <c r="K256" s="5"/>
      <c r="L256" s="5"/>
    </row>
  </sheetData>
  <sheetProtection/>
  <mergeCells count="43">
    <mergeCell ref="N4:N6"/>
    <mergeCell ref="O4:O6"/>
    <mergeCell ref="P4:P6"/>
    <mergeCell ref="E4:E6"/>
    <mergeCell ref="D4:D6"/>
    <mergeCell ref="S4:S6"/>
    <mergeCell ref="F4:F6"/>
    <mergeCell ref="G4:G6"/>
    <mergeCell ref="H4:H6"/>
    <mergeCell ref="I4:I6"/>
    <mergeCell ref="J4:J6"/>
    <mergeCell ref="A114:S114"/>
    <mergeCell ref="A45:S45"/>
    <mergeCell ref="A79:M79"/>
    <mergeCell ref="A29:S29"/>
    <mergeCell ref="L4:L6"/>
    <mergeCell ref="M4:M6"/>
    <mergeCell ref="A180:M180"/>
    <mergeCell ref="A146:M146"/>
    <mergeCell ref="A130:M130"/>
    <mergeCell ref="A98:S98"/>
    <mergeCell ref="A80:S80"/>
    <mergeCell ref="A63:S63"/>
    <mergeCell ref="A2:M2"/>
    <mergeCell ref="A97:M97"/>
    <mergeCell ref="A113:M113"/>
    <mergeCell ref="C44:M44"/>
    <mergeCell ref="A28:M28"/>
    <mergeCell ref="A7:S7"/>
    <mergeCell ref="A62:M62"/>
    <mergeCell ref="R4:R6"/>
    <mergeCell ref="Q4:Q6"/>
    <mergeCell ref="K4:K6"/>
    <mergeCell ref="A1:S1"/>
    <mergeCell ref="A212:S212"/>
    <mergeCell ref="A197:S197"/>
    <mergeCell ref="A181:S181"/>
    <mergeCell ref="A164:S164"/>
    <mergeCell ref="A147:S147"/>
    <mergeCell ref="A131:S131"/>
    <mergeCell ref="A211:M211"/>
    <mergeCell ref="A196:M196"/>
    <mergeCell ref="A163:M163"/>
  </mergeCells>
  <printOptions/>
  <pageMargins left="0" right="0" top="0.15748031496062992" bottom="0.15748031496062992" header="0.15748031496062992" footer="0.1968503937007874"/>
  <pageSetup fitToHeight="7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4"/>
  <sheetViews>
    <sheetView tabSelected="1" zoomScalePageLayoutView="0" workbookViewId="0" topLeftCell="A1">
      <selection activeCell="B120" sqref="B120"/>
    </sheetView>
  </sheetViews>
  <sheetFormatPr defaultColWidth="9.00390625" defaultRowHeight="12.75"/>
  <cols>
    <col min="2" max="2" width="48.125" style="0" customWidth="1"/>
    <col min="3" max="3" width="14.125" style="0" customWidth="1"/>
    <col min="4" max="4" width="14.375" style="0" customWidth="1"/>
    <col min="6" max="7" width="13.25390625" style="0" customWidth="1"/>
    <col min="9" max="9" width="15.125" style="0" customWidth="1"/>
    <col min="10" max="10" width="14.875" style="0" customWidth="1"/>
  </cols>
  <sheetData>
    <row r="1" spans="1:11" ht="15.75">
      <c r="A1" s="106" t="s">
        <v>89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1" ht="13.5" thickBot="1">
      <c r="A2" s="107"/>
      <c r="B2" s="108"/>
      <c r="C2" s="109"/>
      <c r="D2" s="110"/>
      <c r="E2" s="111"/>
      <c r="F2" s="112"/>
      <c r="G2" s="113"/>
      <c r="H2" s="113"/>
      <c r="I2" s="114"/>
      <c r="J2" s="115"/>
      <c r="K2" s="115"/>
    </row>
    <row r="3" spans="1:11" ht="15">
      <c r="A3" s="116" t="s">
        <v>90</v>
      </c>
      <c r="B3" s="117" t="s">
        <v>91</v>
      </c>
      <c r="C3" s="118" t="s">
        <v>92</v>
      </c>
      <c r="D3" s="118"/>
      <c r="E3" s="118"/>
      <c r="F3" s="119" t="s">
        <v>93</v>
      </c>
      <c r="G3" s="119"/>
      <c r="H3" s="119"/>
      <c r="I3" s="120" t="s">
        <v>94</v>
      </c>
      <c r="J3" s="120"/>
      <c r="K3" s="121"/>
    </row>
    <row r="4" spans="1:11" ht="12.75">
      <c r="A4" s="122"/>
      <c r="B4" s="123"/>
      <c r="C4" s="124" t="s">
        <v>95</v>
      </c>
      <c r="D4" s="124" t="s">
        <v>96</v>
      </c>
      <c r="E4" s="124" t="s">
        <v>97</v>
      </c>
      <c r="F4" s="124" t="s">
        <v>95</v>
      </c>
      <c r="G4" s="125" t="s">
        <v>96</v>
      </c>
      <c r="H4" s="125" t="s">
        <v>97</v>
      </c>
      <c r="I4" s="126" t="s">
        <v>95</v>
      </c>
      <c r="J4" s="127" t="s">
        <v>98</v>
      </c>
      <c r="K4" s="128" t="s">
        <v>97</v>
      </c>
    </row>
    <row r="5" spans="1:11" ht="24" customHeight="1">
      <c r="A5" s="122"/>
      <c r="B5" s="123"/>
      <c r="C5" s="129"/>
      <c r="D5" s="124"/>
      <c r="E5" s="130"/>
      <c r="F5" s="129"/>
      <c r="G5" s="125"/>
      <c r="H5" s="129"/>
      <c r="I5" s="131"/>
      <c r="J5" s="127"/>
      <c r="K5" s="132"/>
    </row>
    <row r="6" spans="1:11" ht="12.75">
      <c r="A6" s="122"/>
      <c r="B6" s="133" t="s">
        <v>99</v>
      </c>
      <c r="C6" s="133"/>
      <c r="D6" s="133"/>
      <c r="E6" s="133"/>
      <c r="F6" s="133"/>
      <c r="G6" s="133"/>
      <c r="H6" s="133"/>
      <c r="I6" s="133"/>
      <c r="J6" s="133"/>
      <c r="K6" s="134"/>
    </row>
    <row r="7" spans="1:11" ht="12.75">
      <c r="A7" s="122"/>
      <c r="B7" s="133"/>
      <c r="C7" s="133"/>
      <c r="D7" s="133"/>
      <c r="E7" s="133"/>
      <c r="F7" s="133"/>
      <c r="G7" s="133"/>
      <c r="H7" s="133"/>
      <c r="I7" s="133"/>
      <c r="J7" s="133"/>
      <c r="K7" s="134"/>
    </row>
    <row r="8" spans="1:11" ht="12.75">
      <c r="A8" s="122"/>
      <c r="B8" s="133"/>
      <c r="C8" s="133"/>
      <c r="D8" s="133"/>
      <c r="E8" s="133"/>
      <c r="F8" s="133"/>
      <c r="G8" s="133"/>
      <c r="H8" s="133"/>
      <c r="I8" s="133"/>
      <c r="J8" s="133"/>
      <c r="K8" s="134"/>
    </row>
    <row r="9" spans="1:11" ht="15">
      <c r="A9" s="135" t="s">
        <v>100</v>
      </c>
      <c r="B9" s="136" t="s">
        <v>101</v>
      </c>
      <c r="C9" s="137">
        <f>SUM(C10:C17)</f>
        <v>254859.5</v>
      </c>
      <c r="D9" s="137">
        <f>SUM(D10:D17)</f>
        <v>160003</v>
      </c>
      <c r="E9" s="137">
        <f>D9/C9*100</f>
        <v>62.780865535716735</v>
      </c>
      <c r="F9" s="137">
        <f>F10+F11+F12+F13+F14+F16+F17+F15</f>
        <v>211999.8</v>
      </c>
      <c r="G9" s="137">
        <f>SUM(G10:G17)</f>
        <v>134429.80000000002</v>
      </c>
      <c r="H9" s="138">
        <f>G9/F9*100</f>
        <v>63.41034283994609</v>
      </c>
      <c r="I9" s="137">
        <f>SUM(I10:I17)</f>
        <v>463610.89999999997</v>
      </c>
      <c r="J9" s="137">
        <f>SUM(J10:J17)</f>
        <v>294223</v>
      </c>
      <c r="K9" s="139">
        <f>J9/I9*100</f>
        <v>63.463348251734374</v>
      </c>
    </row>
    <row r="10" spans="1:11" ht="15">
      <c r="A10" s="140" t="s">
        <v>102</v>
      </c>
      <c r="B10" s="141" t="s">
        <v>103</v>
      </c>
      <c r="C10" s="142">
        <v>4334</v>
      </c>
      <c r="D10" s="142">
        <v>2635.2</v>
      </c>
      <c r="E10" s="142">
        <f>D10/C10*100</f>
        <v>60.80295339178588</v>
      </c>
      <c r="F10" s="143">
        <v>42935.2</v>
      </c>
      <c r="G10" s="143">
        <v>29080.6</v>
      </c>
      <c r="H10" s="143">
        <f>G10/F10*100</f>
        <v>67.73137192792859</v>
      </c>
      <c r="I10" s="144">
        <f aca="true" t="shared" si="0" ref="I10:J75">C10+F10</f>
        <v>47269.2</v>
      </c>
      <c r="J10" s="145">
        <f t="shared" si="0"/>
        <v>31715.8</v>
      </c>
      <c r="K10" s="146">
        <f aca="true" t="shared" si="1" ref="K10:K77">J10/I10*100</f>
        <v>67.09612178754877</v>
      </c>
    </row>
    <row r="11" spans="1:11" ht="30">
      <c r="A11" s="140" t="s">
        <v>104</v>
      </c>
      <c r="B11" s="141" t="s">
        <v>105</v>
      </c>
      <c r="C11" s="142">
        <v>7027.9</v>
      </c>
      <c r="D11" s="142">
        <v>5297.3</v>
      </c>
      <c r="E11" s="142">
        <f aca="true" t="shared" si="2" ref="E11:E19">D11/C11*100</f>
        <v>75.3752899159066</v>
      </c>
      <c r="F11" s="143">
        <v>0</v>
      </c>
      <c r="G11" s="143"/>
      <c r="H11" s="143">
        <v>0</v>
      </c>
      <c r="I11" s="144">
        <f t="shared" si="0"/>
        <v>7027.9</v>
      </c>
      <c r="J11" s="145">
        <f t="shared" si="0"/>
        <v>5297.3</v>
      </c>
      <c r="K11" s="146">
        <f t="shared" si="1"/>
        <v>75.3752899159066</v>
      </c>
    </row>
    <row r="12" spans="1:11" ht="30">
      <c r="A12" s="140" t="s">
        <v>106</v>
      </c>
      <c r="B12" s="141" t="s">
        <v>107</v>
      </c>
      <c r="C12" s="142">
        <v>148124.4</v>
      </c>
      <c r="D12" s="142">
        <v>92257.1</v>
      </c>
      <c r="E12" s="142">
        <f t="shared" si="2"/>
        <v>62.283526549305854</v>
      </c>
      <c r="F12" s="143">
        <v>121854.4</v>
      </c>
      <c r="G12" s="143">
        <v>80210.6</v>
      </c>
      <c r="H12" s="143">
        <f>G12/F12*100</f>
        <v>65.82495174568994</v>
      </c>
      <c r="I12" s="144">
        <f t="shared" si="0"/>
        <v>269978.8</v>
      </c>
      <c r="J12" s="145">
        <f t="shared" si="0"/>
        <v>172467.7</v>
      </c>
      <c r="K12" s="146">
        <f t="shared" si="1"/>
        <v>63.8819418413594</v>
      </c>
    </row>
    <row r="13" spans="1:11" ht="15">
      <c r="A13" s="140" t="s">
        <v>108</v>
      </c>
      <c r="B13" s="141" t="s">
        <v>109</v>
      </c>
      <c r="C13" s="142">
        <v>70.8</v>
      </c>
      <c r="D13" s="142">
        <v>0</v>
      </c>
      <c r="E13" s="142">
        <f t="shared" si="2"/>
        <v>0</v>
      </c>
      <c r="F13" s="143">
        <v>0</v>
      </c>
      <c r="G13" s="143"/>
      <c r="H13" s="143">
        <v>0</v>
      </c>
      <c r="I13" s="144">
        <f t="shared" si="0"/>
        <v>70.8</v>
      </c>
      <c r="J13" s="145">
        <f t="shared" si="0"/>
        <v>0</v>
      </c>
      <c r="K13" s="146">
        <f t="shared" si="1"/>
        <v>0</v>
      </c>
    </row>
    <row r="14" spans="1:11" ht="15">
      <c r="A14" s="140" t="s">
        <v>110</v>
      </c>
      <c r="B14" s="141" t="s">
        <v>111</v>
      </c>
      <c r="C14" s="142">
        <v>27772.6</v>
      </c>
      <c r="D14" s="142">
        <v>20600.3</v>
      </c>
      <c r="E14" s="142">
        <f t="shared" si="2"/>
        <v>74.17490620251615</v>
      </c>
      <c r="F14" s="143">
        <v>0</v>
      </c>
      <c r="G14" s="143"/>
      <c r="H14" s="143">
        <v>0</v>
      </c>
      <c r="I14" s="144">
        <f>C14+F14</f>
        <v>27772.6</v>
      </c>
      <c r="J14" s="145">
        <f>D14+G14</f>
        <v>20600.3</v>
      </c>
      <c r="K14" s="146">
        <f t="shared" si="1"/>
        <v>74.17490620251615</v>
      </c>
    </row>
    <row r="15" spans="1:11" ht="15">
      <c r="A15" s="140" t="s">
        <v>112</v>
      </c>
      <c r="B15" s="141" t="s">
        <v>113</v>
      </c>
      <c r="C15" s="142"/>
      <c r="D15" s="142"/>
      <c r="E15" s="142"/>
      <c r="F15" s="143">
        <v>8300</v>
      </c>
      <c r="G15" s="143">
        <v>0</v>
      </c>
      <c r="H15" s="143">
        <f>G15/F15*100</f>
        <v>0</v>
      </c>
      <c r="I15" s="144">
        <f>C15+F15</f>
        <v>8300</v>
      </c>
      <c r="J15" s="145">
        <f>D15+G15</f>
        <v>0</v>
      </c>
      <c r="K15" s="146">
        <f t="shared" si="1"/>
        <v>0</v>
      </c>
    </row>
    <row r="16" spans="1:11" ht="15">
      <c r="A16" s="147" t="s">
        <v>114</v>
      </c>
      <c r="B16" s="141" t="s">
        <v>115</v>
      </c>
      <c r="C16" s="142">
        <v>4036</v>
      </c>
      <c r="D16" s="142"/>
      <c r="E16" s="142">
        <f t="shared" si="2"/>
        <v>0</v>
      </c>
      <c r="F16" s="143">
        <v>951.7</v>
      </c>
      <c r="G16" s="143"/>
      <c r="H16" s="143">
        <f>G16/F16*100</f>
        <v>0</v>
      </c>
      <c r="I16" s="144">
        <f t="shared" si="0"/>
        <v>4987.7</v>
      </c>
      <c r="J16" s="145">
        <f t="shared" si="0"/>
        <v>0</v>
      </c>
      <c r="K16" s="146">
        <f t="shared" si="1"/>
        <v>0</v>
      </c>
    </row>
    <row r="17" spans="1:11" ht="15">
      <c r="A17" s="140" t="s">
        <v>116</v>
      </c>
      <c r="B17" s="141" t="s">
        <v>117</v>
      </c>
      <c r="C17" s="142">
        <v>63493.8</v>
      </c>
      <c r="D17" s="142">
        <v>39213.1</v>
      </c>
      <c r="E17" s="142">
        <f t="shared" si="2"/>
        <v>61.7589433928982</v>
      </c>
      <c r="F17" s="143">
        <v>37958.5</v>
      </c>
      <c r="G17" s="143">
        <v>25138.6</v>
      </c>
      <c r="H17" s="143">
        <f>G17/F17*100</f>
        <v>66.22653687579857</v>
      </c>
      <c r="I17" s="144">
        <f>C17+F17-3178.4-70</f>
        <v>98203.90000000001</v>
      </c>
      <c r="J17" s="145">
        <f>D17+G17-139.8-70</f>
        <v>64141.899999999994</v>
      </c>
      <c r="K17" s="146">
        <f t="shared" si="1"/>
        <v>65.31502313044592</v>
      </c>
    </row>
    <row r="18" spans="1:11" ht="15">
      <c r="A18" s="135" t="s">
        <v>118</v>
      </c>
      <c r="B18" s="136" t="s">
        <v>119</v>
      </c>
      <c r="C18" s="137">
        <f aca="true" t="shared" si="3" ref="C18:J18">C19</f>
        <v>3597.2</v>
      </c>
      <c r="D18" s="137">
        <f t="shared" si="3"/>
        <v>2055.1</v>
      </c>
      <c r="E18" s="137">
        <f t="shared" si="3"/>
        <v>57.130545980206826</v>
      </c>
      <c r="F18" s="137">
        <f t="shared" si="3"/>
        <v>3597.2</v>
      </c>
      <c r="G18" s="137">
        <f t="shared" si="3"/>
        <v>2055.1</v>
      </c>
      <c r="H18" s="148">
        <f t="shared" si="3"/>
        <v>57.130545980206826</v>
      </c>
      <c r="I18" s="137">
        <f t="shared" si="3"/>
        <v>3597.2</v>
      </c>
      <c r="J18" s="137">
        <f t="shared" si="3"/>
        <v>2055.1</v>
      </c>
      <c r="K18" s="149">
        <f t="shared" si="1"/>
        <v>57.130545980206826</v>
      </c>
    </row>
    <row r="19" spans="1:11" ht="15">
      <c r="A19" s="140" t="s">
        <v>120</v>
      </c>
      <c r="B19" s="141" t="s">
        <v>121</v>
      </c>
      <c r="C19" s="142">
        <v>3597.2</v>
      </c>
      <c r="D19" s="150">
        <v>2055.1</v>
      </c>
      <c r="E19" s="142">
        <f t="shared" si="2"/>
        <v>57.130545980206826</v>
      </c>
      <c r="F19" s="143">
        <v>3597.2</v>
      </c>
      <c r="G19" s="143">
        <v>2055.1</v>
      </c>
      <c r="H19" s="143">
        <f>G19/F19*100</f>
        <v>57.130545980206826</v>
      </c>
      <c r="I19" s="144">
        <f>C19+F19-3597.2</f>
        <v>3597.2</v>
      </c>
      <c r="J19" s="145">
        <f>D19+G19-2055.1</f>
        <v>2055.1</v>
      </c>
      <c r="K19" s="146">
        <f t="shared" si="1"/>
        <v>57.130545980206826</v>
      </c>
    </row>
    <row r="20" spans="1:11" ht="12.75">
      <c r="A20" s="151" t="s">
        <v>122</v>
      </c>
      <c r="B20" s="152" t="s">
        <v>123</v>
      </c>
      <c r="C20" s="153">
        <f>C23+C24+C22</f>
        <v>14742.5</v>
      </c>
      <c r="D20" s="153">
        <f>D23+D24+D22</f>
        <v>7056.1</v>
      </c>
      <c r="E20" s="153">
        <f>D20/C20*100</f>
        <v>47.862302865864</v>
      </c>
      <c r="F20" s="153">
        <f>F23+F24+F22</f>
        <v>4709.4</v>
      </c>
      <c r="G20" s="153">
        <f>G23+G24+G22</f>
        <v>1620.3</v>
      </c>
      <c r="H20" s="153">
        <f>G20/F20*100</f>
        <v>34.40565677156326</v>
      </c>
      <c r="I20" s="153">
        <f>I23+I24+I22</f>
        <v>17958.7</v>
      </c>
      <c r="J20" s="153">
        <f>SUM(J22:J24)</f>
        <v>8070.700000000001</v>
      </c>
      <c r="K20" s="153">
        <f>J20/I20*100</f>
        <v>44.94033532494001</v>
      </c>
    </row>
    <row r="21" spans="1:11" ht="12.75">
      <c r="A21" s="151"/>
      <c r="B21" s="152"/>
      <c r="C21" s="153"/>
      <c r="D21" s="153"/>
      <c r="E21" s="153"/>
      <c r="F21" s="153"/>
      <c r="G21" s="153"/>
      <c r="H21" s="153"/>
      <c r="I21" s="153"/>
      <c r="J21" s="153"/>
      <c r="K21" s="153"/>
    </row>
    <row r="22" spans="1:11" ht="15">
      <c r="A22" s="147" t="s">
        <v>124</v>
      </c>
      <c r="B22" s="141" t="s">
        <v>125</v>
      </c>
      <c r="C22" s="142">
        <v>6354.2</v>
      </c>
      <c r="D22" s="142">
        <v>3015.6</v>
      </c>
      <c r="E22" s="142">
        <f aca="true" t="shared" si="4" ref="E22:E88">D22/C22*100</f>
        <v>47.458373988857765</v>
      </c>
      <c r="F22" s="143">
        <v>821</v>
      </c>
      <c r="G22" s="143">
        <v>340</v>
      </c>
      <c r="H22" s="143">
        <f>G22/F22*100</f>
        <v>41.41291108404385</v>
      </c>
      <c r="I22" s="144">
        <f>C22+F22-821</f>
        <v>6354.2</v>
      </c>
      <c r="J22" s="145">
        <f>D22+G22-340</f>
        <v>3015.6</v>
      </c>
      <c r="K22" s="146">
        <f>J22/I22*100</f>
        <v>47.458373988857765</v>
      </c>
    </row>
    <row r="23" spans="1:11" ht="15">
      <c r="A23" s="140" t="s">
        <v>126</v>
      </c>
      <c r="B23" s="141" t="s">
        <v>127</v>
      </c>
      <c r="C23" s="142">
        <v>7783.2</v>
      </c>
      <c r="D23" s="142">
        <v>3828.3</v>
      </c>
      <c r="E23" s="142">
        <f t="shared" si="4"/>
        <v>49.18670983657108</v>
      </c>
      <c r="F23" s="143">
        <v>3525.1</v>
      </c>
      <c r="G23" s="143">
        <v>1262.3</v>
      </c>
      <c r="H23" s="143">
        <f>G23/F23*100</f>
        <v>35.80891322231993</v>
      </c>
      <c r="I23" s="144">
        <f>C23+F23-400</f>
        <v>10908.3</v>
      </c>
      <c r="J23" s="145">
        <f>D23+G23-53.5</f>
        <v>5037.1</v>
      </c>
      <c r="K23" s="146">
        <f>J23/I23*100</f>
        <v>46.17676448209163</v>
      </c>
    </row>
    <row r="24" spans="1:11" ht="30">
      <c r="A24" s="147" t="s">
        <v>128</v>
      </c>
      <c r="B24" s="141" t="s">
        <v>129</v>
      </c>
      <c r="C24" s="142">
        <v>605.1</v>
      </c>
      <c r="D24" s="142">
        <v>212.2</v>
      </c>
      <c r="E24" s="142">
        <f t="shared" si="4"/>
        <v>35.0685837051727</v>
      </c>
      <c r="F24" s="143">
        <v>363.3</v>
      </c>
      <c r="G24" s="143">
        <v>18</v>
      </c>
      <c r="H24" s="143">
        <f>G24/F24*100</f>
        <v>4.95458298926507</v>
      </c>
      <c r="I24" s="144">
        <f>C24+F24-272.2</f>
        <v>696.2</v>
      </c>
      <c r="J24" s="144">
        <f>D24+G24-212.2</f>
        <v>18</v>
      </c>
      <c r="K24" s="146">
        <f>J24/I24*100</f>
        <v>2.585463947141626</v>
      </c>
    </row>
    <row r="25" spans="1:11" ht="15">
      <c r="A25" s="135" t="s">
        <v>130</v>
      </c>
      <c r="B25" s="136" t="s">
        <v>131</v>
      </c>
      <c r="C25" s="137">
        <f>SUM(C26:C43)</f>
        <v>313343.99999999994</v>
      </c>
      <c r="D25" s="137">
        <f>SUM(D26:D43)</f>
        <v>154770.69999999998</v>
      </c>
      <c r="E25" s="137">
        <f>D25/C25*100</f>
        <v>49.39322278390523</v>
      </c>
      <c r="F25" s="137">
        <f>SUM(F26:F44)</f>
        <v>110800.4</v>
      </c>
      <c r="G25" s="137">
        <f>SUM(G26:G44)</f>
        <v>42016</v>
      </c>
      <c r="H25" s="138">
        <f>G25/F25*100</f>
        <v>37.92044072043061</v>
      </c>
      <c r="I25" s="137">
        <f>SUM(I26:I44)</f>
        <v>385307.5999999999</v>
      </c>
      <c r="J25" s="137">
        <f>SUM(J26:J44)</f>
        <v>189129.49999999997</v>
      </c>
      <c r="K25" s="139">
        <f t="shared" si="1"/>
        <v>49.08532818973724</v>
      </c>
    </row>
    <row r="26" spans="1:11" ht="45">
      <c r="A26" s="147" t="s">
        <v>132</v>
      </c>
      <c r="B26" s="154" t="s">
        <v>133</v>
      </c>
      <c r="C26" s="142">
        <v>9964.4</v>
      </c>
      <c r="D26" s="142">
        <v>3917.3</v>
      </c>
      <c r="E26" s="142">
        <f t="shared" si="4"/>
        <v>39.3129541166553</v>
      </c>
      <c r="F26" s="142">
        <v>12424.4</v>
      </c>
      <c r="G26" s="143">
        <v>10754.7</v>
      </c>
      <c r="H26" s="143">
        <f>G26/F26*100</f>
        <v>86.5611216638228</v>
      </c>
      <c r="I26" s="144">
        <f>C26+F26-3767.9</f>
        <v>18620.899999999998</v>
      </c>
      <c r="J26" s="144">
        <f>D26+G26-3627.8</f>
        <v>11044.2</v>
      </c>
      <c r="K26" s="146">
        <f t="shared" si="1"/>
        <v>59.31077445236268</v>
      </c>
    </row>
    <row r="27" spans="1:11" ht="15">
      <c r="A27" s="140" t="s">
        <v>134</v>
      </c>
      <c r="B27" s="141" t="s">
        <v>135</v>
      </c>
      <c r="C27" s="142">
        <v>50354</v>
      </c>
      <c r="D27" s="142">
        <v>43875.3</v>
      </c>
      <c r="E27" s="142">
        <f t="shared" si="4"/>
        <v>87.13369345037137</v>
      </c>
      <c r="F27" s="143">
        <v>0</v>
      </c>
      <c r="G27" s="143">
        <v>0</v>
      </c>
      <c r="H27" s="143">
        <v>0</v>
      </c>
      <c r="I27" s="155">
        <f>C27+F27</f>
        <v>50354</v>
      </c>
      <c r="J27" s="145">
        <f t="shared" si="0"/>
        <v>43875.3</v>
      </c>
      <c r="K27" s="146">
        <f t="shared" si="1"/>
        <v>87.13369345037137</v>
      </c>
    </row>
    <row r="28" spans="1:11" ht="15">
      <c r="A28" s="140" t="s">
        <v>136</v>
      </c>
      <c r="B28" s="141" t="s">
        <v>137</v>
      </c>
      <c r="C28" s="142">
        <v>9000</v>
      </c>
      <c r="D28" s="142">
        <v>3825.9</v>
      </c>
      <c r="E28" s="142">
        <f t="shared" si="4"/>
        <v>42.510000000000005</v>
      </c>
      <c r="F28" s="143">
        <v>0</v>
      </c>
      <c r="G28" s="143">
        <v>0</v>
      </c>
      <c r="H28" s="143">
        <v>0</v>
      </c>
      <c r="I28" s="144">
        <f t="shared" si="0"/>
        <v>9000</v>
      </c>
      <c r="J28" s="145">
        <f t="shared" si="0"/>
        <v>3825.9</v>
      </c>
      <c r="K28" s="146">
        <f t="shared" si="1"/>
        <v>42.510000000000005</v>
      </c>
    </row>
    <row r="29" spans="1:11" ht="30">
      <c r="A29" s="140" t="s">
        <v>136</v>
      </c>
      <c r="B29" s="141" t="s">
        <v>138</v>
      </c>
      <c r="C29" s="142">
        <v>18099.3</v>
      </c>
      <c r="D29" s="142">
        <v>11930.8</v>
      </c>
      <c r="E29" s="142">
        <f t="shared" si="4"/>
        <v>65.91857143646439</v>
      </c>
      <c r="F29" s="143">
        <v>14360.9</v>
      </c>
      <c r="G29" s="143">
        <v>7341.9</v>
      </c>
      <c r="H29" s="143">
        <f>G29/F29*100</f>
        <v>51.12423316087432</v>
      </c>
      <c r="I29" s="144">
        <f t="shared" si="0"/>
        <v>32460.199999999997</v>
      </c>
      <c r="J29" s="145">
        <f t="shared" si="0"/>
        <v>19272.699999999997</v>
      </c>
      <c r="K29" s="146">
        <f t="shared" si="1"/>
        <v>59.373324871689015</v>
      </c>
    </row>
    <row r="30" spans="1:11" ht="15">
      <c r="A30" s="140" t="s">
        <v>136</v>
      </c>
      <c r="B30" s="141" t="s">
        <v>139</v>
      </c>
      <c r="C30" s="142">
        <v>12500</v>
      </c>
      <c r="D30" s="142">
        <v>6735.1</v>
      </c>
      <c r="E30" s="142">
        <f t="shared" si="4"/>
        <v>53.88080000000001</v>
      </c>
      <c r="F30" s="143">
        <v>0</v>
      </c>
      <c r="G30" s="143">
        <v>0</v>
      </c>
      <c r="H30" s="143">
        <v>0</v>
      </c>
      <c r="I30" s="144">
        <f t="shared" si="0"/>
        <v>12500</v>
      </c>
      <c r="J30" s="145">
        <f t="shared" si="0"/>
        <v>6735.1</v>
      </c>
      <c r="K30" s="146">
        <f t="shared" si="1"/>
        <v>53.88080000000001</v>
      </c>
    </row>
    <row r="31" spans="1:11" ht="60">
      <c r="A31" s="140" t="s">
        <v>140</v>
      </c>
      <c r="B31" s="156" t="s">
        <v>141</v>
      </c>
      <c r="C31" s="142">
        <v>6191.3</v>
      </c>
      <c r="D31" s="142">
        <v>2557.7</v>
      </c>
      <c r="E31" s="142">
        <f t="shared" si="4"/>
        <v>41.31119474100754</v>
      </c>
      <c r="F31" s="143">
        <v>508.4</v>
      </c>
      <c r="G31" s="143">
        <v>168.4</v>
      </c>
      <c r="H31" s="143">
        <f aca="true" t="shared" si="5" ref="H31:H37">G31/F31*100</f>
        <v>33.123524783634934</v>
      </c>
      <c r="I31" s="144">
        <f t="shared" si="0"/>
        <v>6699.7</v>
      </c>
      <c r="J31" s="145">
        <f t="shared" si="0"/>
        <v>2726.1</v>
      </c>
      <c r="K31" s="146">
        <f t="shared" si="1"/>
        <v>40.68988163649119</v>
      </c>
    </row>
    <row r="32" spans="1:11" ht="60">
      <c r="A32" s="147" t="s">
        <v>140</v>
      </c>
      <c r="B32" s="156" t="s">
        <v>142</v>
      </c>
      <c r="C32" s="142">
        <v>120013.8</v>
      </c>
      <c r="D32" s="142">
        <v>50519.9</v>
      </c>
      <c r="E32" s="142">
        <f t="shared" si="4"/>
        <v>42.095075732957376</v>
      </c>
      <c r="F32" s="143">
        <v>10387.9</v>
      </c>
      <c r="G32" s="143">
        <v>1923.4</v>
      </c>
      <c r="H32" s="143">
        <f t="shared" si="5"/>
        <v>18.515773159156325</v>
      </c>
      <c r="I32" s="144">
        <f>C32+F32-10387.9</f>
        <v>120013.8</v>
      </c>
      <c r="J32" s="145">
        <f>D32+G32-1923.4</f>
        <v>50519.9</v>
      </c>
      <c r="K32" s="146">
        <f>J32/I32*100</f>
        <v>42.095075732957376</v>
      </c>
    </row>
    <row r="33" spans="1:11" ht="105">
      <c r="A33" s="147" t="s">
        <v>140</v>
      </c>
      <c r="B33" s="141" t="s">
        <v>143</v>
      </c>
      <c r="C33" s="142">
        <v>3500</v>
      </c>
      <c r="D33" s="142">
        <v>0</v>
      </c>
      <c r="E33" s="142">
        <f t="shared" si="4"/>
        <v>0</v>
      </c>
      <c r="F33" s="143">
        <v>3500</v>
      </c>
      <c r="G33" s="143">
        <v>0</v>
      </c>
      <c r="H33" s="143">
        <f t="shared" si="5"/>
        <v>0</v>
      </c>
      <c r="I33" s="144">
        <f>C33+F33-3500</f>
        <v>3500</v>
      </c>
      <c r="J33" s="145">
        <f>D33+G33</f>
        <v>0</v>
      </c>
      <c r="K33" s="146">
        <f>J33/I33*100</f>
        <v>0</v>
      </c>
    </row>
    <row r="34" spans="1:11" ht="45">
      <c r="A34" s="147" t="s">
        <v>140</v>
      </c>
      <c r="B34" s="141" t="s">
        <v>144</v>
      </c>
      <c r="C34" s="142">
        <v>23187.2</v>
      </c>
      <c r="D34" s="142">
        <v>2618.5</v>
      </c>
      <c r="E34" s="142">
        <f t="shared" si="4"/>
        <v>11.292868479160916</v>
      </c>
      <c r="F34" s="143">
        <v>20000</v>
      </c>
      <c r="G34" s="143"/>
      <c r="H34" s="143">
        <f t="shared" si="5"/>
        <v>0</v>
      </c>
      <c r="I34" s="144">
        <f>C34+F34-20000</f>
        <v>23187.199999999997</v>
      </c>
      <c r="J34" s="145">
        <f>D34+G34-925</f>
        <v>1693.5</v>
      </c>
      <c r="K34" s="146">
        <f>J34/I34*100</f>
        <v>7.303598537123931</v>
      </c>
    </row>
    <row r="35" spans="1:11" ht="45">
      <c r="A35" s="147" t="s">
        <v>140</v>
      </c>
      <c r="B35" s="141" t="s">
        <v>145</v>
      </c>
      <c r="C35" s="142"/>
      <c r="D35" s="142"/>
      <c r="E35" s="142"/>
      <c r="F35" s="143">
        <v>43792.1</v>
      </c>
      <c r="G35" s="143">
        <v>18855.3</v>
      </c>
      <c r="H35" s="143">
        <f t="shared" si="5"/>
        <v>43.05639601663314</v>
      </c>
      <c r="I35" s="144">
        <f>C35+F35</f>
        <v>43792.1</v>
      </c>
      <c r="J35" s="145">
        <f t="shared" si="0"/>
        <v>18855.3</v>
      </c>
      <c r="K35" s="146">
        <f t="shared" si="1"/>
        <v>43.05639601663314</v>
      </c>
    </row>
    <row r="36" spans="1:11" ht="15">
      <c r="A36" s="140" t="s">
        <v>146</v>
      </c>
      <c r="B36" s="141" t="s">
        <v>147</v>
      </c>
      <c r="C36" s="142">
        <v>5342.5</v>
      </c>
      <c r="D36" s="142">
        <v>1474.2</v>
      </c>
      <c r="E36" s="142">
        <f t="shared" si="4"/>
        <v>27.593823116518486</v>
      </c>
      <c r="F36" s="143">
        <v>4288.7</v>
      </c>
      <c r="G36" s="143">
        <v>2533.8</v>
      </c>
      <c r="H36" s="157">
        <f t="shared" si="5"/>
        <v>59.08084034789097</v>
      </c>
      <c r="I36" s="144">
        <f t="shared" si="0"/>
        <v>9631.2</v>
      </c>
      <c r="J36" s="145">
        <f t="shared" si="0"/>
        <v>4008</v>
      </c>
      <c r="K36" s="146">
        <f t="shared" si="1"/>
        <v>41.614752055818585</v>
      </c>
    </row>
    <row r="37" spans="1:11" ht="60">
      <c r="A37" s="140" t="s">
        <v>148</v>
      </c>
      <c r="B37" s="156" t="s">
        <v>149</v>
      </c>
      <c r="C37" s="142">
        <v>3321.8</v>
      </c>
      <c r="D37" s="142">
        <v>1724.3</v>
      </c>
      <c r="E37" s="150">
        <f t="shared" si="4"/>
        <v>51.90860376904087</v>
      </c>
      <c r="F37" s="143">
        <v>1181</v>
      </c>
      <c r="G37" s="143">
        <v>163.5</v>
      </c>
      <c r="H37" s="157">
        <f t="shared" si="5"/>
        <v>13.84419983065199</v>
      </c>
      <c r="I37" s="144">
        <f>C37+F37-1181</f>
        <v>3321.8</v>
      </c>
      <c r="J37" s="145">
        <f>D37+G37-1181</f>
        <v>706.8</v>
      </c>
      <c r="K37" s="146">
        <f t="shared" si="1"/>
        <v>21.277620567162376</v>
      </c>
    </row>
    <row r="38" spans="1:11" ht="15">
      <c r="A38" s="140" t="s">
        <v>148</v>
      </c>
      <c r="B38" s="156" t="s">
        <v>150</v>
      </c>
      <c r="C38" s="142">
        <v>1500</v>
      </c>
      <c r="D38" s="142"/>
      <c r="E38" s="150"/>
      <c r="F38" s="143"/>
      <c r="G38" s="143"/>
      <c r="H38" s="157"/>
      <c r="I38" s="144">
        <f t="shared" si="0"/>
        <v>1500</v>
      </c>
      <c r="J38" s="145"/>
      <c r="K38" s="146"/>
    </row>
    <row r="39" spans="1:11" ht="75">
      <c r="A39" s="140" t="s">
        <v>148</v>
      </c>
      <c r="B39" s="156" t="s">
        <v>151</v>
      </c>
      <c r="C39" s="142">
        <v>4000</v>
      </c>
      <c r="D39" s="143">
        <v>2784.5</v>
      </c>
      <c r="E39" s="142">
        <f t="shared" si="4"/>
        <v>69.6125</v>
      </c>
      <c r="F39" s="143">
        <v>0</v>
      </c>
      <c r="G39" s="143">
        <v>0</v>
      </c>
      <c r="H39" s="157">
        <v>0</v>
      </c>
      <c r="I39" s="144">
        <f t="shared" si="0"/>
        <v>4000</v>
      </c>
      <c r="J39" s="145">
        <f t="shared" si="0"/>
        <v>2784.5</v>
      </c>
      <c r="K39" s="146">
        <f t="shared" si="1"/>
        <v>69.6125</v>
      </c>
    </row>
    <row r="40" spans="1:11" ht="135">
      <c r="A40" s="140" t="s">
        <v>148</v>
      </c>
      <c r="B40" s="156" t="s">
        <v>152</v>
      </c>
      <c r="C40" s="142">
        <v>33561.6</v>
      </c>
      <c r="D40" s="143">
        <v>15471</v>
      </c>
      <c r="E40" s="150">
        <f t="shared" si="4"/>
        <v>46.09732551487414</v>
      </c>
      <c r="F40" s="143"/>
      <c r="G40" s="143"/>
      <c r="H40" s="157"/>
      <c r="I40" s="144">
        <f t="shared" si="0"/>
        <v>33561.6</v>
      </c>
      <c r="J40" s="145">
        <f t="shared" si="0"/>
        <v>15471</v>
      </c>
      <c r="K40" s="146">
        <f t="shared" si="1"/>
        <v>46.09732551487414</v>
      </c>
    </row>
    <row r="41" spans="1:11" ht="90">
      <c r="A41" s="147" t="s">
        <v>148</v>
      </c>
      <c r="B41" s="156" t="s">
        <v>153</v>
      </c>
      <c r="C41" s="142">
        <v>10972</v>
      </c>
      <c r="D41" s="143">
        <v>6329.1</v>
      </c>
      <c r="E41" s="150">
        <f t="shared" si="4"/>
        <v>57.68410499453154</v>
      </c>
      <c r="F41" s="143"/>
      <c r="G41" s="143"/>
      <c r="H41" s="157"/>
      <c r="I41" s="144">
        <f t="shared" si="0"/>
        <v>10972</v>
      </c>
      <c r="J41" s="145">
        <f t="shared" si="0"/>
        <v>6329.1</v>
      </c>
      <c r="K41" s="146">
        <f t="shared" si="1"/>
        <v>57.68410499453154</v>
      </c>
    </row>
    <row r="42" spans="1:11" ht="45">
      <c r="A42" s="147" t="s">
        <v>148</v>
      </c>
      <c r="B42" s="156" t="s">
        <v>154</v>
      </c>
      <c r="C42" s="142">
        <v>1825.6</v>
      </c>
      <c r="D42" s="143">
        <v>996.8</v>
      </c>
      <c r="E42" s="150">
        <f t="shared" si="4"/>
        <v>54.601226993865026</v>
      </c>
      <c r="F42" s="143">
        <v>0</v>
      </c>
      <c r="G42" s="143">
        <v>0</v>
      </c>
      <c r="H42" s="157">
        <v>0</v>
      </c>
      <c r="I42" s="144">
        <f t="shared" si="0"/>
        <v>1825.6</v>
      </c>
      <c r="J42" s="145">
        <f t="shared" si="0"/>
        <v>996.8</v>
      </c>
      <c r="K42" s="146">
        <f t="shared" si="1"/>
        <v>54.601226993865026</v>
      </c>
    </row>
    <row r="43" spans="1:11" ht="45">
      <c r="A43" s="147" t="s">
        <v>148</v>
      </c>
      <c r="B43" s="156" t="s">
        <v>155</v>
      </c>
      <c r="C43" s="142">
        <v>10.5</v>
      </c>
      <c r="D43" s="143">
        <v>10.3</v>
      </c>
      <c r="E43" s="150">
        <f t="shared" si="4"/>
        <v>98.0952380952381</v>
      </c>
      <c r="F43" s="143"/>
      <c r="G43" s="143"/>
      <c r="H43" s="157">
        <v>0</v>
      </c>
      <c r="I43" s="144">
        <f t="shared" si="0"/>
        <v>10.5</v>
      </c>
      <c r="J43" s="145">
        <f t="shared" si="0"/>
        <v>10.3</v>
      </c>
      <c r="K43" s="146">
        <f t="shared" si="1"/>
        <v>98.0952380952381</v>
      </c>
    </row>
    <row r="44" spans="1:11" ht="30">
      <c r="A44" s="147" t="s">
        <v>148</v>
      </c>
      <c r="B44" s="156" t="s">
        <v>156</v>
      </c>
      <c r="C44" s="142"/>
      <c r="D44" s="143"/>
      <c r="E44" s="150"/>
      <c r="F44" s="143">
        <f>262+95</f>
        <v>357</v>
      </c>
      <c r="G44" s="143">
        <v>275</v>
      </c>
      <c r="H44" s="157">
        <f>G44/F44*100</f>
        <v>77.03081232492998</v>
      </c>
      <c r="I44" s="144">
        <f>C44+F44</f>
        <v>357</v>
      </c>
      <c r="J44" s="145">
        <f>D44+G44</f>
        <v>275</v>
      </c>
      <c r="K44" s="146">
        <f>J44/I44*100</f>
        <v>77.03081232492998</v>
      </c>
    </row>
    <row r="45" spans="1:11" ht="14.25">
      <c r="A45" s="135" t="s">
        <v>157</v>
      </c>
      <c r="B45" s="136" t="s">
        <v>158</v>
      </c>
      <c r="C45" s="158">
        <f>SUM(C46:C64)</f>
        <v>373256.4000000001</v>
      </c>
      <c r="D45" s="158">
        <f>SUM(D46:D64)</f>
        <v>110568</v>
      </c>
      <c r="E45" s="137">
        <f t="shared" si="4"/>
        <v>29.62253292910717</v>
      </c>
      <c r="F45" s="159">
        <f>SUM(F46:F64)</f>
        <v>168516.00000000003</v>
      </c>
      <c r="G45" s="159">
        <f>SUM(G46:G64)</f>
        <v>44712.1</v>
      </c>
      <c r="H45" s="159">
        <f>G45/F45*100</f>
        <v>26.53285147997816</v>
      </c>
      <c r="I45" s="158">
        <f>SUM(I46:I64)</f>
        <v>480813.6</v>
      </c>
      <c r="J45" s="158">
        <f>SUM(J46:J64)</f>
        <v>154562.1</v>
      </c>
      <c r="K45" s="139">
        <f t="shared" si="1"/>
        <v>32.14595011455583</v>
      </c>
    </row>
    <row r="46" spans="1:11" ht="105">
      <c r="A46" s="140" t="s">
        <v>159</v>
      </c>
      <c r="B46" s="141" t="s">
        <v>160</v>
      </c>
      <c r="C46" s="142">
        <f>197243.7+30644.1</f>
        <v>227887.80000000002</v>
      </c>
      <c r="D46" s="142">
        <v>69391.2</v>
      </c>
      <c r="E46" s="142">
        <f t="shared" si="4"/>
        <v>30.44972131022371</v>
      </c>
      <c r="F46" s="143">
        <v>0</v>
      </c>
      <c r="G46" s="143">
        <v>0</v>
      </c>
      <c r="H46" s="143">
        <v>0</v>
      </c>
      <c r="I46" s="144">
        <f t="shared" si="0"/>
        <v>227887.80000000002</v>
      </c>
      <c r="J46" s="145">
        <f t="shared" si="0"/>
        <v>69391.2</v>
      </c>
      <c r="K46" s="146">
        <f t="shared" si="1"/>
        <v>30.44972131022371</v>
      </c>
    </row>
    <row r="47" spans="1:11" ht="45">
      <c r="A47" s="140" t="s">
        <v>159</v>
      </c>
      <c r="B47" s="141" t="s">
        <v>161</v>
      </c>
      <c r="C47" s="142">
        <v>1700</v>
      </c>
      <c r="D47" s="142">
        <v>854.5</v>
      </c>
      <c r="E47" s="142">
        <f t="shared" si="4"/>
        <v>50.26470588235294</v>
      </c>
      <c r="F47" s="143"/>
      <c r="G47" s="143"/>
      <c r="H47" s="143"/>
      <c r="I47" s="144">
        <f t="shared" si="0"/>
        <v>1700</v>
      </c>
      <c r="J47" s="145">
        <f t="shared" si="0"/>
        <v>854.5</v>
      </c>
      <c r="K47" s="146">
        <f t="shared" si="1"/>
        <v>50.26470588235294</v>
      </c>
    </row>
    <row r="48" spans="1:11" ht="45">
      <c r="A48" s="147" t="s">
        <v>159</v>
      </c>
      <c r="B48" s="141" t="s">
        <v>162</v>
      </c>
      <c r="C48" s="142">
        <v>400</v>
      </c>
      <c r="D48" s="142"/>
      <c r="E48" s="142">
        <f t="shared" si="4"/>
        <v>0</v>
      </c>
      <c r="F48" s="143">
        <v>17121.2</v>
      </c>
      <c r="G48" s="143">
        <v>3827.1</v>
      </c>
      <c r="H48" s="143">
        <f>G48/F48*100</f>
        <v>22.352989276452583</v>
      </c>
      <c r="I48" s="144">
        <f t="shared" si="0"/>
        <v>17521.2</v>
      </c>
      <c r="J48" s="145">
        <f t="shared" si="0"/>
        <v>3827.1</v>
      </c>
      <c r="K48" s="146">
        <f t="shared" si="1"/>
        <v>21.84268200808164</v>
      </c>
    </row>
    <row r="49" spans="1:11" ht="135">
      <c r="A49" s="140" t="s">
        <v>163</v>
      </c>
      <c r="B49" s="141" t="s">
        <v>164</v>
      </c>
      <c r="C49" s="142">
        <f>8333.5+483.6</f>
        <v>8817.1</v>
      </c>
      <c r="D49" s="150">
        <v>3837.1</v>
      </c>
      <c r="E49" s="142">
        <f t="shared" si="4"/>
        <v>43.5188440643749</v>
      </c>
      <c r="F49" s="143"/>
      <c r="G49" s="143"/>
      <c r="H49" s="143"/>
      <c r="I49" s="144">
        <f t="shared" si="0"/>
        <v>8817.1</v>
      </c>
      <c r="J49" s="145">
        <f t="shared" si="0"/>
        <v>3837.1</v>
      </c>
      <c r="K49" s="146">
        <f t="shared" si="1"/>
        <v>43.5188440643749</v>
      </c>
    </row>
    <row r="50" spans="1:11" ht="135">
      <c r="A50" s="140" t="s">
        <v>163</v>
      </c>
      <c r="B50" s="141" t="s">
        <v>165</v>
      </c>
      <c r="C50" s="142">
        <v>9994.9</v>
      </c>
      <c r="D50" s="142">
        <v>4666.1</v>
      </c>
      <c r="E50" s="142">
        <f t="shared" si="4"/>
        <v>46.68480925271889</v>
      </c>
      <c r="F50" s="143"/>
      <c r="G50" s="143"/>
      <c r="H50" s="143"/>
      <c r="I50" s="144">
        <f t="shared" si="0"/>
        <v>9994.9</v>
      </c>
      <c r="J50" s="145">
        <f t="shared" si="0"/>
        <v>4666.1</v>
      </c>
      <c r="K50" s="146">
        <f t="shared" si="1"/>
        <v>46.68480925271889</v>
      </c>
    </row>
    <row r="51" spans="1:11" ht="135">
      <c r="A51" s="147" t="s">
        <v>163</v>
      </c>
      <c r="B51" s="141" t="s">
        <v>166</v>
      </c>
      <c r="C51" s="142">
        <v>4334.1</v>
      </c>
      <c r="D51" s="142">
        <v>3249.4</v>
      </c>
      <c r="E51" s="142">
        <f t="shared" si="4"/>
        <v>74.97288941187328</v>
      </c>
      <c r="F51" s="143"/>
      <c r="G51" s="143"/>
      <c r="H51" s="143"/>
      <c r="I51" s="144">
        <f t="shared" si="0"/>
        <v>4334.1</v>
      </c>
      <c r="J51" s="145">
        <f t="shared" si="0"/>
        <v>3249.4</v>
      </c>
      <c r="K51" s="146">
        <f t="shared" si="1"/>
        <v>74.97288941187328</v>
      </c>
    </row>
    <row r="52" spans="1:11" ht="135">
      <c r="A52" s="147" t="s">
        <v>163</v>
      </c>
      <c r="B52" s="141" t="s">
        <v>167</v>
      </c>
      <c r="C52" s="142">
        <v>6501.1</v>
      </c>
      <c r="D52" s="142">
        <v>4187.7</v>
      </c>
      <c r="E52" s="142">
        <f t="shared" si="4"/>
        <v>64.41525280337173</v>
      </c>
      <c r="F52" s="143"/>
      <c r="G52" s="143"/>
      <c r="H52" s="143"/>
      <c r="I52" s="144">
        <f t="shared" si="0"/>
        <v>6501.1</v>
      </c>
      <c r="J52" s="145">
        <f t="shared" si="0"/>
        <v>4187.7</v>
      </c>
      <c r="K52" s="146">
        <f t="shared" si="1"/>
        <v>64.41525280337173</v>
      </c>
    </row>
    <row r="53" spans="1:11" ht="178.5">
      <c r="A53" s="140" t="s">
        <v>163</v>
      </c>
      <c r="B53" s="160" t="s">
        <v>168</v>
      </c>
      <c r="C53" s="142">
        <v>40704.6</v>
      </c>
      <c r="D53" s="142">
        <v>23651.8</v>
      </c>
      <c r="E53" s="142">
        <f>D53/C53*100</f>
        <v>58.10596345376199</v>
      </c>
      <c r="F53" s="143"/>
      <c r="G53" s="143"/>
      <c r="H53" s="143"/>
      <c r="I53" s="144">
        <f>C53+F53</f>
        <v>40704.6</v>
      </c>
      <c r="J53" s="145">
        <f>D53+G53</f>
        <v>23651.8</v>
      </c>
      <c r="K53" s="146">
        <f>J53/I53*100</f>
        <v>58.10596345376199</v>
      </c>
    </row>
    <row r="54" spans="1:11" ht="180">
      <c r="A54" s="147" t="s">
        <v>163</v>
      </c>
      <c r="B54" s="156" t="s">
        <v>169</v>
      </c>
      <c r="C54" s="142">
        <f>45071.5+2740</f>
        <v>47811.5</v>
      </c>
      <c r="D54" s="142"/>
      <c r="E54" s="142">
        <f t="shared" si="4"/>
        <v>0</v>
      </c>
      <c r="F54" s="143">
        <f>35980.4+3615.8</f>
        <v>39596.200000000004</v>
      </c>
      <c r="G54" s="143"/>
      <c r="H54" s="143">
        <f>G54/F54*100</f>
        <v>0</v>
      </c>
      <c r="I54" s="144">
        <f>C54+F54-35980.4</f>
        <v>51427.30000000001</v>
      </c>
      <c r="J54" s="145">
        <f>D54+G54</f>
        <v>0</v>
      </c>
      <c r="K54" s="146">
        <f t="shared" si="1"/>
        <v>0</v>
      </c>
    </row>
    <row r="55" spans="1:11" ht="75">
      <c r="A55" s="147" t="s">
        <v>163</v>
      </c>
      <c r="B55" s="156" t="s">
        <v>170</v>
      </c>
      <c r="C55" s="142"/>
      <c r="D55" s="142"/>
      <c r="E55" s="142"/>
      <c r="F55" s="143">
        <f>11847.6+1734</f>
        <v>13581.6</v>
      </c>
      <c r="G55" s="143">
        <v>11448.9</v>
      </c>
      <c r="H55" s="143">
        <f aca="true" t="shared" si="6" ref="H55:H63">G55/F55*100</f>
        <v>84.2971373034105</v>
      </c>
      <c r="I55" s="144">
        <f t="shared" si="0"/>
        <v>13581.6</v>
      </c>
      <c r="J55" s="145">
        <f>D55+G55</f>
        <v>11448.9</v>
      </c>
      <c r="K55" s="161">
        <f t="shared" si="1"/>
        <v>84.2971373034105</v>
      </c>
    </row>
    <row r="56" spans="1:11" ht="15">
      <c r="A56" s="147" t="s">
        <v>163</v>
      </c>
      <c r="B56" s="156" t="s">
        <v>171</v>
      </c>
      <c r="C56" s="142"/>
      <c r="D56" s="142"/>
      <c r="E56" s="142"/>
      <c r="F56" s="143">
        <v>15521</v>
      </c>
      <c r="G56" s="143">
        <v>6176.1</v>
      </c>
      <c r="H56" s="143">
        <f t="shared" si="6"/>
        <v>39.79189485213582</v>
      </c>
      <c r="I56" s="144">
        <f t="shared" si="0"/>
        <v>15521</v>
      </c>
      <c r="J56" s="145">
        <f>D56+G56</f>
        <v>6176.1</v>
      </c>
      <c r="K56" s="146">
        <f t="shared" si="1"/>
        <v>39.79189485213582</v>
      </c>
    </row>
    <row r="57" spans="1:11" ht="75">
      <c r="A57" s="147" t="s">
        <v>172</v>
      </c>
      <c r="B57" s="141" t="s">
        <v>173</v>
      </c>
      <c r="C57" s="150">
        <v>500</v>
      </c>
      <c r="D57" s="142">
        <v>18</v>
      </c>
      <c r="E57" s="142">
        <f t="shared" si="4"/>
        <v>3.5999999999999996</v>
      </c>
      <c r="F57" s="142">
        <v>500</v>
      </c>
      <c r="G57" s="143">
        <v>18</v>
      </c>
      <c r="H57" s="143">
        <f t="shared" si="6"/>
        <v>3.5999999999999996</v>
      </c>
      <c r="I57" s="144">
        <f>C57+F57-500</f>
        <v>500</v>
      </c>
      <c r="J57" s="145">
        <f>D57+G57-18</f>
        <v>18</v>
      </c>
      <c r="K57" s="146">
        <f t="shared" si="1"/>
        <v>3.5999999999999996</v>
      </c>
    </row>
    <row r="58" spans="1:11" ht="45">
      <c r="A58" s="147" t="s">
        <v>172</v>
      </c>
      <c r="B58" s="141" t="s">
        <v>174</v>
      </c>
      <c r="C58" s="142">
        <v>700</v>
      </c>
      <c r="D58" s="142">
        <v>700</v>
      </c>
      <c r="E58" s="142">
        <f t="shared" si="4"/>
        <v>100</v>
      </c>
      <c r="F58" s="142">
        <v>700</v>
      </c>
      <c r="G58" s="143"/>
      <c r="H58" s="143">
        <f t="shared" si="6"/>
        <v>0</v>
      </c>
      <c r="I58" s="144">
        <f>C58+F58-700</f>
        <v>700</v>
      </c>
      <c r="J58" s="144">
        <f>D58+G58-700</f>
        <v>0</v>
      </c>
      <c r="K58" s="146">
        <f t="shared" si="1"/>
        <v>0</v>
      </c>
    </row>
    <row r="59" spans="1:11" ht="30">
      <c r="A59" s="147" t="s">
        <v>172</v>
      </c>
      <c r="B59" s="141" t="s">
        <v>175</v>
      </c>
      <c r="C59" s="142">
        <v>100</v>
      </c>
      <c r="D59" s="142"/>
      <c r="E59" s="142">
        <f t="shared" si="4"/>
        <v>0</v>
      </c>
      <c r="F59" s="142"/>
      <c r="G59" s="143"/>
      <c r="H59" s="143"/>
      <c r="I59" s="144">
        <f>C59+F59</f>
        <v>100</v>
      </c>
      <c r="J59" s="144"/>
      <c r="K59" s="146"/>
    </row>
    <row r="60" spans="1:11" ht="90">
      <c r="A60" s="147" t="s">
        <v>172</v>
      </c>
      <c r="B60" s="141" t="s">
        <v>176</v>
      </c>
      <c r="C60" s="142"/>
      <c r="D60" s="142"/>
      <c r="E60" s="142" t="e">
        <f t="shared" si="4"/>
        <v>#DIV/0!</v>
      </c>
      <c r="F60" s="142">
        <v>1313.1</v>
      </c>
      <c r="G60" s="143"/>
      <c r="H60" s="143">
        <f t="shared" si="6"/>
        <v>0</v>
      </c>
      <c r="I60" s="144">
        <f>C60+F60</f>
        <v>1313.1</v>
      </c>
      <c r="J60" s="145">
        <f>D60+G60</f>
        <v>0</v>
      </c>
      <c r="K60" s="146">
        <f t="shared" si="1"/>
        <v>0</v>
      </c>
    </row>
    <row r="61" spans="1:11" ht="30">
      <c r="A61" s="147" t="s">
        <v>172</v>
      </c>
      <c r="B61" s="141" t="s">
        <v>177</v>
      </c>
      <c r="C61" s="142">
        <f>8208.7</f>
        <v>8208.7</v>
      </c>
      <c r="D61" s="142">
        <v>0</v>
      </c>
      <c r="E61" s="142">
        <f t="shared" si="4"/>
        <v>0</v>
      </c>
      <c r="F61" s="142">
        <f>8208.7+3462.2</f>
        <v>11670.900000000001</v>
      </c>
      <c r="G61" s="143"/>
      <c r="H61" s="143">
        <f t="shared" si="6"/>
        <v>0</v>
      </c>
      <c r="I61" s="144">
        <f>C61+F61-5746.1-2462.6</f>
        <v>11670.900000000001</v>
      </c>
      <c r="J61" s="145">
        <f>D61+G61</f>
        <v>0</v>
      </c>
      <c r="K61" s="146">
        <f t="shared" si="1"/>
        <v>0</v>
      </c>
    </row>
    <row r="62" spans="1:11" ht="45">
      <c r="A62" s="147" t="s">
        <v>172</v>
      </c>
      <c r="B62" s="162" t="s">
        <v>178</v>
      </c>
      <c r="C62" s="142">
        <v>8569.7</v>
      </c>
      <c r="D62" s="142"/>
      <c r="E62" s="142"/>
      <c r="F62" s="142">
        <f>8569.7+952.2</f>
        <v>9521.900000000001</v>
      </c>
      <c r="G62" s="143"/>
      <c r="H62" s="143"/>
      <c r="I62" s="144">
        <f>C62+F62-8569.7</f>
        <v>9521.900000000001</v>
      </c>
      <c r="J62" s="145">
        <f>D62+G62</f>
        <v>0</v>
      </c>
      <c r="K62" s="146">
        <f t="shared" si="1"/>
        <v>0</v>
      </c>
    </row>
    <row r="63" spans="1:11" ht="30">
      <c r="A63" s="140" t="s">
        <v>172</v>
      </c>
      <c r="B63" s="141" t="s">
        <v>179</v>
      </c>
      <c r="C63" s="142">
        <v>7000</v>
      </c>
      <c r="D63" s="142"/>
      <c r="E63" s="150">
        <v>0</v>
      </c>
      <c r="F63" s="142">
        <f>51990.1+7000</f>
        <v>58990.1</v>
      </c>
      <c r="G63" s="143">
        <v>23242</v>
      </c>
      <c r="H63" s="143">
        <f t="shared" si="6"/>
        <v>39.39983149714952</v>
      </c>
      <c r="I63" s="144">
        <f>C63+F63-7000</f>
        <v>58990.100000000006</v>
      </c>
      <c r="J63" s="145">
        <f>D63+G63</f>
        <v>23242</v>
      </c>
      <c r="K63" s="146">
        <f t="shared" si="1"/>
        <v>39.39983149714952</v>
      </c>
    </row>
    <row r="64" spans="1:11" ht="15">
      <c r="A64" s="147" t="s">
        <v>180</v>
      </c>
      <c r="B64" s="141" t="s">
        <v>181</v>
      </c>
      <c r="C64" s="142">
        <v>26.9</v>
      </c>
      <c r="D64" s="142">
        <v>12.2</v>
      </c>
      <c r="E64" s="142">
        <f>D64/C64*100</f>
        <v>45.353159851301115</v>
      </c>
      <c r="F64" s="142">
        <v>0</v>
      </c>
      <c r="G64" s="143">
        <v>0</v>
      </c>
      <c r="H64" s="143">
        <v>0</v>
      </c>
      <c r="I64" s="144">
        <f>C64+F64</f>
        <v>26.9</v>
      </c>
      <c r="J64" s="145">
        <f>D64+G64</f>
        <v>12.2</v>
      </c>
      <c r="K64" s="163">
        <f t="shared" si="1"/>
        <v>45.353159851301115</v>
      </c>
    </row>
    <row r="65" spans="1:11" ht="15">
      <c r="A65" s="164" t="s">
        <v>182</v>
      </c>
      <c r="B65" s="165" t="s">
        <v>183</v>
      </c>
      <c r="C65" s="159">
        <f aca="true" t="shared" si="7" ref="C65:H65">C66</f>
        <v>108.1</v>
      </c>
      <c r="D65" s="159">
        <f t="shared" si="7"/>
        <v>108.1</v>
      </c>
      <c r="E65" s="166">
        <f t="shared" si="4"/>
        <v>100</v>
      </c>
      <c r="F65" s="159">
        <f t="shared" si="7"/>
        <v>0</v>
      </c>
      <c r="G65" s="159">
        <f t="shared" si="7"/>
        <v>0</v>
      </c>
      <c r="H65" s="138">
        <f t="shared" si="7"/>
        <v>0</v>
      </c>
      <c r="I65" s="159">
        <f t="shared" si="0"/>
        <v>108.1</v>
      </c>
      <c r="J65" s="159">
        <f t="shared" si="0"/>
        <v>108.1</v>
      </c>
      <c r="K65" s="139">
        <v>0</v>
      </c>
    </row>
    <row r="66" spans="1:11" ht="30">
      <c r="A66" s="147" t="s">
        <v>184</v>
      </c>
      <c r="B66" s="167" t="s">
        <v>185</v>
      </c>
      <c r="C66" s="143">
        <v>108.1</v>
      </c>
      <c r="D66" s="143">
        <v>108.1</v>
      </c>
      <c r="E66" s="142">
        <f t="shared" si="4"/>
        <v>100</v>
      </c>
      <c r="F66" s="143">
        <v>0</v>
      </c>
      <c r="G66" s="143">
        <v>0</v>
      </c>
      <c r="H66" s="143">
        <v>0</v>
      </c>
      <c r="I66" s="144">
        <f t="shared" si="0"/>
        <v>108.1</v>
      </c>
      <c r="J66" s="145">
        <f t="shared" si="0"/>
        <v>108.1</v>
      </c>
      <c r="K66" s="146">
        <f t="shared" si="1"/>
        <v>100</v>
      </c>
    </row>
    <row r="67" spans="1:11" ht="15">
      <c r="A67" s="135" t="s">
        <v>186</v>
      </c>
      <c r="B67" s="136" t="s">
        <v>187</v>
      </c>
      <c r="C67" s="137">
        <f>SUM(C68:C75)</f>
        <v>2075412.7999999998</v>
      </c>
      <c r="D67" s="137">
        <f>SUM(D68:D75)</f>
        <v>1226932.7</v>
      </c>
      <c r="E67" s="137">
        <f>D67/C67*100</f>
        <v>59.11752592062649</v>
      </c>
      <c r="F67" s="159">
        <f>F68+F70+F71+F74+F75</f>
        <v>0</v>
      </c>
      <c r="G67" s="159">
        <f>SUM(G68:G75)</f>
        <v>0</v>
      </c>
      <c r="H67" s="138">
        <v>0</v>
      </c>
      <c r="I67" s="137">
        <f>SUM(I68:I75)</f>
        <v>2075412.7999999998</v>
      </c>
      <c r="J67" s="137">
        <f>SUM(J68:J75)</f>
        <v>1226932.7</v>
      </c>
      <c r="K67" s="139">
        <f t="shared" si="1"/>
        <v>59.11752592062649</v>
      </c>
    </row>
    <row r="68" spans="1:11" ht="15">
      <c r="A68" s="140" t="s">
        <v>188</v>
      </c>
      <c r="B68" s="141" t="s">
        <v>189</v>
      </c>
      <c r="C68" s="142">
        <f>549922.7-C69</f>
        <v>483200.49999999994</v>
      </c>
      <c r="D68" s="142">
        <f>287328.2-D69</f>
        <v>254300.30000000002</v>
      </c>
      <c r="E68" s="142">
        <f t="shared" si="4"/>
        <v>52.62831888625944</v>
      </c>
      <c r="F68" s="143">
        <v>0</v>
      </c>
      <c r="G68" s="143">
        <v>0</v>
      </c>
      <c r="H68" s="143">
        <v>0</v>
      </c>
      <c r="I68" s="144">
        <f t="shared" si="0"/>
        <v>483200.49999999994</v>
      </c>
      <c r="J68" s="145">
        <f t="shared" si="0"/>
        <v>254300.30000000002</v>
      </c>
      <c r="K68" s="146">
        <f t="shared" si="1"/>
        <v>52.62831888625944</v>
      </c>
    </row>
    <row r="69" spans="1:11" ht="120">
      <c r="A69" s="140" t="s">
        <v>188</v>
      </c>
      <c r="B69" s="141" t="s">
        <v>190</v>
      </c>
      <c r="C69" s="142">
        <f>59782.1+6940.1</f>
        <v>66722.2</v>
      </c>
      <c r="D69" s="142">
        <v>33027.9</v>
      </c>
      <c r="E69" s="142">
        <f t="shared" si="4"/>
        <v>49.50061598688293</v>
      </c>
      <c r="F69" s="143"/>
      <c r="G69" s="143"/>
      <c r="H69" s="143"/>
      <c r="I69" s="144">
        <f t="shared" si="0"/>
        <v>66722.2</v>
      </c>
      <c r="J69" s="145">
        <f t="shared" si="0"/>
        <v>33027.9</v>
      </c>
      <c r="K69" s="146">
        <f t="shared" si="1"/>
        <v>49.50061598688293</v>
      </c>
    </row>
    <row r="70" spans="1:11" ht="15">
      <c r="A70" s="140" t="s">
        <v>191</v>
      </c>
      <c r="B70" s="141" t="s">
        <v>192</v>
      </c>
      <c r="C70" s="142">
        <f>1243865.9-C71-C72</f>
        <v>1083717.9</v>
      </c>
      <c r="D70" s="142">
        <f>751705.1-D71-D72</f>
        <v>675766.8999999999</v>
      </c>
      <c r="E70" s="142">
        <f t="shared" si="4"/>
        <v>62.35634753287732</v>
      </c>
      <c r="F70" s="143">
        <v>0</v>
      </c>
      <c r="G70" s="143">
        <v>0</v>
      </c>
      <c r="H70" s="143">
        <v>0</v>
      </c>
      <c r="I70" s="144">
        <f t="shared" si="0"/>
        <v>1083717.9</v>
      </c>
      <c r="J70" s="145">
        <f t="shared" si="0"/>
        <v>675766.8999999999</v>
      </c>
      <c r="K70" s="146">
        <f t="shared" si="1"/>
        <v>62.35634753287732</v>
      </c>
    </row>
    <row r="71" spans="1:11" ht="15">
      <c r="A71" s="140" t="s">
        <v>191</v>
      </c>
      <c r="B71" s="141" t="s">
        <v>193</v>
      </c>
      <c r="C71" s="142">
        <f>30825+20887.7+242</f>
        <v>51954.7</v>
      </c>
      <c r="D71" s="142">
        <v>19740.9</v>
      </c>
      <c r="E71" s="142">
        <f t="shared" si="4"/>
        <v>37.99636991456019</v>
      </c>
      <c r="F71" s="143">
        <v>0</v>
      </c>
      <c r="G71" s="143">
        <v>0</v>
      </c>
      <c r="H71" s="143">
        <v>0</v>
      </c>
      <c r="I71" s="144">
        <f t="shared" si="0"/>
        <v>51954.7</v>
      </c>
      <c r="J71" s="145">
        <f t="shared" si="0"/>
        <v>19740.9</v>
      </c>
      <c r="K71" s="146">
        <f t="shared" si="1"/>
        <v>37.99636991456019</v>
      </c>
    </row>
    <row r="72" spans="1:11" ht="120">
      <c r="A72" s="140" t="s">
        <v>191</v>
      </c>
      <c r="B72" s="141" t="s">
        <v>194</v>
      </c>
      <c r="C72" s="142">
        <f>97374+10819.3</f>
        <v>108193.3</v>
      </c>
      <c r="D72" s="142">
        <v>56197.3</v>
      </c>
      <c r="E72" s="142">
        <f t="shared" si="4"/>
        <v>51.941571243320986</v>
      </c>
      <c r="F72" s="143">
        <v>0</v>
      </c>
      <c r="G72" s="143">
        <v>0</v>
      </c>
      <c r="H72" s="143">
        <v>0</v>
      </c>
      <c r="I72" s="144">
        <f t="shared" si="0"/>
        <v>108193.3</v>
      </c>
      <c r="J72" s="145">
        <f t="shared" si="0"/>
        <v>56197.3</v>
      </c>
      <c r="K72" s="146">
        <f t="shared" si="1"/>
        <v>51.941571243320986</v>
      </c>
    </row>
    <row r="73" spans="1:11" ht="15">
      <c r="A73" s="140" t="s">
        <v>195</v>
      </c>
      <c r="B73" s="141" t="s">
        <v>196</v>
      </c>
      <c r="C73" s="142">
        <v>200997.6</v>
      </c>
      <c r="D73" s="150">
        <v>137758.6</v>
      </c>
      <c r="E73" s="142">
        <f t="shared" si="4"/>
        <v>68.53743527285899</v>
      </c>
      <c r="F73" s="143"/>
      <c r="G73" s="143"/>
      <c r="H73" s="143"/>
      <c r="I73" s="144">
        <f t="shared" si="0"/>
        <v>200997.6</v>
      </c>
      <c r="J73" s="145">
        <f t="shared" si="0"/>
        <v>137758.6</v>
      </c>
      <c r="K73" s="146">
        <f t="shared" si="1"/>
        <v>68.53743527285899</v>
      </c>
    </row>
    <row r="74" spans="1:11" ht="15">
      <c r="A74" s="140" t="s">
        <v>197</v>
      </c>
      <c r="B74" s="141" t="s">
        <v>198</v>
      </c>
      <c r="C74" s="142">
        <v>33339.9</v>
      </c>
      <c r="D74" s="142">
        <v>22244.1</v>
      </c>
      <c r="E74" s="142">
        <f t="shared" si="4"/>
        <v>66.71915632620373</v>
      </c>
      <c r="F74" s="143"/>
      <c r="G74" s="143"/>
      <c r="H74" s="143"/>
      <c r="I74" s="144">
        <f>C74+F74</f>
        <v>33339.9</v>
      </c>
      <c r="J74" s="145">
        <f>D74+G74</f>
        <v>22244.1</v>
      </c>
      <c r="K74" s="146">
        <f t="shared" si="1"/>
        <v>66.71915632620373</v>
      </c>
    </row>
    <row r="75" spans="1:11" ht="15">
      <c r="A75" s="140" t="s">
        <v>199</v>
      </c>
      <c r="B75" s="141" t="s">
        <v>200</v>
      </c>
      <c r="C75" s="142">
        <v>47286.7</v>
      </c>
      <c r="D75" s="142">
        <v>27896.7</v>
      </c>
      <c r="E75" s="142">
        <f t="shared" si="4"/>
        <v>58.994812494845284</v>
      </c>
      <c r="F75" s="143">
        <v>0</v>
      </c>
      <c r="G75" s="143"/>
      <c r="H75" s="143">
        <v>0</v>
      </c>
      <c r="I75" s="144">
        <f t="shared" si="0"/>
        <v>47286.7</v>
      </c>
      <c r="J75" s="145">
        <f>D75+G75</f>
        <v>27896.7</v>
      </c>
      <c r="K75" s="146">
        <f t="shared" si="1"/>
        <v>58.994812494845284</v>
      </c>
    </row>
    <row r="76" spans="1:11" ht="15">
      <c r="A76" s="135" t="s">
        <v>201</v>
      </c>
      <c r="B76" s="136" t="s">
        <v>202</v>
      </c>
      <c r="C76" s="137">
        <f>SUM(C77:C80)</f>
        <v>69239.7</v>
      </c>
      <c r="D76" s="137">
        <f>SUM(D77:D80)</f>
        <v>42108.1</v>
      </c>
      <c r="E76" s="137">
        <f>D76/C76*100</f>
        <v>60.81496598049962</v>
      </c>
      <c r="F76" s="159">
        <f>SUM(F77:F80)</f>
        <v>109321.9</v>
      </c>
      <c r="G76" s="159">
        <f>SUM(G77:G80)</f>
        <v>60300.100000000006</v>
      </c>
      <c r="H76" s="138">
        <f>G76/F76*100</f>
        <v>55.15829856597809</v>
      </c>
      <c r="I76" s="159">
        <f>SUM(I77:I80)</f>
        <v>176673.49999999997</v>
      </c>
      <c r="J76" s="159">
        <f>SUM(J77:J80)</f>
        <v>101689.49999999999</v>
      </c>
      <c r="K76" s="139">
        <f t="shared" si="1"/>
        <v>57.55786804472657</v>
      </c>
    </row>
    <row r="77" spans="1:11" ht="15">
      <c r="A77" s="140" t="s">
        <v>203</v>
      </c>
      <c r="B77" s="141" t="s">
        <v>204</v>
      </c>
      <c r="C77" s="142">
        <f>65036.6-C78</f>
        <v>64207.2</v>
      </c>
      <c r="D77" s="142">
        <f>39599.6-D78</f>
        <v>39066.299999999996</v>
      </c>
      <c r="E77" s="142">
        <f t="shared" si="4"/>
        <v>60.84411094082907</v>
      </c>
      <c r="F77" s="143">
        <f>107991.9-F78</f>
        <v>107848.9</v>
      </c>
      <c r="G77" s="143">
        <f>60242.3-G78</f>
        <v>60200</v>
      </c>
      <c r="H77" s="143">
        <f>G77/F77*100</f>
        <v>55.81883542623059</v>
      </c>
      <c r="I77" s="144">
        <f>C77+F77-655.1</f>
        <v>171400.99999999997</v>
      </c>
      <c r="J77" s="145">
        <f>D77+G77-655.1</f>
        <v>98611.19999999998</v>
      </c>
      <c r="K77" s="146">
        <f t="shared" si="1"/>
        <v>57.53245313621274</v>
      </c>
    </row>
    <row r="78" spans="1:11" ht="30">
      <c r="A78" s="168" t="s">
        <v>203</v>
      </c>
      <c r="B78" s="169" t="s">
        <v>205</v>
      </c>
      <c r="C78" s="142">
        <f>587+103.7+117.9+20.8</f>
        <v>829.4</v>
      </c>
      <c r="D78" s="142">
        <v>533.3</v>
      </c>
      <c r="E78" s="142">
        <f t="shared" si="4"/>
        <v>64.29949360983844</v>
      </c>
      <c r="F78" s="143">
        <f>128+15</f>
        <v>143</v>
      </c>
      <c r="G78" s="143">
        <v>42.3</v>
      </c>
      <c r="H78" s="143">
        <f>G78/F78*100</f>
        <v>29.580419580419576</v>
      </c>
      <c r="I78" s="144">
        <f>C78+F78-143</f>
        <v>829.4</v>
      </c>
      <c r="J78" s="145">
        <f>D78+G78-63.6</f>
        <v>511.9999999999999</v>
      </c>
      <c r="K78" s="146">
        <f>J78/I78*100</f>
        <v>61.731372076199655</v>
      </c>
    </row>
    <row r="79" spans="1:11" ht="15">
      <c r="A79" s="140" t="s">
        <v>206</v>
      </c>
      <c r="B79" s="141" t="s">
        <v>207</v>
      </c>
      <c r="C79" s="142">
        <v>150</v>
      </c>
      <c r="D79" s="142">
        <v>66.2</v>
      </c>
      <c r="E79" s="142">
        <f t="shared" si="4"/>
        <v>44.13333333333333</v>
      </c>
      <c r="F79" s="143">
        <v>240</v>
      </c>
      <c r="G79" s="143">
        <v>57.8</v>
      </c>
      <c r="H79" s="143">
        <f>G79/F79*100</f>
        <v>24.083333333333332</v>
      </c>
      <c r="I79" s="144">
        <f aca="true" t="shared" si="8" ref="I79:J89">C79+F79</f>
        <v>390</v>
      </c>
      <c r="J79" s="145">
        <f>D79+G79</f>
        <v>124</v>
      </c>
      <c r="K79" s="146">
        <f aca="true" t="shared" si="9" ref="K79:K103">J79/I79*100</f>
        <v>31.794871794871792</v>
      </c>
    </row>
    <row r="80" spans="1:11" ht="30">
      <c r="A80" s="140" t="s">
        <v>208</v>
      </c>
      <c r="B80" s="141" t="s">
        <v>209</v>
      </c>
      <c r="C80" s="142">
        <v>4053.1</v>
      </c>
      <c r="D80" s="142">
        <v>2442.3</v>
      </c>
      <c r="E80" s="142">
        <f t="shared" si="4"/>
        <v>60.25758061730527</v>
      </c>
      <c r="F80" s="143">
        <v>1090</v>
      </c>
      <c r="G80" s="143">
        <v>0</v>
      </c>
      <c r="H80" s="143"/>
      <c r="I80" s="144">
        <f>C80+F80-1090</f>
        <v>4053.1000000000004</v>
      </c>
      <c r="J80" s="145">
        <f>D80+G80</f>
        <v>2442.3</v>
      </c>
      <c r="K80" s="146">
        <f t="shared" si="9"/>
        <v>60.25758061730527</v>
      </c>
    </row>
    <row r="81" spans="1:11" ht="15">
      <c r="A81" s="135" t="s">
        <v>210</v>
      </c>
      <c r="B81" s="136" t="s">
        <v>211</v>
      </c>
      <c r="C81" s="137">
        <f>SUM(C82:C83)</f>
        <v>6978.5</v>
      </c>
      <c r="D81" s="137">
        <f>SUM(D82:D83)</f>
        <v>2943.2</v>
      </c>
      <c r="E81" s="137">
        <f>SUM(E82:E83)</f>
        <v>78.42065233137585</v>
      </c>
      <c r="F81" s="159">
        <v>0</v>
      </c>
      <c r="G81" s="159">
        <v>0</v>
      </c>
      <c r="H81" s="138"/>
      <c r="I81" s="159">
        <f>C81+F81</f>
        <v>6978.5</v>
      </c>
      <c r="J81" s="159">
        <f t="shared" si="8"/>
        <v>2943.2</v>
      </c>
      <c r="K81" s="139">
        <f t="shared" si="9"/>
        <v>42.175252561438704</v>
      </c>
    </row>
    <row r="82" spans="1:11" ht="45">
      <c r="A82" s="147" t="s">
        <v>212</v>
      </c>
      <c r="B82" s="169" t="s">
        <v>213</v>
      </c>
      <c r="C82" s="142">
        <f>2904.4+1766.4</f>
        <v>4670.8</v>
      </c>
      <c r="D82" s="143">
        <v>2240.4</v>
      </c>
      <c r="E82" s="142">
        <f t="shared" si="4"/>
        <v>47.966087179926355</v>
      </c>
      <c r="F82" s="143">
        <v>0</v>
      </c>
      <c r="G82" s="143">
        <v>0</v>
      </c>
      <c r="H82" s="143">
        <v>0</v>
      </c>
      <c r="I82" s="144">
        <f t="shared" si="8"/>
        <v>4670.8</v>
      </c>
      <c r="J82" s="145">
        <f t="shared" si="8"/>
        <v>2240.4</v>
      </c>
      <c r="K82" s="146">
        <f t="shared" si="9"/>
        <v>47.966087179926355</v>
      </c>
    </row>
    <row r="83" spans="1:11" ht="45">
      <c r="A83" s="147" t="s">
        <v>212</v>
      </c>
      <c r="B83" s="169" t="s">
        <v>214</v>
      </c>
      <c r="C83" s="142">
        <v>2307.7</v>
      </c>
      <c r="D83" s="143">
        <v>702.8</v>
      </c>
      <c r="E83" s="142">
        <f t="shared" si="4"/>
        <v>30.454565151449497</v>
      </c>
      <c r="F83" s="143"/>
      <c r="G83" s="143"/>
      <c r="H83" s="143"/>
      <c r="I83" s="144">
        <f t="shared" si="8"/>
        <v>2307.7</v>
      </c>
      <c r="J83" s="145">
        <f t="shared" si="8"/>
        <v>702.8</v>
      </c>
      <c r="K83" s="146">
        <f t="shared" si="9"/>
        <v>30.454565151449497</v>
      </c>
    </row>
    <row r="84" spans="1:11" ht="15">
      <c r="A84" s="135">
        <v>10</v>
      </c>
      <c r="B84" s="136" t="s">
        <v>215</v>
      </c>
      <c r="C84" s="137">
        <f>SUM(C85:C91)</f>
        <v>148720.90000000002</v>
      </c>
      <c r="D84" s="137">
        <f>SUM(D85:D91)</f>
        <v>66732.2</v>
      </c>
      <c r="E84" s="137">
        <f>D84/C84*100</f>
        <v>44.87076127161683</v>
      </c>
      <c r="F84" s="137">
        <f>SUM(F85:F89)</f>
        <v>492.9</v>
      </c>
      <c r="G84" s="137">
        <f>SUM(G85:G89)</f>
        <v>300</v>
      </c>
      <c r="H84" s="138">
        <f>G84/F84*100</f>
        <v>60.86427267194158</v>
      </c>
      <c r="I84" s="137">
        <f>SUM(I85:I91)</f>
        <v>149213.80000000002</v>
      </c>
      <c r="J84" s="137">
        <f>SUM(J85:J91)</f>
        <v>67032.2</v>
      </c>
      <c r="K84" s="139">
        <f t="shared" si="9"/>
        <v>44.92359285803323</v>
      </c>
    </row>
    <row r="85" spans="1:11" ht="15">
      <c r="A85" s="147">
        <v>1001</v>
      </c>
      <c r="B85" s="141" t="s">
        <v>216</v>
      </c>
      <c r="C85" s="142">
        <v>4063</v>
      </c>
      <c r="D85" s="142">
        <v>2102.4</v>
      </c>
      <c r="E85" s="142">
        <f t="shared" si="4"/>
        <v>51.74501599803102</v>
      </c>
      <c r="F85" s="143">
        <v>492.9</v>
      </c>
      <c r="G85" s="143">
        <v>300</v>
      </c>
      <c r="H85" s="143">
        <f>G85/F85*100</f>
        <v>60.86427267194158</v>
      </c>
      <c r="I85" s="144">
        <f t="shared" si="8"/>
        <v>4555.9</v>
      </c>
      <c r="J85" s="145">
        <f t="shared" si="8"/>
        <v>2402.4</v>
      </c>
      <c r="K85" s="146">
        <f t="shared" si="9"/>
        <v>52.73162273096425</v>
      </c>
    </row>
    <row r="86" spans="1:11" ht="75">
      <c r="A86" s="147">
        <v>1003</v>
      </c>
      <c r="B86" s="141" t="s">
        <v>217</v>
      </c>
      <c r="C86" s="142">
        <v>4756.3</v>
      </c>
      <c r="D86" s="142">
        <v>0</v>
      </c>
      <c r="E86" s="142">
        <f t="shared" si="4"/>
        <v>0</v>
      </c>
      <c r="F86" s="143">
        <v>0</v>
      </c>
      <c r="G86" s="143">
        <v>0</v>
      </c>
      <c r="H86" s="143">
        <v>0</v>
      </c>
      <c r="I86" s="144">
        <f t="shared" si="8"/>
        <v>4756.3</v>
      </c>
      <c r="J86" s="145">
        <f t="shared" si="8"/>
        <v>0</v>
      </c>
      <c r="K86" s="146">
        <f t="shared" si="9"/>
        <v>0</v>
      </c>
    </row>
    <row r="87" spans="1:11" ht="180">
      <c r="A87" s="147" t="s">
        <v>218</v>
      </c>
      <c r="B87" s="141" t="s">
        <v>219</v>
      </c>
      <c r="C87" s="142">
        <f>2635.8+138.7</f>
        <v>2774.5</v>
      </c>
      <c r="D87" s="142">
        <v>0</v>
      </c>
      <c r="E87" s="142">
        <f t="shared" si="4"/>
        <v>0</v>
      </c>
      <c r="F87" s="143"/>
      <c r="G87" s="143"/>
      <c r="H87" s="143"/>
      <c r="I87" s="144">
        <f t="shared" si="8"/>
        <v>2774.5</v>
      </c>
      <c r="J87" s="145">
        <f t="shared" si="8"/>
        <v>0</v>
      </c>
      <c r="K87" s="146">
        <f t="shared" si="9"/>
        <v>0</v>
      </c>
    </row>
    <row r="88" spans="1:11" ht="75">
      <c r="A88" s="147">
        <v>1004</v>
      </c>
      <c r="B88" s="141" t="s">
        <v>220</v>
      </c>
      <c r="C88" s="142">
        <v>31571</v>
      </c>
      <c r="D88" s="142">
        <v>9733.2</v>
      </c>
      <c r="E88" s="142">
        <f t="shared" si="4"/>
        <v>30.829558772291026</v>
      </c>
      <c r="F88" s="143">
        <v>0</v>
      </c>
      <c r="G88" s="143">
        <v>0</v>
      </c>
      <c r="H88" s="143">
        <v>0</v>
      </c>
      <c r="I88" s="144">
        <f t="shared" si="8"/>
        <v>31571</v>
      </c>
      <c r="J88" s="145">
        <f t="shared" si="8"/>
        <v>9733.2</v>
      </c>
      <c r="K88" s="146">
        <f t="shared" si="9"/>
        <v>30.829558772291026</v>
      </c>
    </row>
    <row r="89" spans="1:11" ht="165">
      <c r="A89" s="147">
        <v>1004</v>
      </c>
      <c r="B89" s="141" t="s">
        <v>221</v>
      </c>
      <c r="C89" s="142">
        <v>70674.5</v>
      </c>
      <c r="D89" s="142">
        <v>39079.3</v>
      </c>
      <c r="E89" s="142">
        <f aca="true" t="shared" si="10" ref="E89:E102">D89/C89*100</f>
        <v>55.29476685367424</v>
      </c>
      <c r="F89" s="143">
        <v>0</v>
      </c>
      <c r="G89" s="143">
        <v>0</v>
      </c>
      <c r="H89" s="143">
        <v>0</v>
      </c>
      <c r="I89" s="144">
        <f t="shared" si="8"/>
        <v>70674.5</v>
      </c>
      <c r="J89" s="145">
        <f t="shared" si="8"/>
        <v>39079.3</v>
      </c>
      <c r="K89" s="146">
        <f t="shared" si="9"/>
        <v>55.29476685367424</v>
      </c>
    </row>
    <row r="90" spans="1:11" ht="150">
      <c r="A90" s="147" t="s">
        <v>222</v>
      </c>
      <c r="B90" s="141" t="s">
        <v>223</v>
      </c>
      <c r="C90" s="142">
        <v>17241.4</v>
      </c>
      <c r="D90" s="142">
        <v>7662.9</v>
      </c>
      <c r="E90" s="142">
        <f>D90/C90*100</f>
        <v>44.444766666279996</v>
      </c>
      <c r="F90" s="143">
        <v>0</v>
      </c>
      <c r="G90" s="143">
        <v>0</v>
      </c>
      <c r="H90" s="143">
        <v>0</v>
      </c>
      <c r="I90" s="144">
        <f>C90+F90</f>
        <v>17241.4</v>
      </c>
      <c r="J90" s="145">
        <f>D90+G90</f>
        <v>7662.9</v>
      </c>
      <c r="K90" s="146">
        <f>J90/I90*100</f>
        <v>44.444766666279996</v>
      </c>
    </row>
    <row r="91" spans="1:11" ht="30">
      <c r="A91" s="147">
        <v>1006</v>
      </c>
      <c r="B91" s="141" t="s">
        <v>224</v>
      </c>
      <c r="C91" s="142">
        <v>17640.2</v>
      </c>
      <c r="D91" s="142">
        <v>8154.4</v>
      </c>
      <c r="E91" s="142">
        <f t="shared" si="10"/>
        <v>46.22623326266142</v>
      </c>
      <c r="F91" s="143">
        <v>0</v>
      </c>
      <c r="G91" s="143">
        <v>0</v>
      </c>
      <c r="H91" s="143">
        <v>0</v>
      </c>
      <c r="I91" s="144">
        <f>C91+F91</f>
        <v>17640.2</v>
      </c>
      <c r="J91" s="145">
        <f>D91+G91</f>
        <v>8154.4</v>
      </c>
      <c r="K91" s="146">
        <f t="shared" si="9"/>
        <v>46.22623326266142</v>
      </c>
    </row>
    <row r="92" spans="1:11" ht="15">
      <c r="A92" s="164">
        <v>1100</v>
      </c>
      <c r="B92" s="136" t="s">
        <v>225</v>
      </c>
      <c r="C92" s="137">
        <f>SUM(C93:C94)</f>
        <v>32981.7</v>
      </c>
      <c r="D92" s="137">
        <f>SUM(D93:D94)</f>
        <v>17863.2</v>
      </c>
      <c r="E92" s="137">
        <f>D92/C92*100</f>
        <v>54.16094379610512</v>
      </c>
      <c r="F92" s="159">
        <f>F93+F94</f>
        <v>33665.1</v>
      </c>
      <c r="G92" s="159">
        <f>G93+G94</f>
        <v>21713</v>
      </c>
      <c r="H92" s="138">
        <f>G92/F92*100</f>
        <v>64.49706075431233</v>
      </c>
      <c r="I92" s="159">
        <f>SUM(I93:I94)</f>
        <v>66421.79999999999</v>
      </c>
      <c r="J92" s="159">
        <f>SUM(J93:J94)</f>
        <v>39351.2</v>
      </c>
      <c r="K92" s="139">
        <f t="shared" si="9"/>
        <v>59.244404698457444</v>
      </c>
    </row>
    <row r="93" spans="1:11" ht="15">
      <c r="A93" s="147">
        <v>1101</v>
      </c>
      <c r="B93" s="141" t="s">
        <v>226</v>
      </c>
      <c r="C93" s="142">
        <v>32826.7</v>
      </c>
      <c r="D93" s="142">
        <v>17830.7</v>
      </c>
      <c r="E93" s="142">
        <f t="shared" si="10"/>
        <v>54.317674332174725</v>
      </c>
      <c r="F93" s="143">
        <v>33665.1</v>
      </c>
      <c r="G93" s="143">
        <v>21713</v>
      </c>
      <c r="H93" s="143">
        <f>G93/F93*100</f>
        <v>64.49706075431233</v>
      </c>
      <c r="I93" s="144">
        <f>C93+F93-225</f>
        <v>66266.79999999999</v>
      </c>
      <c r="J93" s="144">
        <f>D93+G93-225</f>
        <v>39318.7</v>
      </c>
      <c r="K93" s="146">
        <f t="shared" si="9"/>
        <v>59.33393494178081</v>
      </c>
    </row>
    <row r="94" spans="1:11" ht="15">
      <c r="A94" s="147">
        <v>1102</v>
      </c>
      <c r="B94" s="141" t="s">
        <v>227</v>
      </c>
      <c r="C94" s="142">
        <v>155</v>
      </c>
      <c r="D94" s="142">
        <v>32.5</v>
      </c>
      <c r="E94" s="142">
        <f t="shared" si="10"/>
        <v>20.967741935483872</v>
      </c>
      <c r="F94" s="143"/>
      <c r="G94" s="143">
        <v>0</v>
      </c>
      <c r="H94" s="143"/>
      <c r="I94" s="144">
        <f>C94+F94</f>
        <v>155</v>
      </c>
      <c r="J94" s="144">
        <f>D94+G94</f>
        <v>32.5</v>
      </c>
      <c r="K94" s="146">
        <f t="shared" si="9"/>
        <v>20.967741935483872</v>
      </c>
    </row>
    <row r="95" spans="1:11" ht="15">
      <c r="A95" s="164">
        <v>1200</v>
      </c>
      <c r="B95" s="136" t="s">
        <v>228</v>
      </c>
      <c r="C95" s="137">
        <f>C96</f>
        <v>6781.4</v>
      </c>
      <c r="D95" s="137">
        <f>D96</f>
        <v>6586.1</v>
      </c>
      <c r="E95" s="166">
        <f>D95/C95*100</f>
        <v>97.12006370366002</v>
      </c>
      <c r="F95" s="137">
        <f>F96</f>
        <v>0</v>
      </c>
      <c r="G95" s="137">
        <f>G96</f>
        <v>0</v>
      </c>
      <c r="H95" s="170"/>
      <c r="I95" s="137">
        <f aca="true" t="shared" si="11" ref="I95:J98">C95+F95</f>
        <v>6781.4</v>
      </c>
      <c r="J95" s="137">
        <f t="shared" si="11"/>
        <v>6586.1</v>
      </c>
      <c r="K95" s="149">
        <f t="shared" si="9"/>
        <v>97.12006370366002</v>
      </c>
    </row>
    <row r="96" spans="1:11" ht="15">
      <c r="A96" s="147" t="s">
        <v>229</v>
      </c>
      <c r="B96" s="141" t="s">
        <v>230</v>
      </c>
      <c r="C96" s="142">
        <v>6781.4</v>
      </c>
      <c r="D96" s="142">
        <v>6586.1</v>
      </c>
      <c r="E96" s="142">
        <f>D96/C96*100</f>
        <v>97.12006370366002</v>
      </c>
      <c r="F96" s="143">
        <v>0</v>
      </c>
      <c r="G96" s="143">
        <v>0</v>
      </c>
      <c r="H96" s="143">
        <v>0</v>
      </c>
      <c r="I96" s="144">
        <f t="shared" si="11"/>
        <v>6781.4</v>
      </c>
      <c r="J96" s="144">
        <f t="shared" si="11"/>
        <v>6586.1</v>
      </c>
      <c r="K96" s="146">
        <f>J96/I96*100</f>
        <v>97.12006370366002</v>
      </c>
    </row>
    <row r="97" spans="1:11" ht="28.5">
      <c r="A97" s="164">
        <v>1300</v>
      </c>
      <c r="B97" s="136" t="s">
        <v>231</v>
      </c>
      <c r="C97" s="137">
        <f aca="true" t="shared" si="12" ref="C97:H97">C98</f>
        <v>801</v>
      </c>
      <c r="D97" s="137">
        <f t="shared" si="12"/>
        <v>784.5</v>
      </c>
      <c r="E97" s="137">
        <f t="shared" si="12"/>
        <v>97.94007490636703</v>
      </c>
      <c r="F97" s="137">
        <f t="shared" si="12"/>
        <v>0</v>
      </c>
      <c r="G97" s="137">
        <f t="shared" si="12"/>
        <v>0</v>
      </c>
      <c r="H97" s="148">
        <f t="shared" si="12"/>
        <v>0</v>
      </c>
      <c r="I97" s="137">
        <f t="shared" si="11"/>
        <v>801</v>
      </c>
      <c r="J97" s="137">
        <f t="shared" si="11"/>
        <v>784.5</v>
      </c>
      <c r="K97" s="149">
        <f t="shared" si="9"/>
        <v>97.94007490636703</v>
      </c>
    </row>
    <row r="98" spans="1:11" ht="30">
      <c r="A98" s="147">
        <v>1301</v>
      </c>
      <c r="B98" s="141" t="s">
        <v>232</v>
      </c>
      <c r="C98" s="142">
        <v>801</v>
      </c>
      <c r="D98" s="142">
        <v>784.5</v>
      </c>
      <c r="E98" s="142">
        <f t="shared" si="10"/>
        <v>97.94007490636703</v>
      </c>
      <c r="F98" s="143"/>
      <c r="G98" s="143">
        <v>0</v>
      </c>
      <c r="H98" s="143">
        <v>0</v>
      </c>
      <c r="I98" s="144">
        <f t="shared" si="11"/>
        <v>801</v>
      </c>
      <c r="J98" s="144">
        <f t="shared" si="11"/>
        <v>784.5</v>
      </c>
      <c r="K98" s="146">
        <f t="shared" si="9"/>
        <v>97.94007490636703</v>
      </c>
    </row>
    <row r="99" spans="1:11" ht="14.25">
      <c r="A99" s="164">
        <v>1400</v>
      </c>
      <c r="B99" s="136" t="s">
        <v>233</v>
      </c>
      <c r="C99" s="137">
        <f>SUM(C100:C102)</f>
        <v>318526.69999999995</v>
      </c>
      <c r="D99" s="137">
        <f>SUM(D100:D102)</f>
        <v>194780</v>
      </c>
      <c r="E99" s="137">
        <f>D99/C99*100</f>
        <v>61.15028975592942</v>
      </c>
      <c r="F99" s="159">
        <f>F100+F101+F102</f>
        <v>0</v>
      </c>
      <c r="G99" s="159">
        <f>SUM(G100:G102)</f>
        <v>0</v>
      </c>
      <c r="H99" s="159"/>
      <c r="I99" s="159">
        <v>0</v>
      </c>
      <c r="J99" s="159">
        <v>0</v>
      </c>
      <c r="K99" s="139">
        <v>0</v>
      </c>
    </row>
    <row r="100" spans="1:11" ht="45">
      <c r="A100" s="147">
        <v>1401</v>
      </c>
      <c r="B100" s="141" t="s">
        <v>234</v>
      </c>
      <c r="C100" s="142">
        <v>123158.4</v>
      </c>
      <c r="D100" s="142">
        <v>73894.7</v>
      </c>
      <c r="E100" s="142">
        <f t="shared" si="10"/>
        <v>59.99972393275651</v>
      </c>
      <c r="F100" s="143">
        <v>0</v>
      </c>
      <c r="G100" s="143">
        <v>0</v>
      </c>
      <c r="H100" s="143">
        <v>0</v>
      </c>
      <c r="I100" s="144">
        <v>0</v>
      </c>
      <c r="J100" s="145">
        <v>0</v>
      </c>
      <c r="K100" s="146">
        <v>0</v>
      </c>
    </row>
    <row r="101" spans="1:11" ht="15">
      <c r="A101" s="147">
        <v>1402</v>
      </c>
      <c r="B101" s="141" t="s">
        <v>235</v>
      </c>
      <c r="C101" s="142">
        <v>189568.3</v>
      </c>
      <c r="D101" s="142">
        <v>119385.3</v>
      </c>
      <c r="E101" s="142">
        <f t="shared" si="10"/>
        <v>62.97745983901317</v>
      </c>
      <c r="F101" s="143">
        <v>0</v>
      </c>
      <c r="G101" s="143">
        <v>0</v>
      </c>
      <c r="H101" s="143">
        <v>0</v>
      </c>
      <c r="I101" s="144">
        <v>0</v>
      </c>
      <c r="J101" s="145">
        <v>0</v>
      </c>
      <c r="K101" s="146">
        <v>0</v>
      </c>
    </row>
    <row r="102" spans="1:11" ht="15">
      <c r="A102" s="147">
        <v>1403</v>
      </c>
      <c r="B102" s="141" t="s">
        <v>236</v>
      </c>
      <c r="C102" s="142">
        <v>5800</v>
      </c>
      <c r="D102" s="142">
        <v>1500</v>
      </c>
      <c r="E102" s="142">
        <f t="shared" si="10"/>
        <v>25.862068965517242</v>
      </c>
      <c r="F102" s="143">
        <v>0</v>
      </c>
      <c r="G102" s="143">
        <v>0</v>
      </c>
      <c r="H102" s="143">
        <v>0</v>
      </c>
      <c r="I102" s="144">
        <v>0</v>
      </c>
      <c r="J102" s="145">
        <v>0</v>
      </c>
      <c r="K102" s="146">
        <v>0</v>
      </c>
    </row>
    <row r="103" spans="1:11" ht="15" thickBot="1">
      <c r="A103" s="171" t="s">
        <v>237</v>
      </c>
      <c r="B103" s="172"/>
      <c r="C103" s="173">
        <f>C9+C18+C20+C25+C45+C65+C67+C76+C81+C84+C92+C95+C97+C99</f>
        <v>3619350.4000000004</v>
      </c>
      <c r="D103" s="173">
        <f>D99+D97+D95+D92+D84+D81+D76+D67+D65+D45+D25+D20+D18+D9</f>
        <v>1993291.0000000002</v>
      </c>
      <c r="E103" s="173">
        <f>D103/C103*100</f>
        <v>55.073170036258446</v>
      </c>
      <c r="F103" s="173">
        <f>F9+F18+F20+F25+F45+F65+F67+F76+F81+F84+F92+F95+F97+F99</f>
        <v>643102.7000000001</v>
      </c>
      <c r="G103" s="173">
        <f>G99+G97+G95+G84+G81+G76+G67+G45+G25+G21+G18+G9+G20+G92</f>
        <v>307146.4</v>
      </c>
      <c r="H103" s="174">
        <f>G103/F103*100</f>
        <v>47.76008559752587</v>
      </c>
      <c r="I103" s="173">
        <f>I99+I97+I95+I92+I84+I81+I76+I67+I65+I45+I25+I20+I18+I9</f>
        <v>3833678.9000000004</v>
      </c>
      <c r="J103" s="173">
        <f>J99+J97+J95+J92+J84+J81+J76+J67+J65+J45+J25+J20+J18+J9</f>
        <v>2093467.9000000001</v>
      </c>
      <c r="K103" s="175">
        <f t="shared" si="9"/>
        <v>54.607283359073186</v>
      </c>
    </row>
    <row r="104" spans="1:11" ht="12.75">
      <c r="A104" s="176"/>
      <c r="B104" s="177"/>
      <c r="C104" s="178"/>
      <c r="D104" s="110"/>
      <c r="E104" s="179"/>
      <c r="F104" s="112"/>
      <c r="G104" s="113"/>
      <c r="H104" s="113"/>
      <c r="I104" s="115"/>
      <c r="J104" s="115"/>
      <c r="K104" s="115"/>
    </row>
    <row r="105" spans="1:11" ht="12.75">
      <c r="A105" s="180"/>
      <c r="B105" s="181"/>
      <c r="C105" s="182"/>
      <c r="D105" s="182"/>
      <c r="E105" s="182"/>
      <c r="F105" s="182"/>
      <c r="G105" s="182"/>
      <c r="H105" s="182"/>
      <c r="I105" s="182"/>
      <c r="J105" s="182"/>
      <c r="K105" s="182"/>
    </row>
    <row r="106" spans="1:11" ht="12.75">
      <c r="A106" s="180"/>
      <c r="B106" s="181"/>
      <c r="C106" s="182"/>
      <c r="D106" s="183"/>
      <c r="E106" s="179"/>
      <c r="F106" s="112"/>
      <c r="G106" s="113"/>
      <c r="H106" s="113"/>
      <c r="I106" s="114"/>
      <c r="J106" s="114"/>
      <c r="K106" s="115"/>
    </row>
    <row r="107" spans="1:11" ht="12.75">
      <c r="A107" s="184" t="s">
        <v>238</v>
      </c>
      <c r="B107" s="184"/>
      <c r="C107" s="184"/>
      <c r="D107" s="185"/>
      <c r="E107" s="186"/>
      <c r="F107" s="186"/>
      <c r="G107" s="113"/>
      <c r="H107" s="113"/>
      <c r="I107" s="115"/>
      <c r="J107" s="115"/>
      <c r="K107" s="115"/>
    </row>
    <row r="108" spans="1:11" ht="12.75">
      <c r="A108" s="184" t="s">
        <v>239</v>
      </c>
      <c r="B108" s="184"/>
      <c r="C108" s="184"/>
      <c r="D108" s="187"/>
      <c r="E108" s="188" t="s">
        <v>240</v>
      </c>
      <c r="F108" s="188"/>
      <c r="G108" s="113"/>
      <c r="H108" s="113"/>
      <c r="I108" s="114"/>
      <c r="J108" s="115"/>
      <c r="K108" s="115"/>
    </row>
    <row r="109" spans="1:11" ht="12.75">
      <c r="A109" s="189"/>
      <c r="B109" s="190"/>
      <c r="C109" s="191"/>
      <c r="D109" s="192"/>
      <c r="E109" s="193"/>
      <c r="F109" s="194"/>
      <c r="G109" s="113"/>
      <c r="H109" s="113"/>
      <c r="I109" s="114"/>
      <c r="J109" s="115"/>
      <c r="K109" s="115"/>
    </row>
    <row r="110" spans="1:11" ht="12.75">
      <c r="A110" s="184" t="s">
        <v>241</v>
      </c>
      <c r="B110" s="184"/>
      <c r="C110" s="184"/>
      <c r="D110" s="195"/>
      <c r="E110" s="188" t="s">
        <v>242</v>
      </c>
      <c r="F110" s="188"/>
      <c r="G110" s="113"/>
      <c r="H110" s="113"/>
      <c r="I110" s="114"/>
      <c r="J110" s="115"/>
      <c r="K110" s="115"/>
    </row>
    <row r="111" spans="1:11" ht="12.75">
      <c r="A111" s="189"/>
      <c r="B111" s="196"/>
      <c r="C111" s="197"/>
      <c r="D111" s="198"/>
      <c r="E111" s="193"/>
      <c r="F111" s="194"/>
      <c r="G111" s="113"/>
      <c r="H111" s="113"/>
      <c r="I111" s="114"/>
      <c r="J111" s="115"/>
      <c r="K111" s="115"/>
    </row>
    <row r="112" spans="1:11" ht="12.75">
      <c r="A112" s="184" t="s">
        <v>243</v>
      </c>
      <c r="B112" s="184"/>
      <c r="C112" s="184"/>
      <c r="D112" s="195"/>
      <c r="E112" s="199" t="s">
        <v>244</v>
      </c>
      <c r="F112" s="199"/>
      <c r="G112" s="113"/>
      <c r="H112" s="113"/>
      <c r="I112" s="114"/>
      <c r="J112" s="115"/>
      <c r="K112" s="115"/>
    </row>
    <row r="113" spans="1:11" ht="12.75">
      <c r="A113" s="200"/>
      <c r="B113" s="201"/>
      <c r="C113" s="202"/>
      <c r="D113" s="185"/>
      <c r="E113" s="185"/>
      <c r="F113" s="186"/>
      <c r="G113" s="113"/>
      <c r="H113" s="113"/>
      <c r="I113" s="115"/>
      <c r="J113" s="115"/>
      <c r="K113" s="115"/>
    </row>
    <row r="114" spans="1:6" ht="12.75">
      <c r="A114" s="203"/>
      <c r="B114" s="203"/>
      <c r="C114" s="204" t="s">
        <v>245</v>
      </c>
      <c r="D114" s="205"/>
      <c r="E114" s="206" t="s">
        <v>246</v>
      </c>
      <c r="F114" s="203"/>
    </row>
  </sheetData>
  <sheetProtection/>
  <mergeCells count="35">
    <mergeCell ref="A107:C107"/>
    <mergeCell ref="A108:C108"/>
    <mergeCell ref="E108:F108"/>
    <mergeCell ref="A110:C110"/>
    <mergeCell ref="E110:F110"/>
    <mergeCell ref="A112:C112"/>
    <mergeCell ref="E112:F112"/>
    <mergeCell ref="G20:G21"/>
    <mergeCell ref="H20:H21"/>
    <mergeCell ref="I20:I21"/>
    <mergeCell ref="J20:J21"/>
    <mergeCell ref="K20:K21"/>
    <mergeCell ref="A103:B103"/>
    <mergeCell ref="A20:A21"/>
    <mergeCell ref="B20:B21"/>
    <mergeCell ref="C20:C21"/>
    <mergeCell ref="D20:D21"/>
    <mergeCell ref="E20:E21"/>
    <mergeCell ref="F20:F21"/>
    <mergeCell ref="G4:G5"/>
    <mergeCell ref="H4:H5"/>
    <mergeCell ref="I4:I5"/>
    <mergeCell ref="J4:J5"/>
    <mergeCell ref="K4:K5"/>
    <mergeCell ref="B6:K8"/>
    <mergeCell ref="A1:K1"/>
    <mergeCell ref="A3:A8"/>
    <mergeCell ref="B3:B5"/>
    <mergeCell ref="C3:E3"/>
    <mergeCell ref="F3:H3"/>
    <mergeCell ref="I3:K3"/>
    <mergeCell ref="C4:C5"/>
    <mergeCell ref="D4:D5"/>
    <mergeCell ref="E4:E5"/>
    <mergeCell ref="F4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</dc:creator>
  <cp:keywords/>
  <dc:description/>
  <cp:lastModifiedBy>Заворотынская</cp:lastModifiedBy>
  <cp:lastPrinted>2018-08-07T05:40:00Z</cp:lastPrinted>
  <dcterms:created xsi:type="dcterms:W3CDTF">2006-05-12T06:58:42Z</dcterms:created>
  <dcterms:modified xsi:type="dcterms:W3CDTF">2018-09-18T04:09:06Z</dcterms:modified>
  <cp:category/>
  <cp:version/>
  <cp:contentType/>
  <cp:contentStatus/>
</cp:coreProperties>
</file>