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tabRatio="601" activeTab="1"/>
  </bookViews>
  <sheets>
    <sheet name="доходы" sheetId="1" r:id="rId1"/>
    <sheet name="расходы" sheetId="2" r:id="rId2"/>
  </sheets>
  <definedNames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<sst xmlns="http://schemas.openxmlformats.org/spreadsheetml/2006/main" count="631" uniqueCount="248">
  <si>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</si>
  <si>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</si>
  <si>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</si>
  <si>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</si>
  <si>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</si>
  <si>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</si>
  <si>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</si>
  <si>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</si>
  <si>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</si>
  <si>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</si>
  <si>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</si>
  <si>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</si>
  <si>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</si>
  <si>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</si>
  <si>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</si>
  <si>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</si>
  <si>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</si>
  <si>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</si>
  <si>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</si>
  <si>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</si>
  <si>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</si>
  <si>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</si>
  <si>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 xml:space="preserve">Налоги на прибыль, доходы </t>
  </si>
  <si>
    <t>00010100000000000000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</si>
  <si>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</si>
  <si>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</si>
  <si>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</si>
  <si>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</si>
  <si>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</si>
  <si>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</si>
  <si>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</si>
  <si>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</si>
  <si>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</si>
  <si>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</si>
  <si>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</si>
  <si>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</si>
  <si>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</si>
  <si>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</si>
  <si>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</si>
  <si>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</si>
  <si>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</si>
  <si>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</si>
  <si>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</si>
  <si>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</si>
  <si>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</si>
  <si>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</si>
  <si>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</si>
  <si>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112</t>
  </si>
  <si>
    <t>111</t>
  </si>
  <si>
    <t>108</t>
  </si>
  <si>
    <t>116</t>
  </si>
  <si>
    <t>202</t>
  </si>
  <si>
    <t>207</t>
  </si>
  <si>
    <t>114</t>
  </si>
  <si>
    <t>101</t>
  </si>
  <si>
    <t>105</t>
  </si>
  <si>
    <t>106</t>
  </si>
  <si>
    <t xml:space="preserve"> -</t>
  </si>
  <si>
    <t>113</t>
  </si>
  <si>
    <t>контроль</t>
  </si>
  <si>
    <t>00011500000000000000</t>
  </si>
  <si>
    <t>Административные платежи и сборы</t>
  </si>
  <si>
    <t>=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</si>
  <si>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</si>
  <si>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</si>
  <si>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00021800000000000151</t>
  </si>
  <si>
    <t>00021900000000000000</t>
  </si>
  <si>
    <t>00020200000000000000</t>
  </si>
  <si>
    <t>НАЛОГОВЫЕ И НЕНАЛОГОВЫЕ ДОХОДЫ</t>
  </si>
  <si>
    <t>(тыс.руб.)</t>
  </si>
  <si>
    <t>00010300000000000000</t>
  </si>
  <si>
    <t>Акцизы</t>
  </si>
  <si>
    <t>1 квартал</t>
  </si>
  <si>
    <t>2 квартал</t>
  </si>
  <si>
    <t>3 квартал</t>
  </si>
  <si>
    <t>4 квартал</t>
  </si>
  <si>
    <t>Исполнение на 01.02.2015</t>
  </si>
  <si>
    <t>Исполнение на 01.02.2016</t>
  </si>
  <si>
    <t>Исполнение на 01.02.2017</t>
  </si>
  <si>
    <t>Исполнение на 01.02.2018</t>
  </si>
  <si>
    <t>Исполнение на 01.02.2019</t>
  </si>
  <si>
    <t>План                 на 1 полугодие 2017 года</t>
  </si>
  <si>
    <t xml:space="preserve">% исп-ия к плану на 1 полугодие2017 года </t>
  </si>
  <si>
    <t>Отчет об исполнении консолидированного бюджета Октябрьского района по состоянию на 01.06.2017</t>
  </si>
  <si>
    <t>Исполнение на 01.06.2017</t>
  </si>
  <si>
    <t>План на 2017 год первоначальный</t>
  </si>
  <si>
    <t>План на 2017 год уточненный</t>
  </si>
  <si>
    <t xml:space="preserve">% исп-ия к уточненному плану на 2017год </t>
  </si>
  <si>
    <t xml:space="preserve">% исп-ия к первоначальному плану на 2017 год </t>
  </si>
  <si>
    <t xml:space="preserve">% исп-ия к плану на 1 полугодие 2017 </t>
  </si>
  <si>
    <t>Отчет  об  исполнении  консолидированного  бюджета  района  по  расходам на 1 июня 2017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</si>
  <si>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</si>
  <si>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</si>
  <si>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</si>
  <si>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</si>
  <si>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</si>
  <si>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</si>
  <si>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01.06.2017</t>
  </si>
  <si>
    <t>% исполнения</t>
  </si>
  <si>
    <t>исполнения на 01.06.2017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</si>
  <si>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</si>
  <si>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</si>
  <si>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</si>
  <si>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</si>
  <si>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</si>
  <si>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</si>
  <si>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</si>
  <si>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</si>
  <si>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</si>
  <si>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</si>
  <si>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</si>
  <si>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</si>
  <si>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</si>
  <si>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</si>
  <si>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</si>
  <si>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</si>
  <si>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</si>
  <si>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</si>
  <si>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</si>
  <si>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</si>
  <si>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</si>
  <si>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</si>
  <si>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</si>
  <si>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</si>
  <si>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</si>
  <si>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</si>
  <si>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</si>
  <si>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</si>
  <si>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</si>
  <si>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</si>
  <si>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</si>
  <si>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</si>
  <si>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</si>
  <si>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</si>
  <si>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</si>
  <si>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</si>
  <si>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</si>
  <si>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(1140161100 - район, 4030061100 -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</si>
  <si>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</si>
  <si>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</si>
  <si>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 на 2014-2016  годы" (11101S2390)</t>
  </si>
  <si>
    <t>Муниципальная  программа" Развитие транспортной  системы муниципального  образования Октябрьский  район на 2014-2016  годы"  (1110182390) окружные, местные средства</t>
  </si>
  <si>
    <t>Строительство и реконструкция, капитальный ремонт, ремонт  объектов муниципальной собственности  муниципальной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(1500299990)</t>
  </si>
  <si>
    <t>Содержание автомобильных дорог общего пользования (1110199990) т.с.01.03.01 (дорожный фонд)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</si>
  <si>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</si>
  <si>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</si>
  <si>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</si>
  <si>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</si>
  <si>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Реализация мероприятий муниципальной  программы "Управление  муниципальной  собственностью Октябрьского района на 2014 – 2020 годы" земля (1800299990)</t>
  </si>
  <si>
    <t>Реализация мероприятий муниципальной программы "Поддержка малого и среднего предпринимательства в Октябрьском районе на 2014-2020 годы" (0800299990, 0800199990) местный бюджет</t>
  </si>
  <si>
    <t>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"Развитие  информационного  общества  Октябрьского  района" муниципальной  программы "Развитие  информационного  и гражданского  общества  Октябрьского  района на 2014-2016 годы " (1700182370, 17001S2370)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</si>
  <si>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 на 2014-2020 годы" (0800282380, 0800182380) окружной бюджет</t>
  </si>
  <si>
    <t>Субсидии на реализацию подпрограммы "Градостроительная деятельность" программы "Обеспечение доступным и комфортным жильем жителей муниципального образования Октябрьский район на 2014-2016 годы"(0910299990) местный бюджет</t>
  </si>
  <si>
    <t>Осуществление полномочий по государственному управлению охраной труда (1910184120) тс. 01.30.39</t>
  </si>
  <si>
    <t>Осуществление полномочий по государственному управлению охраной труда (1910199990) местный бюджет</t>
  </si>
  <si>
    <t>Реализация  мероприятий  муниципальной  программы "Осуществление поселком городского  типа функций  административного  центра  муниципального  образования Октябрьский  район на 2014-2016 годы "  (1500199990)</t>
  </si>
  <si>
    <t>05</t>
  </si>
  <si>
    <t>Жилищно-коммунальное хозяйство</t>
  </si>
  <si>
    <t>0501</t>
  </si>
  <si>
    <t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(0910182172, 09101S2172) 01.40.36 и 01.02.00</t>
  </si>
  <si>
    <t>Снос приспособленных для проживания строений (0910342110)</t>
  </si>
  <si>
    <t>Капитальный ремонт жилого фонда (40600S2420,  40600S2430, 4060099990) средства поселений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</si>
  <si>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</si>
  <si>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(водоснабжение, водоотведение) (1020161100)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</si>
  <si>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(теплоснабжение) (1020161100)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</si>
  <si>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</si>
  <si>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(электроснабжение) (1020182240) окружной бюджет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</si>
  <si>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 в рамках  подпрограммы "Обеспечение  равных  прав потребителей на получение  энергетических  ресурсов"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годы" (1020184230)</t>
  </si>
  <si>
    <t>Иные  межбюджетные трансферты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 муниципальной  программы ""Развитие  жилищно-коммунального   комплекса и повышение  энергетической  эффективности в  муниципальном  образовании Октябрьский  район на 2014-2020 годы" (1010182190) ОЗП доля поселения 10101S2190</t>
  </si>
  <si>
    <t>Иные межбюджетные трансферты для компенсации дополнительных расходов, возникших в результате решений, принятых органами власти другого уровня (1020185150)</t>
  </si>
  <si>
    <t>Реконструкция  объектов коммунальной инфраструктуры (1010142110) местный бюджет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</si>
  <si>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(4060061100, 40600221400, 4060021410)</t>
  </si>
  <si>
    <t>Подготовка к зиме (4060099990)</t>
  </si>
  <si>
    <t>Проектирование и строительство систем инженерной инфракструктуры в целях обеспечения инженерной подготовки земельных участков для жилищного строительства (0910442110)</t>
  </si>
  <si>
    <t>0503</t>
  </si>
  <si>
    <t>Иные межбюджетные трансферты на финансирование наказов избирателей депутатам Думы ХМАО-Югры  (4120085160)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</si>
  <si>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(150019990)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</si>
  <si>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</si>
  <si>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(10601R555F)</t>
  </si>
  <si>
    <t>Внешнее благоустройство (4060099990)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</si>
  <si>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</si>
  <si>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</si>
  <si>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</si>
  <si>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</si>
  <si>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</si>
  <si>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</si>
  <si>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</si>
  <si>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</si>
  <si>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</si>
  <si>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</si>
  <si>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(0140482030, 01404S2030) 01.40.18 и местн.</t>
  </si>
  <si>
    <t>0702</t>
  </si>
  <si>
    <t>Общее образование</t>
  </si>
  <si>
    <t>Бесплатное питание (0140284030, 0140282460)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</si>
  <si>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(0140482030) 01.40.18 и местн.</t>
  </si>
  <si>
    <t>0703</t>
  </si>
  <si>
    <t>Дополнительное образование детей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</si>
  <si>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</si>
  <si>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</si>
  <si>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</si>
  <si>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</si>
  <si>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</si>
  <si>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</si>
  <si>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</si>
  <si>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</si>
  <si>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Субсидии на реализацию подпрограммы "Обеспечение прав граждан на доступ к культурным ценностям и информации" муниципальной  программы "Культура Октябрьского  района на 2014-2020 годы" (0360182100) строительство объектов</t>
  </si>
  <si>
    <t>Подпрограмма "Библиотечное дело" (0310182520, 03101S2520)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</si>
  <si>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</si>
  <si>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</si>
  <si>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</si>
  <si>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</si>
  <si>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</si>
  <si>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</si>
  <si>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0909</t>
  </si>
  <si>
    <t>Бюджетные инвестиции в объекты капитального строительства государственной собственности субъектов РФ (1800582010)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</si>
  <si>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</si>
  <si>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</si>
  <si>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</t>
  </si>
  <si>
    <t>1003</t>
  </si>
  <si>
    <t>Субсидии на реализацию подпрограммы "Ликвидация приспособленных для проживания строений, расположенных в местах их сосредоточения в муниципальном образовании Октябрьский район" программы "Обеспечение доступным и комфортным жильем жителей муниципального образования Октябрьский район на 2014-2016 годы" (0910382173, 09103S2173)</t>
  </si>
  <si>
    <t>Субсидии на софинансирование мероприятий подпрограммы "Обеспечение жильем молодых семей" федеральной целевой программы "Жилище" на 2011-2015 годы в рамках подпрограммы "Обеспечение мерами государственной поддержки по улучшению жилищных условий отдельных категорий граждан на 2014-2020 годы" государственной программы "Обеспечение доступным и комфортным жильем жителей ХМАО-Югры в 2014-2020 годах" за счет средств бюджета автономного округа (09201R0200 о/б, 0920150200 ф/б, 09201S0200 доля)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</si>
  <si>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</si>
  <si>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</si>
  <si>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</si>
  <si>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 на 2014-2020 годы" за счет средств автономного округа (13101R0820)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</si>
  <si>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</si>
  <si>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</si>
  <si>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</si>
  <si>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</si>
  <si>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</si>
  <si>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1201</t>
  </si>
  <si>
    <t>Телевидение и радиовещание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</si>
  <si>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</si>
  <si>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</si>
  <si>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</si>
  <si>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</si>
  <si>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</si>
  <si>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</si>
  <si>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</si>
  <si>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</si>
  <si>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</si>
  <si>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</si>
  <si>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</si>
  <si>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Заворотынская Н.А.</t>
  </si>
  <si>
    <t>Заведующий бюджетным отделом</t>
  </si>
  <si>
    <t>Агеева Н.В.</t>
  </si>
  <si>
    <t>Заведующий отделом  доходов</t>
  </si>
  <si>
    <t>Мартюшова О.Г.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</si>
</sst>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_-* #,##0.0_р_._-;\-* #,##0.0_р_._-;_-* &quot;-&quot;?_р_._-;_-@_-"/>
  </numFmts>
  <fonts count="61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0"/>
      <name val="Arial"/>
      <family val="2"/>
    </font>
    <font>
      <sz val="11"/>
      <color indexed="18"/>
      <name val="Times New Roman"/>
      <family val="1"/>
    </font>
    <font>
      <sz val="10"/>
      <color indexed="8"/>
      <name val="Times New Roman"/>
      <family val="1"/>
    </font>
    <font>
      <b/>
      <sz val="11"/>
      <color indexed="36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1"/>
      <color theme="3" tint="-0.24997000396251678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6" fontId="7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176" fontId="7" fillId="0" borderId="0" xfId="0" applyNumberFormat="1" applyFont="1" applyFill="1" applyAlignment="1">
      <alignment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176" fontId="5" fillId="0" borderId="16" xfId="0" applyNumberFormat="1" applyFont="1" applyFill="1" applyBorder="1" applyAlignment="1">
      <alignment horizontal="right" vertical="top"/>
    </xf>
    <xf numFmtId="176" fontId="5" fillId="0" borderId="16" xfId="0" applyNumberFormat="1" applyFont="1" applyFill="1" applyBorder="1" applyAlignment="1">
      <alignment vertical="top"/>
    </xf>
    <xf numFmtId="49" fontId="2" fillId="0" borderId="15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 shrinkToFit="1"/>
    </xf>
    <xf numFmtId="176" fontId="5" fillId="0" borderId="14" xfId="0" applyNumberFormat="1" applyFont="1" applyFill="1" applyBorder="1" applyAlignment="1">
      <alignment horizontal="right" vertical="top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176" fontId="4" fillId="0" borderId="16" xfId="0" applyNumberFormat="1" applyFont="1" applyFill="1" applyBorder="1" applyAlignment="1">
      <alignment vertical="top"/>
    </xf>
    <xf numFmtId="49" fontId="1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/>
    </xf>
    <xf numFmtId="176" fontId="4" fillId="0" borderId="14" xfId="0" applyNumberFormat="1" applyFont="1" applyFill="1" applyBorder="1" applyAlignment="1">
      <alignment horizontal="right" vertical="top"/>
    </xf>
    <xf numFmtId="0" fontId="2" fillId="0" borderId="16" xfId="0" applyFont="1" applyFill="1" applyBorder="1" applyAlignment="1">
      <alignment vertical="top" wrapText="1"/>
    </xf>
    <xf numFmtId="49" fontId="5" fillId="0" borderId="16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/>
    </xf>
    <xf numFmtId="176" fontId="1" fillId="0" borderId="16" xfId="0" applyNumberFormat="1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vertical="top"/>
    </xf>
    <xf numFmtId="49" fontId="1" fillId="0" borderId="16" xfId="0" applyNumberFormat="1" applyFont="1" applyFill="1" applyBorder="1" applyAlignment="1">
      <alignment horizontal="center" vertical="top" wrapText="1"/>
    </xf>
    <xf numFmtId="176" fontId="4" fillId="0" borderId="16" xfId="0" applyNumberFormat="1" applyFont="1" applyFill="1" applyBorder="1" applyAlignment="1">
      <alignment horizontal="right" vertical="top"/>
    </xf>
    <xf numFmtId="0" fontId="2" fillId="0" borderId="14" xfId="0" applyFont="1" applyFill="1" applyBorder="1" applyAlignment="1">
      <alignment vertical="top" wrapText="1"/>
    </xf>
    <xf numFmtId="176" fontId="5" fillId="0" borderId="14" xfId="0" applyNumberFormat="1" applyFont="1" applyFill="1" applyBorder="1" applyAlignment="1">
      <alignment vertical="top"/>
    </xf>
    <xf numFmtId="176" fontId="2" fillId="0" borderId="16" xfId="0" applyNumberFormat="1" applyFont="1" applyFill="1" applyBorder="1" applyAlignment="1">
      <alignment horizontal="right" vertical="top" wrapText="1"/>
    </xf>
    <xf numFmtId="176" fontId="4" fillId="0" borderId="12" xfId="0" applyNumberFormat="1" applyFont="1" applyFill="1" applyBorder="1" applyAlignment="1">
      <alignment vertical="top"/>
    </xf>
    <xf numFmtId="176" fontId="4" fillId="0" borderId="0" xfId="0" applyNumberFormat="1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15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177" fontId="5" fillId="0" borderId="16" xfId="0" applyNumberFormat="1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left" vertical="top"/>
    </xf>
    <xf numFmtId="49" fontId="5" fillId="0" borderId="11" xfId="0" applyNumberFormat="1" applyFont="1" applyFill="1" applyBorder="1" applyAlignment="1">
      <alignment horizontal="left" vertical="top"/>
    </xf>
    <xf numFmtId="176" fontId="2" fillId="0" borderId="16" xfId="0" applyNumberFormat="1" applyFont="1" applyFill="1" applyBorder="1" applyAlignment="1">
      <alignment horizontal="righ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176" fontId="5" fillId="0" borderId="11" xfId="0" applyNumberFormat="1" applyFont="1" applyFill="1" applyBorder="1" applyAlignment="1">
      <alignment horizontal="right" vertical="top"/>
    </xf>
    <xf numFmtId="0" fontId="4" fillId="0" borderId="16" xfId="0" applyFont="1" applyFill="1" applyBorder="1" applyAlignment="1">
      <alignment horizontal="left" vertical="top"/>
    </xf>
    <xf numFmtId="0" fontId="5" fillId="0" borderId="0" xfId="0" applyFont="1" applyFill="1" applyAlignment="1">
      <alignment vertical="top"/>
    </xf>
    <xf numFmtId="176" fontId="5" fillId="0" borderId="0" xfId="0" applyNumberFormat="1" applyFont="1" applyFill="1" applyAlignment="1">
      <alignment vertical="top"/>
    </xf>
    <xf numFmtId="0" fontId="5" fillId="0" borderId="16" xfId="0" applyFont="1" applyFill="1" applyBorder="1" applyAlignment="1">
      <alignment vertical="top"/>
    </xf>
    <xf numFmtId="0" fontId="0" fillId="33" borderId="0" xfId="0" applyFill="1" applyAlignment="1">
      <alignment horizontal="right"/>
    </xf>
    <xf numFmtId="176" fontId="2" fillId="0" borderId="16" xfId="0" applyNumberFormat="1" applyFont="1" applyFill="1" applyBorder="1" applyAlignment="1">
      <alignment vertical="top" wrapText="1"/>
    </xf>
    <xf numFmtId="176" fontId="2" fillId="0" borderId="16" xfId="0" applyNumberFormat="1" applyFont="1" applyFill="1" applyBorder="1" applyAlignment="1">
      <alignment vertical="top"/>
    </xf>
    <xf numFmtId="176" fontId="2" fillId="0" borderId="16" xfId="0" applyNumberFormat="1" applyFont="1" applyFill="1" applyBorder="1" applyAlignment="1">
      <alignment vertical="top" wrapText="1" shrinkToFit="1"/>
    </xf>
    <xf numFmtId="176" fontId="2" fillId="0" borderId="14" xfId="0" applyNumberFormat="1" applyFont="1" applyFill="1" applyBorder="1" applyAlignment="1">
      <alignment vertical="top" wrapText="1"/>
    </xf>
    <xf numFmtId="176" fontId="2" fillId="0" borderId="16" xfId="0" applyNumberFormat="1" applyFont="1" applyFill="1" applyBorder="1" applyAlignment="1">
      <alignment horizontal="right" vertical="top" wrapText="1" shrinkToFit="1"/>
    </xf>
    <xf numFmtId="176" fontId="2" fillId="0" borderId="14" xfId="0" applyNumberFormat="1" applyFont="1" applyFill="1" applyBorder="1" applyAlignment="1">
      <alignment horizontal="right" vertical="top" wrapText="1"/>
    </xf>
    <xf numFmtId="176" fontId="1" fillId="0" borderId="17" xfId="0" applyNumberFormat="1" applyFont="1" applyFill="1" applyBorder="1" applyAlignment="1">
      <alignment horizontal="right" vertical="top" wrapText="1"/>
    </xf>
    <xf numFmtId="176" fontId="2" fillId="0" borderId="16" xfId="0" applyNumberFormat="1" applyFont="1" applyFill="1" applyBorder="1" applyAlignment="1">
      <alignment horizontal="right" vertical="top"/>
    </xf>
    <xf numFmtId="176" fontId="2" fillId="0" borderId="15" xfId="0" applyNumberFormat="1" applyFont="1" applyFill="1" applyBorder="1" applyAlignment="1">
      <alignment horizontal="right" vertical="top" wrapText="1"/>
    </xf>
    <xf numFmtId="176" fontId="1" fillId="0" borderId="16" xfId="0" applyNumberFormat="1" applyFont="1" applyFill="1" applyBorder="1" applyAlignment="1">
      <alignment vertical="top" wrapText="1"/>
    </xf>
    <xf numFmtId="176" fontId="0" fillId="0" borderId="0" xfId="0" applyNumberFormat="1" applyFill="1" applyAlignment="1">
      <alignment vertical="top" wrapText="1"/>
    </xf>
    <xf numFmtId="49" fontId="2" fillId="0" borderId="16" xfId="0" applyNumberFormat="1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top"/>
    </xf>
    <xf numFmtId="4" fontId="2" fillId="0" borderId="16" xfId="0" applyNumberFormat="1" applyFont="1" applyFill="1" applyBorder="1" applyAlignment="1">
      <alignment vertical="top" wrapText="1"/>
    </xf>
    <xf numFmtId="4" fontId="2" fillId="0" borderId="15" xfId="0" applyNumberFormat="1" applyFont="1" applyFill="1" applyBorder="1" applyAlignment="1">
      <alignment vertical="top" wrapText="1"/>
    </xf>
    <xf numFmtId="4" fontId="2" fillId="0" borderId="15" xfId="0" applyNumberFormat="1" applyFont="1" applyFill="1" applyBorder="1" applyAlignment="1">
      <alignment vertical="top" wrapText="1" shrinkToFit="1"/>
    </xf>
    <xf numFmtId="4" fontId="2" fillId="0" borderId="16" xfId="0" applyNumberFormat="1" applyFont="1" applyFill="1" applyBorder="1" applyAlignment="1">
      <alignment horizontal="right" vertical="top" wrapText="1"/>
    </xf>
    <xf numFmtId="4" fontId="2" fillId="0" borderId="16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vertical="top"/>
    </xf>
    <xf numFmtId="176" fontId="5" fillId="0" borderId="13" xfId="0" applyNumberFormat="1" applyFont="1" applyFill="1" applyBorder="1" applyAlignment="1">
      <alignment horizontal="right" vertical="top"/>
    </xf>
    <xf numFmtId="176" fontId="2" fillId="0" borderId="15" xfId="0" applyNumberFormat="1" applyFont="1" applyFill="1" applyBorder="1" applyAlignment="1">
      <alignment vertical="top" wrapText="1"/>
    </xf>
    <xf numFmtId="176" fontId="1" fillId="0" borderId="16" xfId="0" applyNumberFormat="1" applyFont="1" applyFill="1" applyBorder="1" applyAlignment="1">
      <alignment vertical="top"/>
    </xf>
    <xf numFmtId="177" fontId="5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76" fontId="7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176" fontId="4" fillId="0" borderId="18" xfId="0" applyNumberFormat="1" applyFont="1" applyFill="1" applyBorder="1" applyAlignment="1">
      <alignment horizontal="center" vertical="top"/>
    </xf>
    <xf numFmtId="176" fontId="4" fillId="0" borderId="19" xfId="0" applyNumberFormat="1" applyFont="1" applyFill="1" applyBorder="1" applyAlignment="1">
      <alignment horizontal="center" vertical="top"/>
    </xf>
    <xf numFmtId="170" fontId="2" fillId="0" borderId="10" xfId="42" applyFont="1" applyFill="1" applyBorder="1" applyAlignment="1">
      <alignment horizontal="center" vertical="top" wrapText="1"/>
    </xf>
    <xf numFmtId="170" fontId="2" fillId="0" borderId="18" xfId="42" applyFont="1" applyFill="1" applyBorder="1" applyAlignment="1">
      <alignment horizontal="center" vertical="top" wrapText="1"/>
    </xf>
    <xf numFmtId="170" fontId="2" fillId="0" borderId="19" xfId="42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25" fillId="0" borderId="0" xfId="53" applyNumberFormat="1" applyFont="1" applyAlignment="1">
      <alignment horizontal="center" vertical="center" wrapText="1"/>
      <protection/>
    </xf>
    <xf numFmtId="49" fontId="26" fillId="0" borderId="0" xfId="53" applyNumberFormat="1" applyFont="1" applyAlignment="1">
      <alignment horizontal="center" vertical="center" wrapText="1"/>
      <protection/>
    </xf>
    <xf numFmtId="0" fontId="26" fillId="0" borderId="0" xfId="53" applyNumberFormat="1" applyFont="1" applyAlignment="1">
      <alignment horizontal="left" vertical="center" wrapText="1"/>
      <protection/>
    </xf>
    <xf numFmtId="184" fontId="58" fillId="0" borderId="0" xfId="53" applyNumberFormat="1" applyFont="1" applyFill="1" applyAlignment="1">
      <alignment horizontal="center" vertical="center" wrapText="1"/>
      <protection/>
    </xf>
    <xf numFmtId="184" fontId="28" fillId="0" borderId="0" xfId="53" applyNumberFormat="1" applyFont="1" applyFill="1" applyBorder="1" applyAlignment="1">
      <alignment horizontal="center" vertical="center" wrapText="1"/>
      <protection/>
    </xf>
    <xf numFmtId="184" fontId="28" fillId="0" borderId="0" xfId="53" applyNumberFormat="1" applyFont="1" applyFill="1" applyAlignment="1">
      <alignment horizontal="center" vertical="center" wrapText="1"/>
      <protection/>
    </xf>
    <xf numFmtId="184" fontId="28" fillId="0" borderId="0" xfId="0" applyNumberFormat="1" applyFont="1" applyFill="1" applyAlignment="1">
      <alignment horizontal="center" vertical="center" wrapText="1"/>
    </xf>
    <xf numFmtId="184" fontId="28" fillId="0" borderId="0" xfId="0" applyNumberFormat="1" applyFont="1" applyAlignment="1">
      <alignment horizontal="center" vertical="center" wrapText="1"/>
    </xf>
    <xf numFmtId="184" fontId="29" fillId="0" borderId="0" xfId="0" applyNumberFormat="1" applyFont="1" applyFill="1" applyAlignment="1">
      <alignment horizontal="center" vertical="center" wrapText="1"/>
    </xf>
    <xf numFmtId="184" fontId="29" fillId="0" borderId="0" xfId="0" applyNumberFormat="1" applyFont="1" applyAlignment="1">
      <alignment horizontal="center" vertical="center" wrapText="1"/>
    </xf>
    <xf numFmtId="49" fontId="30" fillId="0" borderId="22" xfId="53" applyNumberFormat="1" applyFont="1" applyBorder="1" applyAlignment="1">
      <alignment horizontal="center" vertical="center" wrapText="1"/>
      <protection/>
    </xf>
    <xf numFmtId="0" fontId="30" fillId="0" borderId="23" xfId="53" applyNumberFormat="1" applyFont="1" applyBorder="1" applyAlignment="1">
      <alignment horizontal="center" vertical="center" wrapText="1"/>
      <protection/>
    </xf>
    <xf numFmtId="184" fontId="31" fillId="0" borderId="23" xfId="53" applyNumberFormat="1" applyFont="1" applyFill="1" applyBorder="1" applyAlignment="1">
      <alignment horizontal="center" vertical="center" wrapText="1"/>
      <protection/>
    </xf>
    <xf numFmtId="184" fontId="31" fillId="0" borderId="23" xfId="0" applyNumberFormat="1" applyFont="1" applyBorder="1" applyAlignment="1">
      <alignment horizontal="center" vertical="center" wrapText="1"/>
    </xf>
    <xf numFmtId="184" fontId="32" fillId="0" borderId="23" xfId="0" applyNumberFormat="1" applyFont="1" applyFill="1" applyBorder="1" applyAlignment="1">
      <alignment horizontal="center" vertical="center" wrapText="1"/>
    </xf>
    <xf numFmtId="184" fontId="32" fillId="0" borderId="24" xfId="0" applyNumberFormat="1" applyFont="1" applyFill="1" applyBorder="1" applyAlignment="1">
      <alignment horizontal="center" vertical="center" wrapText="1"/>
    </xf>
    <xf numFmtId="49" fontId="30" fillId="0" borderId="25" xfId="53" applyNumberFormat="1" applyFont="1" applyBorder="1" applyAlignment="1">
      <alignment horizontal="center" vertical="center" wrapText="1"/>
      <protection/>
    </xf>
    <xf numFmtId="0" fontId="30" fillId="0" borderId="16" xfId="53" applyNumberFormat="1" applyFont="1" applyBorder="1" applyAlignment="1">
      <alignment horizontal="center" vertical="center" wrapText="1"/>
      <protection/>
    </xf>
    <xf numFmtId="184" fontId="31" fillId="0" borderId="16" xfId="53" applyNumberFormat="1" applyFont="1" applyFill="1" applyBorder="1" applyAlignment="1">
      <alignment horizontal="center" vertical="center" wrapText="1"/>
      <protection/>
    </xf>
    <xf numFmtId="184" fontId="31" fillId="0" borderId="16" xfId="53" applyNumberFormat="1" applyFont="1" applyBorder="1" applyAlignment="1">
      <alignment horizontal="center" vertical="center" wrapText="1"/>
      <protection/>
    </xf>
    <xf numFmtId="184" fontId="32" fillId="0" borderId="16" xfId="53" applyNumberFormat="1" applyFont="1" applyFill="1" applyBorder="1" applyAlignment="1">
      <alignment horizontal="center" vertical="center" wrapText="1"/>
      <protection/>
    </xf>
    <xf numFmtId="184" fontId="32" fillId="0" borderId="16" xfId="53" applyNumberFormat="1" applyFont="1" applyBorder="1" applyAlignment="1">
      <alignment horizontal="center" vertical="center" wrapText="1"/>
      <protection/>
    </xf>
    <xf numFmtId="184" fontId="32" fillId="0" borderId="26" xfId="53" applyNumberFormat="1" applyFont="1" applyBorder="1" applyAlignment="1">
      <alignment horizontal="center" vertical="center" wrapText="1"/>
      <protection/>
    </xf>
    <xf numFmtId="184" fontId="31" fillId="0" borderId="16" xfId="0" applyNumberFormat="1" applyFont="1" applyBorder="1" applyAlignment="1">
      <alignment horizontal="center" vertical="center" wrapText="1"/>
    </xf>
    <xf numFmtId="184" fontId="33" fillId="0" borderId="16" xfId="0" applyNumberFormat="1" applyFont="1" applyBorder="1" applyAlignment="1">
      <alignment horizontal="center" vertical="center"/>
    </xf>
    <xf numFmtId="184" fontId="32" fillId="0" borderId="16" xfId="0" applyNumberFormat="1" applyFont="1" applyBorder="1" applyAlignment="1">
      <alignment horizontal="center" vertical="center" wrapText="1"/>
    </xf>
    <xf numFmtId="184" fontId="32" fillId="0" borderId="26" xfId="0" applyNumberFormat="1" applyFont="1" applyBorder="1" applyAlignment="1">
      <alignment horizontal="center" vertical="center" wrapText="1"/>
    </xf>
    <xf numFmtId="0" fontId="34" fillId="0" borderId="16" xfId="53" applyNumberFormat="1" applyFont="1" applyFill="1" applyBorder="1" applyAlignment="1">
      <alignment horizontal="center" vertical="center" wrapText="1"/>
      <protection/>
    </xf>
    <xf numFmtId="0" fontId="34" fillId="0" borderId="26" xfId="53" applyNumberFormat="1" applyFont="1" applyFill="1" applyBorder="1" applyAlignment="1">
      <alignment horizontal="center" vertical="center" wrapText="1"/>
      <protection/>
    </xf>
    <xf numFmtId="49" fontId="34" fillId="34" borderId="25" xfId="53" applyNumberFormat="1" applyFont="1" applyFill="1" applyBorder="1" applyAlignment="1" quotePrefix="1">
      <alignment horizontal="center" vertical="center" wrapText="1"/>
      <protection/>
    </xf>
    <xf numFmtId="0" fontId="34" fillId="34" borderId="16" xfId="53" applyNumberFormat="1" applyFont="1" applyFill="1" applyBorder="1" applyAlignment="1">
      <alignment horizontal="left" vertical="center" wrapText="1"/>
      <protection/>
    </xf>
    <xf numFmtId="184" fontId="32" fillId="34" borderId="16" xfId="53" applyNumberFormat="1" applyFont="1" applyFill="1" applyBorder="1" applyAlignment="1">
      <alignment horizontal="center" vertical="center" wrapText="1"/>
      <protection/>
    </xf>
    <xf numFmtId="184" fontId="31" fillId="34" borderId="16" xfId="0" applyNumberFormat="1" applyFont="1" applyFill="1" applyBorder="1" applyAlignment="1">
      <alignment horizontal="center" vertical="center" wrapText="1"/>
    </xf>
    <xf numFmtId="184" fontId="32" fillId="34" borderId="26" xfId="0" applyNumberFormat="1" applyFont="1" applyFill="1" applyBorder="1" applyAlignment="1">
      <alignment horizontal="center" vertical="center" wrapText="1"/>
    </xf>
    <xf numFmtId="49" fontId="30" fillId="0" borderId="25" xfId="53" applyNumberFormat="1" applyFont="1" applyFill="1" applyBorder="1" applyAlignment="1" quotePrefix="1">
      <alignment horizontal="center" vertical="center" wrapText="1"/>
      <protection/>
    </xf>
    <xf numFmtId="0" fontId="30" fillId="0" borderId="16" xfId="53" applyNumberFormat="1" applyFont="1" applyFill="1" applyBorder="1" applyAlignment="1">
      <alignment horizontal="left" vertical="center" wrapText="1"/>
      <protection/>
    </xf>
    <xf numFmtId="184" fontId="31" fillId="0" borderId="16" xfId="53" applyNumberFormat="1" applyFont="1" applyFill="1" applyBorder="1" applyAlignment="1">
      <alignment horizontal="center" vertical="center" wrapText="1"/>
      <protection/>
    </xf>
    <xf numFmtId="184" fontId="31" fillId="0" borderId="16" xfId="0" applyNumberFormat="1" applyFont="1" applyFill="1" applyBorder="1" applyAlignment="1">
      <alignment horizontal="center" vertical="center" wrapText="1"/>
    </xf>
    <xf numFmtId="184" fontId="32" fillId="0" borderId="16" xfId="0" applyNumberFormat="1" applyFont="1" applyFill="1" applyBorder="1" applyAlignment="1">
      <alignment horizontal="center" vertical="center" wrapText="1"/>
    </xf>
    <xf numFmtId="184" fontId="32" fillId="0" borderId="16" xfId="0" applyNumberFormat="1" applyFont="1" applyBorder="1" applyAlignment="1">
      <alignment horizontal="center" vertical="center" wrapText="1"/>
    </xf>
    <xf numFmtId="184" fontId="32" fillId="0" borderId="26" xfId="0" applyNumberFormat="1" applyFont="1" applyFill="1" applyBorder="1" applyAlignment="1">
      <alignment horizontal="center" vertical="center" wrapText="1"/>
    </xf>
    <xf numFmtId="0" fontId="32" fillId="0" borderId="26" xfId="0" applyNumberFormat="1" applyFont="1" applyFill="1" applyBorder="1" applyAlignment="1">
      <alignment horizontal="center" vertical="center" wrapText="1"/>
    </xf>
    <xf numFmtId="49" fontId="30" fillId="0" borderId="25" xfId="53" applyNumberFormat="1" applyFont="1" applyFill="1" applyBorder="1" applyAlignment="1">
      <alignment horizontal="center" vertical="center" wrapText="1"/>
      <protection/>
    </xf>
    <xf numFmtId="184" fontId="31" fillId="34" borderId="16" xfId="53" applyNumberFormat="1" applyFont="1" applyFill="1" applyBorder="1" applyAlignment="1">
      <alignment horizontal="center" vertical="center" wrapText="1"/>
      <protection/>
    </xf>
    <xf numFmtId="184" fontId="32" fillId="34" borderId="26" xfId="53" applyNumberFormat="1" applyFont="1" applyFill="1" applyBorder="1" applyAlignment="1">
      <alignment horizontal="center" vertical="center" wrapText="1"/>
      <protection/>
    </xf>
    <xf numFmtId="49" fontId="34" fillId="34" borderId="25" xfId="53" applyNumberFormat="1" applyFont="1" applyFill="1" applyBorder="1" applyAlignment="1" quotePrefix="1">
      <alignment horizontal="center" vertical="center" wrapText="1"/>
      <protection/>
    </xf>
    <xf numFmtId="0" fontId="34" fillId="34" borderId="16" xfId="53" applyNumberFormat="1" applyFont="1" applyFill="1" applyBorder="1" applyAlignment="1">
      <alignment horizontal="left" vertical="center" wrapText="1"/>
      <protection/>
    </xf>
    <xf numFmtId="184" fontId="32" fillId="35" borderId="16" xfId="53" applyNumberFormat="1" applyFont="1" applyFill="1" applyBorder="1" applyAlignment="1">
      <alignment horizontal="center" vertical="center" wrapText="1"/>
      <protection/>
    </xf>
    <xf numFmtId="0" fontId="30" fillId="33" borderId="16" xfId="53" applyNumberFormat="1" applyFont="1" applyFill="1" applyBorder="1" applyAlignment="1">
      <alignment horizontal="left" vertical="center" wrapText="1"/>
      <protection/>
    </xf>
    <xf numFmtId="0" fontId="31" fillId="0" borderId="16" xfId="52" applyNumberFormat="1" applyFont="1" applyFill="1" applyBorder="1" applyAlignment="1" applyProtection="1">
      <alignment horizontal="left" vertical="center" wrapText="1"/>
      <protection hidden="1"/>
    </xf>
    <xf numFmtId="184" fontId="31" fillId="36" borderId="16" xfId="53" applyNumberFormat="1" applyFont="1" applyFill="1" applyBorder="1" applyAlignment="1">
      <alignment horizontal="center" vertical="center" wrapText="1"/>
      <protection/>
    </xf>
    <xf numFmtId="184" fontId="31" fillId="36" borderId="16" xfId="0" applyNumberFormat="1" applyFont="1" applyFill="1" applyBorder="1" applyAlignment="1">
      <alignment horizontal="center" vertical="center" wrapText="1"/>
    </xf>
    <xf numFmtId="184" fontId="32" fillId="35" borderId="16" xfId="53" applyNumberFormat="1" applyFont="1" applyFill="1" applyBorder="1" applyAlignment="1">
      <alignment horizontal="center" vertical="center" wrapText="1"/>
      <protection/>
    </xf>
    <xf numFmtId="184" fontId="32" fillId="34" borderId="16" xfId="0" applyNumberFormat="1" applyFont="1" applyFill="1" applyBorder="1" applyAlignment="1">
      <alignment horizontal="center" vertical="center" wrapText="1"/>
    </xf>
    <xf numFmtId="184" fontId="59" fillId="0" borderId="16" xfId="53" applyNumberFormat="1" applyFont="1" applyFill="1" applyBorder="1" applyAlignment="1">
      <alignment horizontal="center" vertical="center" wrapText="1"/>
      <protection/>
    </xf>
    <xf numFmtId="0" fontId="37" fillId="0" borderId="16" xfId="53" applyNumberFormat="1" applyFont="1" applyFill="1" applyBorder="1" applyAlignment="1">
      <alignment horizontal="left" vertical="center" wrapText="1"/>
      <protection/>
    </xf>
    <xf numFmtId="177" fontId="32" fillId="0" borderId="26" xfId="0" applyNumberFormat="1" applyFont="1" applyFill="1" applyBorder="1" applyAlignment="1">
      <alignment horizontal="center" vertical="center" wrapText="1"/>
    </xf>
    <xf numFmtId="49" fontId="34" fillId="34" borderId="25" xfId="53" applyNumberFormat="1" applyFont="1" applyFill="1" applyBorder="1" applyAlignment="1">
      <alignment horizontal="center" vertical="center" wrapText="1"/>
      <protection/>
    </xf>
    <xf numFmtId="0" fontId="34" fillId="34" borderId="16" xfId="0" applyNumberFormat="1" applyFont="1" applyFill="1" applyBorder="1" applyAlignment="1">
      <alignment horizontal="left" vertical="center" wrapText="1"/>
    </xf>
    <xf numFmtId="0" fontId="30" fillId="0" borderId="16" xfId="0" applyNumberFormat="1" applyFont="1" applyFill="1" applyBorder="1" applyAlignment="1">
      <alignment horizontal="left" vertical="center" wrapText="1"/>
    </xf>
    <xf numFmtId="0" fontId="31" fillId="0" borderId="16" xfId="53" applyNumberFormat="1" applyFont="1" applyFill="1" applyBorder="1" applyAlignment="1">
      <alignment horizontal="left" vertical="center" wrapText="1"/>
      <protection/>
    </xf>
    <xf numFmtId="49" fontId="31" fillId="0" borderId="25" xfId="53" applyNumberFormat="1" applyFont="1" applyFill="1" applyBorder="1" applyAlignment="1">
      <alignment horizontal="center" vertical="center" wrapText="1"/>
      <protection/>
    </xf>
    <xf numFmtId="184" fontId="31" fillId="35" borderId="16" xfId="53" applyNumberFormat="1" applyFont="1" applyFill="1" applyBorder="1" applyAlignment="1">
      <alignment horizontal="center" vertical="center" wrapText="1"/>
      <protection/>
    </xf>
    <xf numFmtId="184" fontId="31" fillId="35" borderId="16" xfId="0" applyNumberFormat="1" applyFont="1" applyFill="1" applyBorder="1" applyAlignment="1">
      <alignment horizontal="center" vertical="center" wrapText="1"/>
    </xf>
    <xf numFmtId="0" fontId="38" fillId="6" borderId="27" xfId="53" applyNumberFormat="1" applyFont="1" applyFill="1" applyBorder="1" applyAlignment="1">
      <alignment horizontal="center" vertical="center" wrapText="1"/>
      <protection/>
    </xf>
    <xf numFmtId="0" fontId="38" fillId="6" borderId="28" xfId="53" applyNumberFormat="1" applyFont="1" applyFill="1" applyBorder="1" applyAlignment="1">
      <alignment horizontal="center" vertical="center" wrapText="1"/>
      <protection/>
    </xf>
    <xf numFmtId="184" fontId="32" fillId="6" borderId="28" xfId="53" applyNumberFormat="1" applyFont="1" applyFill="1" applyBorder="1" applyAlignment="1">
      <alignment horizontal="center" vertical="center" wrapText="1"/>
      <protection/>
    </xf>
    <xf numFmtId="184" fontId="32" fillId="6" borderId="28" xfId="0" applyNumberFormat="1" applyFont="1" applyFill="1" applyBorder="1" applyAlignment="1">
      <alignment horizontal="center" vertical="center" wrapText="1"/>
    </xf>
    <xf numFmtId="184" fontId="32" fillId="6" borderId="29" xfId="0" applyNumberFormat="1" applyFont="1" applyFill="1" applyBorder="1" applyAlignment="1">
      <alignment horizontal="center" vertical="center" wrapText="1"/>
    </xf>
    <xf numFmtId="49" fontId="26" fillId="0" borderId="0" xfId="53" applyNumberFormat="1" applyFont="1" applyFill="1" applyBorder="1" applyAlignment="1">
      <alignment horizontal="center" vertical="center" wrapText="1"/>
      <protection/>
    </xf>
    <xf numFmtId="0" fontId="26" fillId="0" borderId="0" xfId="53" applyNumberFormat="1" applyFont="1" applyFill="1" applyBorder="1" applyAlignment="1">
      <alignment horizontal="left" vertical="center" wrapText="1"/>
      <protection/>
    </xf>
    <xf numFmtId="184" fontId="58" fillId="0" borderId="0" xfId="53" applyNumberFormat="1" applyFont="1" applyFill="1" applyBorder="1" applyAlignment="1">
      <alignment horizontal="center" vertical="center" wrapText="1"/>
      <protection/>
    </xf>
    <xf numFmtId="184" fontId="29" fillId="0" borderId="0" xfId="53" applyNumberFormat="1" applyFont="1" applyFill="1" applyBorder="1" applyAlignment="1">
      <alignment horizontal="center" vertical="center" wrapText="1"/>
      <protection/>
    </xf>
    <xf numFmtId="49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left" vertical="center" wrapText="1"/>
    </xf>
    <xf numFmtId="184" fontId="58" fillId="0" borderId="0" xfId="0" applyNumberFormat="1" applyFont="1" applyFill="1" applyBorder="1" applyAlignment="1">
      <alignment horizontal="center" vertical="center" wrapText="1"/>
    </xf>
    <xf numFmtId="184" fontId="28" fillId="0" borderId="0" xfId="0" applyNumberFormat="1" applyFont="1" applyFill="1" applyBorder="1" applyAlignment="1">
      <alignment horizontal="center" vertical="center" wrapText="1"/>
    </xf>
    <xf numFmtId="0" fontId="37" fillId="0" borderId="0" xfId="53" applyNumberFormat="1" applyFont="1" applyFill="1" applyBorder="1" applyAlignment="1">
      <alignment horizontal="right" vertical="center" wrapText="1"/>
      <protection/>
    </xf>
    <xf numFmtId="184" fontId="39" fillId="0" borderId="0" xfId="0" applyNumberFormat="1" applyFont="1" applyFill="1" applyAlignment="1">
      <alignment horizontal="center" vertical="center" wrapText="1"/>
    </xf>
    <xf numFmtId="184" fontId="39" fillId="0" borderId="0" xfId="0" applyNumberFormat="1" applyFont="1" applyAlignment="1">
      <alignment horizontal="center" vertical="center" wrapText="1"/>
    </xf>
    <xf numFmtId="184" fontId="39" fillId="0" borderId="15" xfId="53" applyNumberFormat="1" applyFont="1" applyFill="1" applyBorder="1" applyAlignment="1">
      <alignment horizontal="center" vertical="center" wrapText="1"/>
      <protection/>
    </xf>
    <xf numFmtId="184" fontId="39" fillId="0" borderId="0" xfId="53" applyNumberFormat="1" applyFont="1" applyFill="1" applyBorder="1" applyAlignment="1">
      <alignment horizontal="left" vertical="center" wrapText="1"/>
      <protection/>
    </xf>
    <xf numFmtId="49" fontId="37" fillId="0" borderId="0" xfId="0" applyNumberFormat="1" applyFont="1" applyFill="1" applyBorder="1" applyAlignment="1">
      <alignment horizontal="right" vertical="center" wrapText="1"/>
    </xf>
    <xf numFmtId="0" fontId="37" fillId="0" borderId="0" xfId="53" applyNumberFormat="1" applyFont="1" applyFill="1" applyBorder="1" applyAlignment="1">
      <alignment horizontal="left" vertical="center" wrapText="1"/>
      <protection/>
    </xf>
    <xf numFmtId="184" fontId="60" fillId="0" borderId="0" xfId="53" applyNumberFormat="1" applyFont="1" applyFill="1" applyBorder="1" applyAlignment="1">
      <alignment horizontal="center" vertical="center" wrapText="1"/>
      <protection/>
    </xf>
    <xf numFmtId="184" fontId="39" fillId="0" borderId="0" xfId="53" applyNumberFormat="1" applyFont="1" applyFill="1" applyBorder="1" applyAlignment="1">
      <alignment horizontal="center" vertical="center" wrapText="1"/>
      <protection/>
    </xf>
    <xf numFmtId="184" fontId="39" fillId="0" borderId="0" xfId="0" applyNumberFormat="1" applyFont="1" applyFill="1" applyBorder="1" applyAlignment="1">
      <alignment horizontal="left" vertical="center" wrapText="1"/>
    </xf>
    <xf numFmtId="184" fontId="39" fillId="0" borderId="0" xfId="0" applyNumberFormat="1" applyFont="1" applyFill="1" applyAlignment="1">
      <alignment horizontal="left" vertical="center" wrapText="1"/>
    </xf>
    <xf numFmtId="184" fontId="39" fillId="0" borderId="15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left" vertical="center" wrapText="1"/>
    </xf>
    <xf numFmtId="184" fontId="60" fillId="0" borderId="0" xfId="0" applyNumberFormat="1" applyFont="1" applyFill="1" applyBorder="1" applyAlignment="1">
      <alignment horizontal="center" vertical="center" wrapText="1"/>
    </xf>
    <xf numFmtId="184" fontId="39" fillId="0" borderId="0" xfId="0" applyNumberFormat="1" applyFont="1" applyFill="1" applyBorder="1" applyAlignment="1">
      <alignment horizontal="center" vertical="center" wrapText="1"/>
    </xf>
    <xf numFmtId="184" fontId="39" fillId="0" borderId="0" xfId="0" applyNumberFormat="1" applyFont="1" applyFill="1" applyBorder="1" applyAlignment="1">
      <alignment horizontal="left" vertical="center" wrapText="1"/>
    </xf>
    <xf numFmtId="49" fontId="39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184" fontId="6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0" fillId="0" borderId="15" xfId="0" applyFont="1" applyBorder="1" applyAlignment="1">
      <alignment/>
    </xf>
    <xf numFmtId="0" fontId="39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3"/>
  <sheetViews>
    <sheetView zoomScalePageLayoutView="0" workbookViewId="0" topLeftCell="A1">
      <pane xSplit="3" ySplit="7" topLeftCell="D20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V226" sqref="V226"/>
    </sheetView>
  </sheetViews>
  <sheetFormatPr defaultColWidth="9.00390625" defaultRowHeight="12.75" outlineLevelCol="1"/>
  <cols>
    <col min="1" max="1" width="21.25390625" style="1" customWidth="1"/>
    <col min="2" max="2" width="6.75390625" style="1" hidden="1" customWidth="1"/>
    <col min="3" max="3" width="56.375" style="1" customWidth="1"/>
    <col min="4" max="4" width="12.625" style="1" customWidth="1"/>
    <col min="5" max="5" width="11.875" style="1" customWidth="1"/>
    <col min="6" max="6" width="12.125" style="1" customWidth="1"/>
    <col min="7" max="7" width="2.625" style="1" hidden="1" customWidth="1"/>
    <col min="8" max="8" width="11.875" style="1" hidden="1" customWidth="1"/>
    <col min="9" max="9" width="12.00390625" style="1" hidden="1" customWidth="1"/>
    <col min="10" max="10" width="3.625" style="1" hidden="1" customWidth="1" outlineLevel="1"/>
    <col min="11" max="11" width="11.00390625" style="1" customWidth="1" collapsed="1"/>
    <col min="12" max="12" width="10.25390625" style="1" hidden="1" customWidth="1"/>
    <col min="13" max="13" width="7.00390625" style="1" hidden="1" customWidth="1"/>
    <col min="14" max="14" width="9.125" style="1" hidden="1" customWidth="1"/>
    <col min="15" max="15" width="14.25390625" style="1" hidden="1" customWidth="1"/>
    <col min="16" max="16" width="7.25390625" style="1" hidden="1" customWidth="1"/>
    <col min="17" max="17" width="10.75390625" style="1" customWidth="1"/>
    <col min="18" max="18" width="9.875" style="1" hidden="1" customWidth="1"/>
    <col min="19" max="19" width="9.375" style="1" customWidth="1"/>
    <col min="20" max="20" width="10.125" style="1" customWidth="1"/>
    <col min="21" max="16384" width="9.125" style="1" customWidth="1"/>
  </cols>
  <sheetData>
    <row r="1" spans="1:19" ht="12.75">
      <c r="A1" s="116" t="s">
        <v>83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</row>
    <row r="2" spans="1:13" ht="9.7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4.25" customHeight="1">
      <c r="A3" s="11"/>
      <c r="B3" s="11"/>
      <c r="C3" s="12"/>
      <c r="D3" s="12"/>
      <c r="E3" s="12"/>
      <c r="F3" s="12"/>
      <c r="G3" s="12"/>
      <c r="H3" s="12"/>
      <c r="I3" s="13"/>
      <c r="J3" s="13"/>
      <c r="K3" s="72" t="s">
        <v>69</v>
      </c>
      <c r="L3" s="13"/>
      <c r="M3" s="13"/>
    </row>
    <row r="4" spans="1:20" ht="12.75" customHeight="1">
      <c r="A4" s="14" t="s">
        <v>41</v>
      </c>
      <c r="B4" s="14"/>
      <c r="C4" s="15"/>
      <c r="D4" s="104" t="s">
        <v>85</v>
      </c>
      <c r="E4" s="104" t="s">
        <v>86</v>
      </c>
      <c r="F4" s="104" t="s">
        <v>81</v>
      </c>
      <c r="G4" s="113" t="s">
        <v>72</v>
      </c>
      <c r="H4" s="113" t="s">
        <v>73</v>
      </c>
      <c r="I4" s="113" t="s">
        <v>74</v>
      </c>
      <c r="J4" s="113" t="s">
        <v>75</v>
      </c>
      <c r="K4" s="104" t="s">
        <v>84</v>
      </c>
      <c r="L4" s="104" t="s">
        <v>76</v>
      </c>
      <c r="M4" s="104" t="s">
        <v>77</v>
      </c>
      <c r="N4" s="104" t="s">
        <v>78</v>
      </c>
      <c r="O4" s="104" t="s">
        <v>79</v>
      </c>
      <c r="P4" s="104" t="s">
        <v>80</v>
      </c>
      <c r="Q4" s="104" t="s">
        <v>88</v>
      </c>
      <c r="R4" s="104" t="s">
        <v>82</v>
      </c>
      <c r="S4" s="104" t="s">
        <v>87</v>
      </c>
      <c r="T4" s="104" t="s">
        <v>89</v>
      </c>
    </row>
    <row r="5" spans="1:20" ht="27.75" customHeight="1">
      <c r="A5" s="16" t="s">
        <v>46</v>
      </c>
      <c r="B5" s="16"/>
      <c r="C5" s="17" t="s">
        <v>16</v>
      </c>
      <c r="D5" s="105"/>
      <c r="E5" s="105"/>
      <c r="F5" s="105"/>
      <c r="G5" s="114"/>
      <c r="H5" s="114"/>
      <c r="I5" s="114"/>
      <c r="J5" s="114"/>
      <c r="K5" s="105"/>
      <c r="L5" s="105"/>
      <c r="M5" s="105"/>
      <c r="N5" s="105"/>
      <c r="O5" s="105"/>
      <c r="P5" s="105"/>
      <c r="Q5" s="105"/>
      <c r="R5" s="105"/>
      <c r="S5" s="105"/>
      <c r="T5" s="105"/>
    </row>
    <row r="6" spans="1:20" ht="39.75" customHeight="1">
      <c r="A6" s="16"/>
      <c r="B6" s="16"/>
      <c r="C6" s="17"/>
      <c r="D6" s="106"/>
      <c r="E6" s="106"/>
      <c r="F6" s="106"/>
      <c r="G6" s="115"/>
      <c r="H6" s="115"/>
      <c r="I6" s="115"/>
      <c r="J6" s="115"/>
      <c r="K6" s="106"/>
      <c r="L6" s="106"/>
      <c r="M6" s="106"/>
      <c r="N6" s="106"/>
      <c r="O6" s="106"/>
      <c r="P6" s="106"/>
      <c r="Q6" s="106"/>
      <c r="R6" s="106"/>
      <c r="S6" s="106"/>
      <c r="T6" s="106"/>
    </row>
    <row r="7" spans="1:17" ht="12.75">
      <c r="A7" s="107" t="s">
        <v>24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91"/>
    </row>
    <row r="8" spans="1:20" ht="12.75">
      <c r="A8" s="45" t="s">
        <v>3</v>
      </c>
      <c r="B8" s="45"/>
      <c r="C8" s="68" t="s">
        <v>68</v>
      </c>
      <c r="D8" s="46">
        <f aca="true" t="shared" si="0" ref="D8:J8">D9+D11+D12+D13+D15+D16+D18+D20+D14+D21+D17+D19+D10</f>
        <v>723280.9</v>
      </c>
      <c r="E8" s="46">
        <f t="shared" si="0"/>
        <v>752430.8999999999</v>
      </c>
      <c r="F8" s="46">
        <f t="shared" si="0"/>
        <v>406897.6999999999</v>
      </c>
      <c r="G8" s="46">
        <f t="shared" si="0"/>
        <v>208612.00000000003</v>
      </c>
      <c r="H8" s="46">
        <f t="shared" si="0"/>
        <v>198285.7</v>
      </c>
      <c r="I8" s="46">
        <f t="shared" si="0"/>
        <v>163211.1</v>
      </c>
      <c r="J8" s="46">
        <f t="shared" si="0"/>
        <v>182322.09999999998</v>
      </c>
      <c r="K8" s="46">
        <f>K9+K11+K12+K13+K15+K16+K18+K20+K14+K21+K17+K19+K10</f>
        <v>323587.20000000007</v>
      </c>
      <c r="L8" s="46" t="e">
        <f>L9+L11+L12+L13+L15+L16+L18+L20+L14+L21+L17+L19</f>
        <v>#REF!</v>
      </c>
      <c r="M8" s="46">
        <f aca="true" t="shared" si="1" ref="M8:M20">K8/I8*100</f>
        <v>198.26298578956948</v>
      </c>
      <c r="N8" s="71"/>
      <c r="O8" s="71"/>
      <c r="P8" s="46">
        <f>K8*100/J8</f>
        <v>177.48106236161175</v>
      </c>
      <c r="Q8" s="46">
        <f>K8/D8*100</f>
        <v>44.738800651309894</v>
      </c>
      <c r="R8" s="46">
        <f>K8*100/F8</f>
        <v>79.52544337311323</v>
      </c>
      <c r="S8" s="32">
        <f aca="true" t="shared" si="2" ref="S8:S13">K8*100/E8</f>
        <v>43.005570345396514</v>
      </c>
      <c r="T8" s="96">
        <f>K8/F8*100</f>
        <v>79.52544337311323</v>
      </c>
    </row>
    <row r="9" spans="1:20" ht="12.75">
      <c r="A9" s="19" t="s">
        <v>23</v>
      </c>
      <c r="B9" s="19"/>
      <c r="C9" s="47" t="s">
        <v>22</v>
      </c>
      <c r="D9" s="76">
        <v>545313.8</v>
      </c>
      <c r="E9" s="76">
        <f aca="true" t="shared" si="3" ref="E9:E21">G9+H9+I9+J9</f>
        <v>545313.7999999999</v>
      </c>
      <c r="F9" s="76">
        <f>G9+H9</f>
        <v>281056.1</v>
      </c>
      <c r="G9" s="76">
        <v>132197.3</v>
      </c>
      <c r="H9" s="76">
        <v>148858.8</v>
      </c>
      <c r="I9" s="28">
        <v>122555.3</v>
      </c>
      <c r="J9" s="48">
        <v>141702.4</v>
      </c>
      <c r="K9" s="48">
        <v>238594.3</v>
      </c>
      <c r="L9" s="28" t="e">
        <f>K9/#REF!*100</f>
        <v>#REF!</v>
      </c>
      <c r="M9" s="28">
        <f t="shared" si="1"/>
        <v>194.68297168706695</v>
      </c>
      <c r="N9" s="69"/>
      <c r="O9" s="69"/>
      <c r="P9" s="28">
        <f aca="true" t="shared" si="4" ref="P9:P79">K9*100/J9</f>
        <v>168.37703525134367</v>
      </c>
      <c r="Q9" s="24">
        <f aca="true" t="shared" si="5" ref="Q9:Q20">K9/D9*100</f>
        <v>43.753578214965394</v>
      </c>
      <c r="R9" s="28">
        <f aca="true" t="shared" si="6" ref="R9:R76">K9*100/F9</f>
        <v>84.89205535834306</v>
      </c>
      <c r="S9" s="48">
        <f t="shared" si="2"/>
        <v>43.75357821496541</v>
      </c>
      <c r="T9" s="95">
        <f aca="true" t="shared" si="7" ref="T9:T27">K9/F9*100</f>
        <v>84.89205535834306</v>
      </c>
    </row>
    <row r="10" spans="1:20" ht="12.75">
      <c r="A10" s="19" t="s">
        <v>70</v>
      </c>
      <c r="B10" s="19"/>
      <c r="C10" s="36" t="s">
        <v>71</v>
      </c>
      <c r="D10" s="73">
        <v>2315</v>
      </c>
      <c r="E10" s="73">
        <f t="shared" si="3"/>
        <v>2315</v>
      </c>
      <c r="F10" s="76">
        <f aca="true" t="shared" si="8" ref="F10:F26">G10+H10</f>
        <v>1157.1</v>
      </c>
      <c r="G10" s="73">
        <v>578.6</v>
      </c>
      <c r="H10" s="73">
        <v>578.5</v>
      </c>
      <c r="I10" s="24">
        <v>578.6</v>
      </c>
      <c r="J10" s="25">
        <v>579.3</v>
      </c>
      <c r="K10" s="25">
        <v>729.2</v>
      </c>
      <c r="L10" s="28"/>
      <c r="M10" s="28"/>
      <c r="N10" s="69"/>
      <c r="O10" s="69"/>
      <c r="P10" s="24"/>
      <c r="Q10" s="24">
        <f t="shared" si="5"/>
        <v>31.49892008639309</v>
      </c>
      <c r="R10" s="28">
        <f t="shared" si="6"/>
        <v>63.0196180105436</v>
      </c>
      <c r="S10" s="25">
        <f t="shared" si="2"/>
        <v>31.49892008639309</v>
      </c>
      <c r="T10" s="95">
        <f t="shared" si="7"/>
        <v>63.01961801054361</v>
      </c>
    </row>
    <row r="11" spans="1:20" ht="12.75">
      <c r="A11" s="19" t="s">
        <v>8</v>
      </c>
      <c r="B11" s="19"/>
      <c r="C11" s="36" t="s">
        <v>5</v>
      </c>
      <c r="D11" s="73">
        <v>36159.5</v>
      </c>
      <c r="E11" s="73">
        <f t="shared" si="3"/>
        <v>36261</v>
      </c>
      <c r="F11" s="76">
        <f t="shared" si="8"/>
        <v>20331.3</v>
      </c>
      <c r="G11" s="73">
        <v>10163</v>
      </c>
      <c r="H11" s="73">
        <v>10168.3</v>
      </c>
      <c r="I11" s="24">
        <v>8120</v>
      </c>
      <c r="J11" s="25">
        <v>7809.7</v>
      </c>
      <c r="K11" s="25">
        <v>20724.2</v>
      </c>
      <c r="L11" s="28" t="e">
        <f>K11/#REF!*100</f>
        <v>#REF!</v>
      </c>
      <c r="M11" s="28">
        <f t="shared" si="1"/>
        <v>255.22413793103448</v>
      </c>
      <c r="N11" s="69"/>
      <c r="O11" s="69"/>
      <c r="P11" s="24">
        <f t="shared" si="4"/>
        <v>265.3648667682497</v>
      </c>
      <c r="Q11" s="24">
        <f t="shared" si="5"/>
        <v>57.313292495748</v>
      </c>
      <c r="R11" s="28">
        <f t="shared" si="6"/>
        <v>101.9324883308003</v>
      </c>
      <c r="S11" s="25">
        <f t="shared" si="2"/>
        <v>57.15286395852293</v>
      </c>
      <c r="T11" s="95">
        <f t="shared" si="7"/>
        <v>101.93248833080031</v>
      </c>
    </row>
    <row r="12" spans="1:20" ht="12.75">
      <c r="A12" s="19" t="s">
        <v>9</v>
      </c>
      <c r="B12" s="19"/>
      <c r="C12" s="36" t="s">
        <v>6</v>
      </c>
      <c r="D12" s="73">
        <v>3935</v>
      </c>
      <c r="E12" s="73">
        <f t="shared" si="3"/>
        <v>3985</v>
      </c>
      <c r="F12" s="76">
        <f t="shared" si="8"/>
        <v>1848.3000000000002</v>
      </c>
      <c r="G12" s="73">
        <v>947.6</v>
      </c>
      <c r="H12" s="73">
        <v>900.7</v>
      </c>
      <c r="I12" s="24">
        <v>900</v>
      </c>
      <c r="J12" s="25">
        <v>1236.7</v>
      </c>
      <c r="K12" s="25">
        <v>2544.2</v>
      </c>
      <c r="L12" s="28" t="e">
        <f>K12/#REF!*100</f>
        <v>#REF!</v>
      </c>
      <c r="M12" s="28">
        <f t="shared" si="1"/>
        <v>282.68888888888887</v>
      </c>
      <c r="N12" s="69"/>
      <c r="O12" s="69"/>
      <c r="P12" s="24">
        <f t="shared" si="4"/>
        <v>205.72491307511925</v>
      </c>
      <c r="Q12" s="24">
        <f t="shared" si="5"/>
        <v>64.65565438373571</v>
      </c>
      <c r="R12" s="28">
        <f t="shared" si="6"/>
        <v>137.65081426175402</v>
      </c>
      <c r="S12" s="25">
        <f t="shared" si="2"/>
        <v>63.844416562107895</v>
      </c>
      <c r="T12" s="95">
        <f t="shared" si="7"/>
        <v>137.65081426175402</v>
      </c>
    </row>
    <row r="13" spans="1:20" ht="12.75">
      <c r="A13" s="19" t="s">
        <v>10</v>
      </c>
      <c r="B13" s="19"/>
      <c r="C13" s="36" t="s">
        <v>21</v>
      </c>
      <c r="D13" s="73">
        <v>3305</v>
      </c>
      <c r="E13" s="73">
        <f t="shared" si="3"/>
        <v>3305</v>
      </c>
      <c r="F13" s="76">
        <f t="shared" si="8"/>
        <v>1652</v>
      </c>
      <c r="G13" s="73">
        <v>826</v>
      </c>
      <c r="H13" s="73">
        <v>826</v>
      </c>
      <c r="I13" s="24">
        <v>827</v>
      </c>
      <c r="J13" s="25">
        <v>826</v>
      </c>
      <c r="K13" s="25">
        <v>1552.3</v>
      </c>
      <c r="L13" s="28" t="e">
        <f>K13/#REF!*100</f>
        <v>#REF!</v>
      </c>
      <c r="M13" s="28">
        <f t="shared" si="1"/>
        <v>187.70253929866988</v>
      </c>
      <c r="N13" s="69"/>
      <c r="O13" s="69"/>
      <c r="P13" s="24">
        <f t="shared" si="4"/>
        <v>187.92978208232446</v>
      </c>
      <c r="Q13" s="24">
        <f t="shared" si="5"/>
        <v>46.96822995461422</v>
      </c>
      <c r="R13" s="28">
        <f t="shared" si="6"/>
        <v>93.96489104116223</v>
      </c>
      <c r="S13" s="25">
        <f t="shared" si="2"/>
        <v>46.96822995461422</v>
      </c>
      <c r="T13" s="95">
        <f t="shared" si="7"/>
        <v>93.96489104116222</v>
      </c>
    </row>
    <row r="14" spans="1:20" ht="21.75" customHeight="1" hidden="1">
      <c r="A14" s="19" t="s">
        <v>37</v>
      </c>
      <c r="B14" s="19"/>
      <c r="C14" s="36" t="s">
        <v>38</v>
      </c>
      <c r="D14" s="73"/>
      <c r="E14" s="73">
        <f t="shared" si="3"/>
        <v>0</v>
      </c>
      <c r="F14" s="76">
        <f t="shared" si="8"/>
        <v>0</v>
      </c>
      <c r="G14" s="73"/>
      <c r="H14" s="73"/>
      <c r="I14" s="24"/>
      <c r="J14" s="25"/>
      <c r="K14" s="25"/>
      <c r="L14" s="28" t="e">
        <f>K14/#REF!*100</f>
        <v>#REF!</v>
      </c>
      <c r="M14" s="28"/>
      <c r="N14" s="69"/>
      <c r="O14" s="69"/>
      <c r="P14" s="24" t="e">
        <f t="shared" si="4"/>
        <v>#DIV/0!</v>
      </c>
      <c r="Q14" s="24" t="e">
        <f t="shared" si="5"/>
        <v>#DIV/0!</v>
      </c>
      <c r="R14" s="28"/>
      <c r="S14" s="25"/>
      <c r="T14" s="95" t="e">
        <f t="shared" si="7"/>
        <v>#DIV/0!</v>
      </c>
    </row>
    <row r="15" spans="1:20" ht="24">
      <c r="A15" s="20" t="s">
        <v>11</v>
      </c>
      <c r="B15" s="20"/>
      <c r="C15" s="36" t="s">
        <v>17</v>
      </c>
      <c r="D15" s="73">
        <v>84057.5</v>
      </c>
      <c r="E15" s="73">
        <f t="shared" si="3"/>
        <v>84072.5</v>
      </c>
      <c r="F15" s="76">
        <f t="shared" si="8"/>
        <v>41812.3</v>
      </c>
      <c r="G15" s="73">
        <v>20907.1</v>
      </c>
      <c r="H15" s="73">
        <v>20905.2</v>
      </c>
      <c r="I15" s="24">
        <v>21270.9</v>
      </c>
      <c r="J15" s="25">
        <v>20989.3</v>
      </c>
      <c r="K15" s="25">
        <v>29066.8</v>
      </c>
      <c r="L15" s="28" t="e">
        <f>K15/#REF!*100</f>
        <v>#REF!</v>
      </c>
      <c r="M15" s="28">
        <f t="shared" si="1"/>
        <v>136.65054134991937</v>
      </c>
      <c r="N15" s="69"/>
      <c r="O15" s="69"/>
      <c r="P15" s="24">
        <f t="shared" si="4"/>
        <v>138.48389417465089</v>
      </c>
      <c r="Q15" s="24">
        <f t="shared" si="5"/>
        <v>34.57966273086875</v>
      </c>
      <c r="R15" s="28">
        <f t="shared" si="6"/>
        <v>69.5173429828065</v>
      </c>
      <c r="S15" s="25">
        <f aca="true" t="shared" si="9" ref="S15:S20">K15*100/E15</f>
        <v>34.57349311606054</v>
      </c>
      <c r="T15" s="95">
        <f t="shared" si="7"/>
        <v>69.51734298280648</v>
      </c>
    </row>
    <row r="16" spans="1:20" ht="12.75">
      <c r="A16" s="37" t="s">
        <v>14</v>
      </c>
      <c r="B16" s="37"/>
      <c r="C16" s="36" t="s">
        <v>13</v>
      </c>
      <c r="D16" s="73">
        <v>12245.1</v>
      </c>
      <c r="E16" s="73">
        <f t="shared" si="3"/>
        <v>7888.4</v>
      </c>
      <c r="F16" s="76">
        <f t="shared" si="8"/>
        <v>4256.5</v>
      </c>
      <c r="G16" s="73">
        <v>1658.6</v>
      </c>
      <c r="H16" s="73">
        <v>2597.9</v>
      </c>
      <c r="I16" s="24">
        <v>1816</v>
      </c>
      <c r="J16" s="25">
        <v>1815.9</v>
      </c>
      <c r="K16" s="25">
        <v>2565.4</v>
      </c>
      <c r="L16" s="28" t="e">
        <f>K16/#REF!*100</f>
        <v>#REF!</v>
      </c>
      <c r="M16" s="28">
        <f t="shared" si="1"/>
        <v>141.26651982378854</v>
      </c>
      <c r="N16" s="69"/>
      <c r="O16" s="69"/>
      <c r="P16" s="24">
        <f t="shared" si="4"/>
        <v>141.27429924555315</v>
      </c>
      <c r="Q16" s="24">
        <f t="shared" si="5"/>
        <v>20.95042098472042</v>
      </c>
      <c r="R16" s="28">
        <f t="shared" si="6"/>
        <v>60.27017502643017</v>
      </c>
      <c r="S16" s="25">
        <f t="shared" si="9"/>
        <v>32.52117032604838</v>
      </c>
      <c r="T16" s="95">
        <f t="shared" si="7"/>
        <v>60.270175026430174</v>
      </c>
    </row>
    <row r="17" spans="1:20" ht="24">
      <c r="A17" s="38" t="s">
        <v>42</v>
      </c>
      <c r="B17" s="38"/>
      <c r="C17" s="36" t="s">
        <v>43</v>
      </c>
      <c r="D17" s="73">
        <v>9788</v>
      </c>
      <c r="E17" s="73">
        <f t="shared" si="3"/>
        <v>10960</v>
      </c>
      <c r="F17" s="76">
        <f t="shared" si="8"/>
        <v>5910.799999999999</v>
      </c>
      <c r="G17" s="73">
        <v>3400.2</v>
      </c>
      <c r="H17" s="73">
        <v>2510.6</v>
      </c>
      <c r="I17" s="24">
        <v>2420.7</v>
      </c>
      <c r="J17" s="25">
        <v>2628.5</v>
      </c>
      <c r="K17" s="25">
        <v>5633.4</v>
      </c>
      <c r="L17" s="28" t="e">
        <f>K17/#REF!*100</f>
        <v>#REF!</v>
      </c>
      <c r="M17" s="28">
        <f t="shared" si="1"/>
        <v>232.71780889825257</v>
      </c>
      <c r="N17" s="69"/>
      <c r="O17" s="69"/>
      <c r="P17" s="24">
        <f t="shared" si="4"/>
        <v>214.31995434658552</v>
      </c>
      <c r="Q17" s="24">
        <f t="shared" si="5"/>
        <v>57.55414793624847</v>
      </c>
      <c r="R17" s="28">
        <f t="shared" si="6"/>
        <v>95.30689585166138</v>
      </c>
      <c r="S17" s="25">
        <f t="shared" si="9"/>
        <v>51.39963503649635</v>
      </c>
      <c r="T17" s="95">
        <f t="shared" si="7"/>
        <v>95.30689585166137</v>
      </c>
    </row>
    <row r="18" spans="1:20" ht="12.75">
      <c r="A18" s="38" t="s">
        <v>18</v>
      </c>
      <c r="B18" s="38"/>
      <c r="C18" s="36" t="s">
        <v>15</v>
      </c>
      <c r="D18" s="73">
        <v>22114.5</v>
      </c>
      <c r="E18" s="73">
        <f t="shared" si="3"/>
        <v>46274.5</v>
      </c>
      <c r="F18" s="76">
        <f t="shared" si="8"/>
        <v>38466</v>
      </c>
      <c r="G18" s="73">
        <v>30063</v>
      </c>
      <c r="H18" s="73">
        <v>8403</v>
      </c>
      <c r="I18" s="24">
        <v>3903</v>
      </c>
      <c r="J18" s="25">
        <v>3905.5</v>
      </c>
      <c r="K18" s="25">
        <v>10375.5</v>
      </c>
      <c r="L18" s="28" t="e">
        <f>K18/#REF!*100</f>
        <v>#REF!</v>
      </c>
      <c r="M18" s="28">
        <f t="shared" si="1"/>
        <v>265.8339738662567</v>
      </c>
      <c r="N18" s="69"/>
      <c r="O18" s="69"/>
      <c r="P18" s="24">
        <f t="shared" si="4"/>
        <v>265.6638074510306</v>
      </c>
      <c r="Q18" s="24">
        <f t="shared" si="5"/>
        <v>46.91718103506749</v>
      </c>
      <c r="R18" s="28">
        <f t="shared" si="6"/>
        <v>26.97317111215099</v>
      </c>
      <c r="S18" s="25">
        <f t="shared" si="9"/>
        <v>22.421636106278836</v>
      </c>
      <c r="T18" s="95">
        <f t="shared" si="7"/>
        <v>26.97317111215099</v>
      </c>
    </row>
    <row r="19" spans="1:20" ht="12.75">
      <c r="A19" s="38" t="s">
        <v>60</v>
      </c>
      <c r="B19" s="38"/>
      <c r="C19" s="36" t="s">
        <v>61</v>
      </c>
      <c r="D19" s="73">
        <v>5</v>
      </c>
      <c r="E19" s="73">
        <f t="shared" si="3"/>
        <v>5.2</v>
      </c>
      <c r="F19" s="76">
        <f t="shared" si="8"/>
        <v>5.2</v>
      </c>
      <c r="G19" s="73">
        <v>4.2</v>
      </c>
      <c r="H19" s="73">
        <v>1</v>
      </c>
      <c r="I19" s="24"/>
      <c r="J19" s="25"/>
      <c r="K19" s="25">
        <v>5.2</v>
      </c>
      <c r="L19" s="28" t="e">
        <f>K19/#REF!*100</f>
        <v>#REF!</v>
      </c>
      <c r="M19" s="28" t="e">
        <f t="shared" si="1"/>
        <v>#DIV/0!</v>
      </c>
      <c r="N19" s="69"/>
      <c r="O19" s="69"/>
      <c r="P19" s="24" t="e">
        <f t="shared" si="4"/>
        <v>#DIV/0!</v>
      </c>
      <c r="Q19" s="24">
        <f t="shared" si="5"/>
        <v>104</v>
      </c>
      <c r="R19" s="28">
        <f t="shared" si="6"/>
        <v>100</v>
      </c>
      <c r="S19" s="25">
        <f t="shared" si="9"/>
        <v>100</v>
      </c>
      <c r="T19" s="95">
        <f t="shared" si="7"/>
        <v>100</v>
      </c>
    </row>
    <row r="20" spans="1:20" ht="12.75">
      <c r="A20" s="29" t="s">
        <v>12</v>
      </c>
      <c r="B20" s="29"/>
      <c r="C20" s="36" t="s">
        <v>7</v>
      </c>
      <c r="D20" s="73">
        <v>4042.5</v>
      </c>
      <c r="E20" s="73">
        <f t="shared" si="3"/>
        <v>12050.499999999998</v>
      </c>
      <c r="F20" s="76">
        <f t="shared" si="8"/>
        <v>10402.099999999999</v>
      </c>
      <c r="G20" s="73">
        <v>7866.4</v>
      </c>
      <c r="H20" s="73">
        <v>2535.7</v>
      </c>
      <c r="I20" s="24">
        <v>819.6</v>
      </c>
      <c r="J20" s="25">
        <v>828.8</v>
      </c>
      <c r="K20" s="25">
        <v>11736.8</v>
      </c>
      <c r="L20" s="28" t="e">
        <f>K20/#REF!*100</f>
        <v>#REF!</v>
      </c>
      <c r="M20" s="28">
        <f t="shared" si="1"/>
        <v>1432.015617374329</v>
      </c>
      <c r="N20" s="69"/>
      <c r="O20" s="69"/>
      <c r="P20" s="24">
        <f t="shared" si="4"/>
        <v>1416.1196911196912</v>
      </c>
      <c r="Q20" s="24">
        <f t="shared" si="5"/>
        <v>290.3351886209029</v>
      </c>
      <c r="R20" s="28">
        <f t="shared" si="6"/>
        <v>112.8310629584411</v>
      </c>
      <c r="S20" s="25">
        <f t="shared" si="9"/>
        <v>97.39678851499939</v>
      </c>
      <c r="T20" s="95">
        <f t="shared" si="7"/>
        <v>112.8310629584411</v>
      </c>
    </row>
    <row r="21" spans="1:20" ht="12.75">
      <c r="A21" s="39" t="s">
        <v>39</v>
      </c>
      <c r="B21" s="40"/>
      <c r="C21" s="23" t="s">
        <v>40</v>
      </c>
      <c r="D21" s="93">
        <v>0</v>
      </c>
      <c r="E21" s="73">
        <f t="shared" si="3"/>
        <v>0</v>
      </c>
      <c r="F21" s="76">
        <f t="shared" si="8"/>
        <v>0</v>
      </c>
      <c r="G21" s="73"/>
      <c r="H21" s="73"/>
      <c r="I21" s="24"/>
      <c r="J21" s="25"/>
      <c r="K21" s="25">
        <v>59.9</v>
      </c>
      <c r="L21" s="28"/>
      <c r="M21" s="28"/>
      <c r="N21" s="69"/>
      <c r="O21" s="69"/>
      <c r="P21" s="24"/>
      <c r="Q21" s="46"/>
      <c r="R21" s="28"/>
      <c r="S21" s="25"/>
      <c r="T21" s="95"/>
    </row>
    <row r="22" spans="1:20" ht="12.75">
      <c r="A22" s="33" t="s">
        <v>1</v>
      </c>
      <c r="B22" s="33"/>
      <c r="C22" s="41" t="s">
        <v>0</v>
      </c>
      <c r="D22" s="94">
        <f>D23+D24+D26</f>
        <v>2614355.8</v>
      </c>
      <c r="E22" s="42">
        <f>E23+E24+E26+E25+0.1</f>
        <v>2776201.6999999997</v>
      </c>
      <c r="F22" s="42">
        <f aca="true" t="shared" si="10" ref="F22:K22">F23+F24+F26+F25</f>
        <v>1505617.9000000001</v>
      </c>
      <c r="G22" s="42">
        <f t="shared" si="10"/>
        <v>637157.2000000001</v>
      </c>
      <c r="H22" s="42">
        <f t="shared" si="10"/>
        <v>868460.7</v>
      </c>
      <c r="I22" s="42">
        <f t="shared" si="10"/>
        <v>684358.5</v>
      </c>
      <c r="J22" s="42">
        <f t="shared" si="10"/>
        <v>586225.2</v>
      </c>
      <c r="K22" s="42">
        <f t="shared" si="10"/>
        <v>921504.1</v>
      </c>
      <c r="L22" s="35" t="e">
        <f>K22/#REF!*100</f>
        <v>#REF!</v>
      </c>
      <c r="M22" s="35">
        <f aca="true" t="shared" si="11" ref="M22:M27">K22/I22*100</f>
        <v>134.65224732358845</v>
      </c>
      <c r="N22" s="69"/>
      <c r="O22" s="69"/>
      <c r="P22" s="46">
        <f t="shared" si="4"/>
        <v>157.1928501197151</v>
      </c>
      <c r="Q22" s="46">
        <f>K22/D22*100</f>
        <v>35.247845759938265</v>
      </c>
      <c r="R22" s="35">
        <f t="shared" si="6"/>
        <v>61.204379942613585</v>
      </c>
      <c r="S22" s="32">
        <f aca="true" t="shared" si="12" ref="S22:S27">K22*100/E22</f>
        <v>33.192980899046354</v>
      </c>
      <c r="T22" s="96">
        <f t="shared" si="7"/>
        <v>61.204379942613585</v>
      </c>
    </row>
    <row r="23" spans="1:20" ht="24">
      <c r="A23" s="21" t="s">
        <v>67</v>
      </c>
      <c r="B23" s="19"/>
      <c r="C23" s="43" t="s">
        <v>20</v>
      </c>
      <c r="D23" s="49">
        <v>2594355.8</v>
      </c>
      <c r="E23" s="73">
        <f>G23+H23+I23+J23</f>
        <v>2734531.3</v>
      </c>
      <c r="F23" s="76">
        <f t="shared" si="8"/>
        <v>1493947.6</v>
      </c>
      <c r="G23" s="73">
        <f>555225.5+108567.9</f>
        <v>663793.4</v>
      </c>
      <c r="H23" s="73">
        <v>830154.2</v>
      </c>
      <c r="I23" s="25">
        <v>659358.5</v>
      </c>
      <c r="J23" s="25">
        <f>581206.5+18.7</f>
        <v>581225.2</v>
      </c>
      <c r="K23" s="25">
        <v>944547.4</v>
      </c>
      <c r="L23" s="28" t="e">
        <f>K23/#REF!*100</f>
        <v>#REF!</v>
      </c>
      <c r="M23" s="28">
        <f t="shared" si="11"/>
        <v>143.25247949332572</v>
      </c>
      <c r="N23" s="69"/>
      <c r="O23" s="69"/>
      <c r="P23" s="24">
        <f t="shared" si="4"/>
        <v>162.509712242346</v>
      </c>
      <c r="Q23" s="46">
        <f>K23/D23*100</f>
        <v>36.40778184703887</v>
      </c>
      <c r="R23" s="28">
        <f t="shared" si="6"/>
        <v>63.22493506465688</v>
      </c>
      <c r="S23" s="25">
        <f t="shared" si="12"/>
        <v>34.54147334133641</v>
      </c>
      <c r="T23" s="95">
        <f t="shared" si="7"/>
        <v>63.22493506465688</v>
      </c>
    </row>
    <row r="24" spans="1:20" ht="13.5" customHeight="1">
      <c r="A24" s="21" t="s">
        <v>2</v>
      </c>
      <c r="B24" s="21"/>
      <c r="C24" s="44" t="s">
        <v>19</v>
      </c>
      <c r="D24" s="74">
        <v>20000</v>
      </c>
      <c r="E24" s="73">
        <f>G24+H24+I24+J24</f>
        <v>45000</v>
      </c>
      <c r="F24" s="76">
        <f t="shared" si="8"/>
        <v>35000</v>
      </c>
      <c r="G24" s="74">
        <v>20000</v>
      </c>
      <c r="H24" s="74">
        <v>15000</v>
      </c>
      <c r="I24" s="25">
        <v>5000</v>
      </c>
      <c r="J24" s="25">
        <v>5000</v>
      </c>
      <c r="K24" s="25">
        <v>9426.1</v>
      </c>
      <c r="L24" s="28" t="e">
        <f>K24/#REF!*100</f>
        <v>#REF!</v>
      </c>
      <c r="M24" s="28">
        <f t="shared" si="11"/>
        <v>188.52200000000002</v>
      </c>
      <c r="N24" s="69"/>
      <c r="O24" s="69"/>
      <c r="P24" s="24">
        <f t="shared" si="4"/>
        <v>188.522</v>
      </c>
      <c r="Q24" s="46">
        <f>K24/D24*100</f>
        <v>47.130500000000005</v>
      </c>
      <c r="R24" s="28">
        <f t="shared" si="6"/>
        <v>26.931714285714285</v>
      </c>
      <c r="S24" s="25">
        <f t="shared" si="12"/>
        <v>20.94688888888889</v>
      </c>
      <c r="T24" s="95">
        <f t="shared" si="7"/>
        <v>26.931714285714285</v>
      </c>
    </row>
    <row r="25" spans="1:20" ht="34.5" customHeight="1" hidden="1">
      <c r="A25" s="21" t="s">
        <v>65</v>
      </c>
      <c r="B25" s="22" t="s">
        <v>64</v>
      </c>
      <c r="C25" s="23" t="s">
        <v>64</v>
      </c>
      <c r="D25" s="87"/>
      <c r="E25" s="73">
        <f>G25+H25+I25+J25</f>
        <v>0</v>
      </c>
      <c r="F25" s="76">
        <f t="shared" si="8"/>
        <v>0</v>
      </c>
      <c r="G25" s="73"/>
      <c r="H25" s="73"/>
      <c r="I25" s="25"/>
      <c r="J25" s="25"/>
      <c r="K25" s="25"/>
      <c r="L25" s="28" t="e">
        <f>K25/#REF!*100</f>
        <v>#REF!</v>
      </c>
      <c r="M25" s="28"/>
      <c r="N25" s="69"/>
      <c r="O25" s="69"/>
      <c r="P25" s="24" t="e">
        <f t="shared" si="4"/>
        <v>#DIV/0!</v>
      </c>
      <c r="Q25" s="46" t="e">
        <f>K25/D25*100</f>
        <v>#DIV/0!</v>
      </c>
      <c r="R25" s="28" t="e">
        <f>K25*100/F25</f>
        <v>#DIV/0!</v>
      </c>
      <c r="S25" s="25" t="e">
        <f t="shared" si="12"/>
        <v>#DIV/0!</v>
      </c>
      <c r="T25" s="95" t="e">
        <f t="shared" si="7"/>
        <v>#DIV/0!</v>
      </c>
    </row>
    <row r="26" spans="1:20" ht="27.75" customHeight="1">
      <c r="A26" s="21" t="s">
        <v>66</v>
      </c>
      <c r="B26" s="26"/>
      <c r="C26" s="27" t="s">
        <v>63</v>
      </c>
      <c r="D26" s="88"/>
      <c r="E26" s="73">
        <f>G26+H26+I26+J26</f>
        <v>-3329.699999999997</v>
      </c>
      <c r="F26" s="76">
        <f t="shared" si="8"/>
        <v>-23329.699999999997</v>
      </c>
      <c r="G26" s="75">
        <v>-46636.2</v>
      </c>
      <c r="H26" s="75">
        <v>23306.5</v>
      </c>
      <c r="I26" s="25">
        <v>20000</v>
      </c>
      <c r="J26" s="25"/>
      <c r="K26" s="25">
        <v>-32469.4</v>
      </c>
      <c r="L26" s="28" t="e">
        <f>K26/#REF!*100</f>
        <v>#REF!</v>
      </c>
      <c r="M26" s="28"/>
      <c r="N26" s="69"/>
      <c r="O26" s="69"/>
      <c r="P26" s="24" t="e">
        <f t="shared" si="4"/>
        <v>#DIV/0!</v>
      </c>
      <c r="Q26" s="46"/>
      <c r="R26" s="28">
        <f>K26*100/F26</f>
        <v>139.17624315786318</v>
      </c>
      <c r="S26" s="25">
        <f t="shared" si="12"/>
        <v>975.1449079496659</v>
      </c>
      <c r="T26" s="95">
        <f t="shared" si="7"/>
        <v>139.17624315786315</v>
      </c>
    </row>
    <row r="27" spans="1:20" ht="12.75">
      <c r="A27" s="29"/>
      <c r="B27" s="30"/>
      <c r="C27" s="31" t="s">
        <v>4</v>
      </c>
      <c r="D27" s="32">
        <f aca="true" t="shared" si="13" ref="D27:K27">D22+D8</f>
        <v>3337636.6999999997</v>
      </c>
      <c r="E27" s="32">
        <f t="shared" si="13"/>
        <v>3528632.5999999996</v>
      </c>
      <c r="F27" s="32">
        <f t="shared" si="13"/>
        <v>1912515.6</v>
      </c>
      <c r="G27" s="32">
        <f t="shared" si="13"/>
        <v>845769.2000000001</v>
      </c>
      <c r="H27" s="32">
        <f t="shared" si="13"/>
        <v>1066746.4</v>
      </c>
      <c r="I27" s="32">
        <f t="shared" si="13"/>
        <v>847569.6</v>
      </c>
      <c r="J27" s="32">
        <f t="shared" si="13"/>
        <v>768547.2999999999</v>
      </c>
      <c r="K27" s="32">
        <f t="shared" si="13"/>
        <v>1245091.3</v>
      </c>
      <c r="L27" s="35" t="e">
        <f>K27/#REF!*100</f>
        <v>#REF!</v>
      </c>
      <c r="M27" s="35">
        <f t="shared" si="11"/>
        <v>146.90136361662806</v>
      </c>
      <c r="N27" s="69"/>
      <c r="O27" s="70" t="e">
        <f>J27+#REF!+#REF!</f>
        <v>#REF!</v>
      </c>
      <c r="P27" s="46">
        <f t="shared" si="4"/>
        <v>162.00581278471736</v>
      </c>
      <c r="Q27" s="46">
        <f>K27/D27*100</f>
        <v>37.30457841621888</v>
      </c>
      <c r="R27" s="35">
        <f t="shared" si="6"/>
        <v>65.10228204151642</v>
      </c>
      <c r="S27" s="32">
        <f t="shared" si="12"/>
        <v>35.285376550678585</v>
      </c>
      <c r="T27" s="96">
        <f t="shared" si="7"/>
        <v>65.10228204151642</v>
      </c>
    </row>
    <row r="28" spans="1:20" ht="12.75">
      <c r="A28" s="100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2"/>
      <c r="N28" s="69"/>
      <c r="O28" s="69"/>
      <c r="P28" s="67"/>
      <c r="Q28" s="24"/>
      <c r="R28" s="35"/>
      <c r="S28" s="32"/>
      <c r="T28" s="97"/>
    </row>
    <row r="29" spans="1:20" ht="12.75">
      <c r="A29" s="103" t="s">
        <v>25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85"/>
      <c r="R29" s="35"/>
      <c r="S29" s="32"/>
      <c r="T29" s="97"/>
    </row>
    <row r="30" spans="1:20" ht="12.75">
      <c r="A30" s="33" t="s">
        <v>3</v>
      </c>
      <c r="B30" s="33"/>
      <c r="C30" s="34" t="s">
        <v>68</v>
      </c>
      <c r="D30" s="35">
        <f aca="true" t="shared" si="14" ref="D30:K30">D31+D33+D35+D37+D34+D36+D38+D32</f>
        <v>17033</v>
      </c>
      <c r="E30" s="35">
        <f t="shared" si="14"/>
        <v>17033</v>
      </c>
      <c r="F30" s="35">
        <f t="shared" si="14"/>
        <v>8516.5</v>
      </c>
      <c r="G30" s="35">
        <f t="shared" si="14"/>
        <v>4258.400000000001</v>
      </c>
      <c r="H30" s="35">
        <f t="shared" si="14"/>
        <v>4258.099999999999</v>
      </c>
      <c r="I30" s="35">
        <f t="shared" si="14"/>
        <v>4258.400000000001</v>
      </c>
      <c r="J30" s="35">
        <f t="shared" si="14"/>
        <v>4258.099999999999</v>
      </c>
      <c r="K30" s="35">
        <f t="shared" si="14"/>
        <v>7229.200000000001</v>
      </c>
      <c r="L30" s="35" t="e">
        <f>K30/#REF!*100</f>
        <v>#REF!</v>
      </c>
      <c r="M30" s="35">
        <f aca="true" t="shared" si="15" ref="M30:M37">K30/I30*100</f>
        <v>169.76329137704303</v>
      </c>
      <c r="N30" s="69"/>
      <c r="O30" s="69"/>
      <c r="P30" s="35">
        <f t="shared" si="4"/>
        <v>169.7752518729011</v>
      </c>
      <c r="Q30" s="46">
        <f>K30/D30*100</f>
        <v>42.44231785357835</v>
      </c>
      <c r="R30" s="35">
        <f t="shared" si="6"/>
        <v>84.8846357071567</v>
      </c>
      <c r="S30" s="32">
        <f aca="true" t="shared" si="16" ref="S30:S37">K30*100/E30</f>
        <v>42.44231785357835</v>
      </c>
      <c r="T30" s="96">
        <f>K30/F30*100</f>
        <v>84.8846357071567</v>
      </c>
    </row>
    <row r="31" spans="1:20" ht="12.75">
      <c r="A31" s="19" t="s">
        <v>23</v>
      </c>
      <c r="B31" s="19"/>
      <c r="C31" s="47" t="s">
        <v>22</v>
      </c>
      <c r="D31" s="76">
        <v>11900</v>
      </c>
      <c r="E31" s="73">
        <f aca="true" t="shared" si="17" ref="E31:E37">G31+H31+I31+J31</f>
        <v>11900</v>
      </c>
      <c r="F31" s="76">
        <f aca="true" t="shared" si="18" ref="F31:F40">G31+H31</f>
        <v>5950</v>
      </c>
      <c r="G31" s="76">
        <v>2975</v>
      </c>
      <c r="H31" s="76">
        <v>2975</v>
      </c>
      <c r="I31" s="24">
        <v>2975</v>
      </c>
      <c r="J31" s="25">
        <v>2975</v>
      </c>
      <c r="K31" s="48">
        <v>5524.1</v>
      </c>
      <c r="L31" s="28" t="e">
        <f>K31/#REF!*100</f>
        <v>#REF!</v>
      </c>
      <c r="M31" s="28">
        <f t="shared" si="15"/>
        <v>185.6840336134454</v>
      </c>
      <c r="N31" s="69"/>
      <c r="O31" s="69"/>
      <c r="P31" s="24">
        <f t="shared" si="4"/>
        <v>185.68403361344537</v>
      </c>
      <c r="Q31" s="24">
        <f aca="true" t="shared" si="19" ref="Q31:Q42">K31/D31*100</f>
        <v>46.42100840336135</v>
      </c>
      <c r="R31" s="28">
        <f>K31*100/F31</f>
        <v>92.84201680672268</v>
      </c>
      <c r="S31" s="25">
        <f t="shared" si="16"/>
        <v>46.42100840336134</v>
      </c>
      <c r="T31" s="95">
        <f aca="true" t="shared" si="20" ref="T31:T42">K31/F31*100</f>
        <v>92.8420168067227</v>
      </c>
    </row>
    <row r="32" spans="1:20" ht="12.75">
      <c r="A32" s="19" t="s">
        <v>70</v>
      </c>
      <c r="B32" s="19"/>
      <c r="C32" s="36" t="s">
        <v>71</v>
      </c>
      <c r="D32" s="73">
        <v>2083</v>
      </c>
      <c r="E32" s="73">
        <f t="shared" si="17"/>
        <v>2083</v>
      </c>
      <c r="F32" s="76">
        <f t="shared" si="18"/>
        <v>1041.5</v>
      </c>
      <c r="G32" s="76">
        <v>520.8</v>
      </c>
      <c r="H32" s="76">
        <v>520.7</v>
      </c>
      <c r="I32" s="24">
        <v>520.8</v>
      </c>
      <c r="J32" s="25">
        <v>520.7</v>
      </c>
      <c r="K32" s="48">
        <v>656.3</v>
      </c>
      <c r="L32" s="28"/>
      <c r="M32" s="28"/>
      <c r="N32" s="69"/>
      <c r="O32" s="69"/>
      <c r="P32" s="24"/>
      <c r="Q32" s="24">
        <f t="shared" si="19"/>
        <v>31.50744119059049</v>
      </c>
      <c r="R32" s="28">
        <f>K32*100/F32</f>
        <v>63.01488238118099</v>
      </c>
      <c r="S32" s="25">
        <f t="shared" si="16"/>
        <v>31.507441190590495</v>
      </c>
      <c r="T32" s="95">
        <f t="shared" si="20"/>
        <v>63.01488238118098</v>
      </c>
    </row>
    <row r="33" spans="1:20" ht="12.75">
      <c r="A33" s="19" t="s">
        <v>9</v>
      </c>
      <c r="B33" s="19"/>
      <c r="C33" s="36" t="s">
        <v>6</v>
      </c>
      <c r="D33" s="73">
        <v>590</v>
      </c>
      <c r="E33" s="73">
        <f t="shared" si="17"/>
        <v>590</v>
      </c>
      <c r="F33" s="76">
        <f t="shared" si="18"/>
        <v>295</v>
      </c>
      <c r="G33" s="73">
        <v>147.5</v>
      </c>
      <c r="H33" s="73">
        <v>147.5</v>
      </c>
      <c r="I33" s="24">
        <v>147.5</v>
      </c>
      <c r="J33" s="25">
        <v>147.5</v>
      </c>
      <c r="K33" s="25">
        <v>171.6</v>
      </c>
      <c r="L33" s="28" t="e">
        <f>K33/#REF!*100</f>
        <v>#REF!</v>
      </c>
      <c r="M33" s="28">
        <f t="shared" si="15"/>
        <v>116.33898305084745</v>
      </c>
      <c r="N33" s="69"/>
      <c r="O33" s="69"/>
      <c r="P33" s="24">
        <f t="shared" si="4"/>
        <v>116.33898305084746</v>
      </c>
      <c r="Q33" s="24">
        <f t="shared" si="19"/>
        <v>29.08474576271186</v>
      </c>
      <c r="R33" s="28">
        <f t="shared" si="6"/>
        <v>58.16949152542373</v>
      </c>
      <c r="S33" s="25">
        <f t="shared" si="16"/>
        <v>29.084745762711865</v>
      </c>
      <c r="T33" s="95">
        <f t="shared" si="20"/>
        <v>58.16949152542372</v>
      </c>
    </row>
    <row r="34" spans="1:20" ht="12.75">
      <c r="A34" s="19" t="s">
        <v>10</v>
      </c>
      <c r="B34" s="19"/>
      <c r="C34" s="36" t="s">
        <v>21</v>
      </c>
      <c r="D34" s="73">
        <v>24</v>
      </c>
      <c r="E34" s="73">
        <f t="shared" si="17"/>
        <v>24</v>
      </c>
      <c r="F34" s="76">
        <f t="shared" si="18"/>
        <v>12</v>
      </c>
      <c r="G34" s="73">
        <v>6</v>
      </c>
      <c r="H34" s="73">
        <v>6</v>
      </c>
      <c r="I34" s="24">
        <v>6</v>
      </c>
      <c r="J34" s="25">
        <v>6</v>
      </c>
      <c r="K34" s="25">
        <v>11.3</v>
      </c>
      <c r="L34" s="28" t="e">
        <f>K34/#REF!*100</f>
        <v>#REF!</v>
      </c>
      <c r="M34" s="28">
        <f t="shared" si="15"/>
        <v>188.33333333333334</v>
      </c>
      <c r="N34" s="69"/>
      <c r="O34" s="69"/>
      <c r="P34" s="24">
        <f t="shared" si="4"/>
        <v>188.33333333333334</v>
      </c>
      <c r="Q34" s="24">
        <f t="shared" si="19"/>
        <v>47.083333333333336</v>
      </c>
      <c r="R34" s="28">
        <f t="shared" si="6"/>
        <v>94.16666666666667</v>
      </c>
      <c r="S34" s="25">
        <f t="shared" si="16"/>
        <v>47.083333333333336</v>
      </c>
      <c r="T34" s="95">
        <f t="shared" si="20"/>
        <v>94.16666666666667</v>
      </c>
    </row>
    <row r="35" spans="1:20" ht="24">
      <c r="A35" s="20" t="s">
        <v>11</v>
      </c>
      <c r="B35" s="20"/>
      <c r="C35" s="36" t="s">
        <v>17</v>
      </c>
      <c r="D35" s="73">
        <v>1755</v>
      </c>
      <c r="E35" s="73">
        <f t="shared" si="17"/>
        <v>1755</v>
      </c>
      <c r="F35" s="76">
        <f t="shared" si="18"/>
        <v>877.5</v>
      </c>
      <c r="G35" s="73">
        <v>438.8</v>
      </c>
      <c r="H35" s="73">
        <v>438.7</v>
      </c>
      <c r="I35" s="24">
        <v>438.8</v>
      </c>
      <c r="J35" s="25">
        <v>438.7</v>
      </c>
      <c r="K35" s="25">
        <v>522.4</v>
      </c>
      <c r="L35" s="28" t="e">
        <f>K35/#REF!*100</f>
        <v>#REF!</v>
      </c>
      <c r="M35" s="28">
        <f t="shared" si="15"/>
        <v>119.05195989061075</v>
      </c>
      <c r="N35" s="69"/>
      <c r="O35" s="69"/>
      <c r="P35" s="24">
        <f t="shared" si="4"/>
        <v>119.07909733302941</v>
      </c>
      <c r="Q35" s="24">
        <f t="shared" si="19"/>
        <v>29.766381766381766</v>
      </c>
      <c r="R35" s="28">
        <f t="shared" si="6"/>
        <v>59.53276353276353</v>
      </c>
      <c r="S35" s="25">
        <f t="shared" si="16"/>
        <v>29.766381766381766</v>
      </c>
      <c r="T35" s="95">
        <f t="shared" si="20"/>
        <v>59.53276353276353</v>
      </c>
    </row>
    <row r="36" spans="1:20" ht="15" customHeight="1">
      <c r="A36" s="38" t="s">
        <v>42</v>
      </c>
      <c r="B36" s="38"/>
      <c r="C36" s="36" t="s">
        <v>43</v>
      </c>
      <c r="D36" s="73">
        <v>616</v>
      </c>
      <c r="E36" s="73">
        <f t="shared" si="17"/>
        <v>616</v>
      </c>
      <c r="F36" s="76">
        <f t="shared" si="18"/>
        <v>308</v>
      </c>
      <c r="G36" s="73">
        <v>154</v>
      </c>
      <c r="H36" s="73">
        <v>154</v>
      </c>
      <c r="I36" s="24">
        <v>154</v>
      </c>
      <c r="J36" s="25">
        <v>154</v>
      </c>
      <c r="K36" s="25">
        <v>126</v>
      </c>
      <c r="L36" s="28"/>
      <c r="M36" s="28">
        <f t="shared" si="15"/>
        <v>81.81818181818183</v>
      </c>
      <c r="N36" s="69"/>
      <c r="O36" s="69"/>
      <c r="P36" s="24">
        <f t="shared" si="4"/>
        <v>81.81818181818181</v>
      </c>
      <c r="Q36" s="24">
        <f t="shared" si="19"/>
        <v>20.454545454545457</v>
      </c>
      <c r="R36" s="28">
        <f t="shared" si="6"/>
        <v>40.90909090909091</v>
      </c>
      <c r="S36" s="25">
        <f t="shared" si="16"/>
        <v>20.454545454545453</v>
      </c>
      <c r="T36" s="95">
        <f t="shared" si="20"/>
        <v>40.909090909090914</v>
      </c>
    </row>
    <row r="37" spans="1:20" ht="12.75">
      <c r="A37" s="37" t="s">
        <v>18</v>
      </c>
      <c r="B37" s="37"/>
      <c r="C37" s="36" t="s">
        <v>15</v>
      </c>
      <c r="D37" s="73">
        <v>65</v>
      </c>
      <c r="E37" s="73">
        <f t="shared" si="17"/>
        <v>65</v>
      </c>
      <c r="F37" s="76">
        <f t="shared" si="18"/>
        <v>32.5</v>
      </c>
      <c r="G37" s="73">
        <v>16.3</v>
      </c>
      <c r="H37" s="73">
        <v>16.2</v>
      </c>
      <c r="I37" s="24">
        <v>16.3</v>
      </c>
      <c r="J37" s="25">
        <v>16.2</v>
      </c>
      <c r="K37" s="25">
        <v>43.3</v>
      </c>
      <c r="L37" s="28" t="e">
        <f>K37/#REF!*100</f>
        <v>#REF!</v>
      </c>
      <c r="M37" s="28">
        <f t="shared" si="15"/>
        <v>265.64417177914106</v>
      </c>
      <c r="N37" s="69"/>
      <c r="O37" s="69"/>
      <c r="P37" s="24">
        <f t="shared" si="4"/>
        <v>267.28395061728395</v>
      </c>
      <c r="Q37" s="24">
        <f t="shared" si="19"/>
        <v>66.61538461538461</v>
      </c>
      <c r="R37" s="28">
        <f t="shared" si="6"/>
        <v>133.23076923076923</v>
      </c>
      <c r="S37" s="25">
        <f t="shared" si="16"/>
        <v>66.61538461538461</v>
      </c>
      <c r="T37" s="95">
        <f t="shared" si="20"/>
        <v>133.23076923076923</v>
      </c>
    </row>
    <row r="38" spans="1:20" ht="15.75" customHeight="1">
      <c r="A38" s="39" t="s">
        <v>39</v>
      </c>
      <c r="B38" s="40"/>
      <c r="C38" s="23" t="s">
        <v>40</v>
      </c>
      <c r="D38" s="93"/>
      <c r="E38" s="36"/>
      <c r="F38" s="76">
        <f t="shared" si="18"/>
        <v>0</v>
      </c>
      <c r="G38" s="73"/>
      <c r="H38" s="73"/>
      <c r="I38" s="24"/>
      <c r="J38" s="25"/>
      <c r="K38" s="25">
        <v>174.2</v>
      </c>
      <c r="L38" s="28"/>
      <c r="M38" s="28"/>
      <c r="N38" s="69"/>
      <c r="O38" s="69"/>
      <c r="P38" s="24" t="e">
        <f t="shared" si="4"/>
        <v>#DIV/0!</v>
      </c>
      <c r="Q38" s="46"/>
      <c r="R38" s="35"/>
      <c r="S38" s="32"/>
      <c r="T38" s="95"/>
    </row>
    <row r="39" spans="1:20" ht="12.75">
      <c r="A39" s="33" t="s">
        <v>1</v>
      </c>
      <c r="B39" s="33"/>
      <c r="C39" s="41" t="s">
        <v>0</v>
      </c>
      <c r="D39" s="42">
        <f>D40+D41</f>
        <v>16878</v>
      </c>
      <c r="E39" s="42">
        <f>E40+E41</f>
        <v>19834.9</v>
      </c>
      <c r="F39" s="42">
        <f aca="true" t="shared" si="21" ref="F39:K39">F40+F41</f>
        <v>11395.900000000001</v>
      </c>
      <c r="G39" s="42">
        <f t="shared" si="21"/>
        <v>4108.3</v>
      </c>
      <c r="H39" s="42">
        <f t="shared" si="21"/>
        <v>7287.6</v>
      </c>
      <c r="I39" s="42">
        <f t="shared" si="21"/>
        <v>4219.5</v>
      </c>
      <c r="J39" s="42">
        <f t="shared" si="21"/>
        <v>4219.5</v>
      </c>
      <c r="K39" s="42">
        <f t="shared" si="21"/>
        <v>6051.9</v>
      </c>
      <c r="L39" s="42" t="e">
        <f>L40</f>
        <v>#REF!</v>
      </c>
      <c r="M39" s="35">
        <f>K39/I39*100</f>
        <v>143.42694632065408</v>
      </c>
      <c r="N39" s="69"/>
      <c r="O39" s="69"/>
      <c r="P39" s="46">
        <f t="shared" si="4"/>
        <v>143.4269463206541</v>
      </c>
      <c r="Q39" s="46">
        <f t="shared" si="19"/>
        <v>35.85673658016352</v>
      </c>
      <c r="R39" s="35">
        <f t="shared" si="6"/>
        <v>53.10594161057924</v>
      </c>
      <c r="S39" s="32">
        <f>K39*100/E39</f>
        <v>30.511371370664836</v>
      </c>
      <c r="T39" s="96">
        <f t="shared" si="20"/>
        <v>53.10594161057923</v>
      </c>
    </row>
    <row r="40" spans="1:20" ht="24">
      <c r="A40" s="21" t="s">
        <v>67</v>
      </c>
      <c r="B40" s="19"/>
      <c r="C40" s="43" t="s">
        <v>20</v>
      </c>
      <c r="D40" s="49">
        <v>16878</v>
      </c>
      <c r="E40" s="73">
        <f>G40+H40+I40+J40</f>
        <v>19834.9</v>
      </c>
      <c r="F40" s="76">
        <f t="shared" si="18"/>
        <v>11395.900000000001</v>
      </c>
      <c r="G40" s="49">
        <f>4062.5+45.8</f>
        <v>4108.3</v>
      </c>
      <c r="H40" s="49">
        <v>7287.6</v>
      </c>
      <c r="I40" s="24">
        <v>4219.5</v>
      </c>
      <c r="J40" s="49">
        <v>4219.5</v>
      </c>
      <c r="K40" s="25">
        <v>6051.9</v>
      </c>
      <c r="L40" s="28" t="e">
        <f>K40/#REF!*100</f>
        <v>#REF!</v>
      </c>
      <c r="M40" s="28">
        <f>K40/I40*100</f>
        <v>143.42694632065408</v>
      </c>
      <c r="N40" s="69"/>
      <c r="O40" s="69"/>
      <c r="P40" s="24">
        <f t="shared" si="4"/>
        <v>143.4269463206541</v>
      </c>
      <c r="Q40" s="24">
        <f t="shared" si="19"/>
        <v>35.85673658016352</v>
      </c>
      <c r="R40" s="28">
        <f t="shared" si="6"/>
        <v>53.10594161057924</v>
      </c>
      <c r="S40" s="25">
        <f>K40*100/E40</f>
        <v>30.511371370664836</v>
      </c>
      <c r="T40" s="95">
        <f t="shared" si="20"/>
        <v>53.10594161057923</v>
      </c>
    </row>
    <row r="41" spans="1:20" ht="12.75" hidden="1">
      <c r="A41" s="21" t="s">
        <v>2</v>
      </c>
      <c r="B41" s="21"/>
      <c r="C41" s="44" t="s">
        <v>19</v>
      </c>
      <c r="D41" s="44"/>
      <c r="E41" s="73">
        <f>G41+H41+I41+J41</f>
        <v>0</v>
      </c>
      <c r="F41" s="73">
        <f>G41</f>
        <v>0</v>
      </c>
      <c r="G41" s="49"/>
      <c r="H41" s="49"/>
      <c r="I41" s="24"/>
      <c r="J41" s="49"/>
      <c r="K41" s="25"/>
      <c r="L41" s="28"/>
      <c r="M41" s="28"/>
      <c r="N41" s="69"/>
      <c r="O41" s="69"/>
      <c r="P41" s="24"/>
      <c r="Q41" s="46" t="e">
        <f t="shared" si="19"/>
        <v>#DIV/0!</v>
      </c>
      <c r="R41" s="28"/>
      <c r="S41" s="25"/>
      <c r="T41" s="96" t="e">
        <f t="shared" si="20"/>
        <v>#DIV/0!</v>
      </c>
    </row>
    <row r="42" spans="1:20" ht="12.75">
      <c r="A42" s="29"/>
      <c r="B42" s="30"/>
      <c r="C42" s="31" t="s">
        <v>4</v>
      </c>
      <c r="D42" s="32">
        <f aca="true" t="shared" si="22" ref="D42:J42">D39+D30</f>
        <v>33911</v>
      </c>
      <c r="E42" s="32">
        <f t="shared" si="22"/>
        <v>36867.9</v>
      </c>
      <c r="F42" s="32">
        <f t="shared" si="22"/>
        <v>19912.4</v>
      </c>
      <c r="G42" s="32">
        <f t="shared" si="22"/>
        <v>8366.7</v>
      </c>
      <c r="H42" s="32">
        <f t="shared" si="22"/>
        <v>11545.7</v>
      </c>
      <c r="I42" s="32">
        <f t="shared" si="22"/>
        <v>8477.900000000001</v>
      </c>
      <c r="J42" s="32">
        <f t="shared" si="22"/>
        <v>8477.599999999999</v>
      </c>
      <c r="K42" s="32">
        <f>K39+K30</f>
        <v>13281.1</v>
      </c>
      <c r="L42" s="35" t="e">
        <f>K42/#REF!*100</f>
        <v>#REF!</v>
      </c>
      <c r="M42" s="35">
        <f>K42/I42*100</f>
        <v>156.65553969733068</v>
      </c>
      <c r="N42" s="69"/>
      <c r="O42" s="70" t="e">
        <f>J42+#REF!+#REF!</f>
        <v>#REF!</v>
      </c>
      <c r="P42" s="46">
        <f t="shared" si="4"/>
        <v>156.6610833254695</v>
      </c>
      <c r="Q42" s="46">
        <f t="shared" si="19"/>
        <v>39.16457786558934</v>
      </c>
      <c r="R42" s="35">
        <f t="shared" si="6"/>
        <v>66.69763564412125</v>
      </c>
      <c r="S42" s="32">
        <f>K42*100/E42</f>
        <v>36.02347841889557</v>
      </c>
      <c r="T42" s="96">
        <f t="shared" si="20"/>
        <v>66.69763564412125</v>
      </c>
    </row>
    <row r="43" spans="1:20" ht="12.75">
      <c r="A43" s="50"/>
      <c r="B43" s="51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9"/>
      <c r="N43" s="69"/>
      <c r="O43" s="69"/>
      <c r="P43" s="67"/>
      <c r="Q43" s="24"/>
      <c r="R43" s="35"/>
      <c r="S43" s="32"/>
      <c r="T43" s="97"/>
    </row>
    <row r="44" spans="1:20" ht="12.75">
      <c r="A44" s="103" t="s">
        <v>26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85"/>
      <c r="R44" s="35"/>
      <c r="S44" s="32"/>
      <c r="T44" s="97"/>
    </row>
    <row r="45" spans="1:20" ht="12.75">
      <c r="A45" s="33" t="s">
        <v>3</v>
      </c>
      <c r="B45" s="33"/>
      <c r="C45" s="34" t="s">
        <v>68</v>
      </c>
      <c r="D45" s="35">
        <f aca="true" t="shared" si="23" ref="D45:K45">D46+D49+D51+D52+D53+D54+D50+D48+D47</f>
        <v>19510.6</v>
      </c>
      <c r="E45" s="35">
        <f t="shared" si="23"/>
        <v>19710.6</v>
      </c>
      <c r="F45" s="35">
        <f t="shared" si="23"/>
        <v>9934.699999999999</v>
      </c>
      <c r="G45" s="35">
        <f t="shared" si="23"/>
        <v>5067.4</v>
      </c>
      <c r="H45" s="35">
        <f t="shared" si="23"/>
        <v>4867.299999999999</v>
      </c>
      <c r="I45" s="35">
        <f t="shared" si="23"/>
        <v>4867.4</v>
      </c>
      <c r="J45" s="35">
        <f t="shared" si="23"/>
        <v>4908.5</v>
      </c>
      <c r="K45" s="35">
        <f t="shared" si="23"/>
        <v>7168.700000000001</v>
      </c>
      <c r="L45" s="35" t="e">
        <f>K45/#REF!*100</f>
        <v>#REF!</v>
      </c>
      <c r="M45" s="35">
        <f>K45/I45*100</f>
        <v>147.27986193861202</v>
      </c>
      <c r="N45" s="69"/>
      <c r="O45" s="69"/>
      <c r="P45" s="35">
        <f t="shared" si="4"/>
        <v>146.04665376387902</v>
      </c>
      <c r="Q45" s="46">
        <f>K45/D45*100</f>
        <v>36.742591206831165</v>
      </c>
      <c r="R45" s="35">
        <f t="shared" si="6"/>
        <v>72.15819300029193</v>
      </c>
      <c r="S45" s="32">
        <f>K45*100/E45</f>
        <v>36.3697705802969</v>
      </c>
      <c r="T45" s="96">
        <f>K45/F45*100</f>
        <v>72.15819300029193</v>
      </c>
    </row>
    <row r="46" spans="1:20" ht="12.75">
      <c r="A46" s="29" t="s">
        <v>23</v>
      </c>
      <c r="B46" s="19"/>
      <c r="C46" s="47" t="s">
        <v>22</v>
      </c>
      <c r="D46" s="76">
        <v>12300</v>
      </c>
      <c r="E46" s="73">
        <f aca="true" t="shared" si="24" ref="E46:E58">G46+H46+I46+J46</f>
        <v>12300</v>
      </c>
      <c r="F46" s="76">
        <f aca="true" t="shared" si="25" ref="F46:F56">G46+H46</f>
        <v>6150</v>
      </c>
      <c r="G46" s="73">
        <v>3075</v>
      </c>
      <c r="H46" s="73">
        <v>3075</v>
      </c>
      <c r="I46" s="24">
        <v>3075</v>
      </c>
      <c r="J46" s="25">
        <v>3075</v>
      </c>
      <c r="K46" s="48">
        <v>4781.1</v>
      </c>
      <c r="L46" s="28" t="e">
        <f>K46/#REF!*100</f>
        <v>#REF!</v>
      </c>
      <c r="M46" s="28">
        <f>K46/I46*100</f>
        <v>155.4829268292683</v>
      </c>
      <c r="N46" s="69"/>
      <c r="O46" s="69"/>
      <c r="P46" s="24">
        <f t="shared" si="4"/>
        <v>155.4829268292683</v>
      </c>
      <c r="Q46" s="24">
        <f aca="true" t="shared" si="26" ref="Q46:Q59">K46/D46*100</f>
        <v>38.87073170731708</v>
      </c>
      <c r="R46" s="28">
        <f t="shared" si="6"/>
        <v>77.74146341463415</v>
      </c>
      <c r="S46" s="25">
        <f>K46*100/E46</f>
        <v>38.87073170731708</v>
      </c>
      <c r="T46" s="95">
        <f aca="true" t="shared" si="27" ref="T46:T59">K46/F46*100</f>
        <v>77.74146341463415</v>
      </c>
    </row>
    <row r="47" spans="1:20" ht="12.75">
      <c r="A47" s="19" t="s">
        <v>70</v>
      </c>
      <c r="B47" s="19"/>
      <c r="C47" s="36" t="s">
        <v>71</v>
      </c>
      <c r="D47" s="73">
        <v>4056.1</v>
      </c>
      <c r="E47" s="73">
        <f t="shared" si="24"/>
        <v>4056.0999999999995</v>
      </c>
      <c r="F47" s="76">
        <f t="shared" si="25"/>
        <v>2007.6</v>
      </c>
      <c r="G47" s="73">
        <v>1003.8</v>
      </c>
      <c r="H47" s="73">
        <v>1003.8</v>
      </c>
      <c r="I47" s="24">
        <v>1003.8</v>
      </c>
      <c r="J47" s="25">
        <v>1044.7</v>
      </c>
      <c r="K47" s="48">
        <v>1278</v>
      </c>
      <c r="L47" s="28"/>
      <c r="M47" s="28"/>
      <c r="N47" s="69"/>
      <c r="O47" s="69"/>
      <c r="P47" s="24"/>
      <c r="Q47" s="24">
        <f t="shared" si="26"/>
        <v>31.5080989127487</v>
      </c>
      <c r="R47" s="28">
        <f>K47*100/F47</f>
        <v>63.658099222952785</v>
      </c>
      <c r="S47" s="25">
        <f>K47*100/E47</f>
        <v>31.508098912748704</v>
      </c>
      <c r="T47" s="95">
        <f t="shared" si="27"/>
        <v>63.65809922295278</v>
      </c>
    </row>
    <row r="48" spans="1:20" ht="12.75">
      <c r="A48" s="19" t="s">
        <v>8</v>
      </c>
      <c r="B48" s="19"/>
      <c r="C48" s="36" t="s">
        <v>5</v>
      </c>
      <c r="D48" s="73">
        <v>17</v>
      </c>
      <c r="E48" s="73">
        <f t="shared" si="24"/>
        <v>17</v>
      </c>
      <c r="F48" s="76">
        <f t="shared" si="25"/>
        <v>8.4</v>
      </c>
      <c r="G48" s="73">
        <v>4.2</v>
      </c>
      <c r="H48" s="73">
        <v>4.2</v>
      </c>
      <c r="I48" s="24">
        <v>4.2</v>
      </c>
      <c r="J48" s="25">
        <v>4.4</v>
      </c>
      <c r="K48" s="48">
        <v>13.5</v>
      </c>
      <c r="L48" s="28" t="e">
        <f>K48/#REF!*100</f>
        <v>#REF!</v>
      </c>
      <c r="M48" s="28">
        <f>K48/I48*100</f>
        <v>321.4285714285714</v>
      </c>
      <c r="N48" s="69"/>
      <c r="O48" s="69"/>
      <c r="P48" s="24">
        <f t="shared" si="4"/>
        <v>306.8181818181818</v>
      </c>
      <c r="Q48" s="24">
        <f t="shared" si="26"/>
        <v>79.41176470588235</v>
      </c>
      <c r="R48" s="28">
        <f t="shared" si="6"/>
        <v>160.7142857142857</v>
      </c>
      <c r="S48" s="25">
        <f>K48*100/E48</f>
        <v>79.41176470588235</v>
      </c>
      <c r="T48" s="95">
        <f t="shared" si="27"/>
        <v>160.7142857142857</v>
      </c>
    </row>
    <row r="49" spans="1:20" ht="14.25" customHeight="1">
      <c r="A49" s="19" t="s">
        <v>9</v>
      </c>
      <c r="B49" s="19"/>
      <c r="C49" s="36" t="s">
        <v>6</v>
      </c>
      <c r="D49" s="73">
        <v>2280</v>
      </c>
      <c r="E49" s="73">
        <f t="shared" si="24"/>
        <v>2280</v>
      </c>
      <c r="F49" s="76">
        <f t="shared" si="25"/>
        <v>1140</v>
      </c>
      <c r="G49" s="73">
        <v>570</v>
      </c>
      <c r="H49" s="73">
        <v>570</v>
      </c>
      <c r="I49" s="24">
        <v>570</v>
      </c>
      <c r="J49" s="25">
        <v>570</v>
      </c>
      <c r="K49" s="25">
        <v>510</v>
      </c>
      <c r="L49" s="28" t="e">
        <f>K49/#REF!*100</f>
        <v>#REF!</v>
      </c>
      <c r="M49" s="28">
        <f>K49/I49*100</f>
        <v>89.47368421052632</v>
      </c>
      <c r="N49" s="69"/>
      <c r="O49" s="69"/>
      <c r="P49" s="24">
        <f t="shared" si="4"/>
        <v>89.47368421052632</v>
      </c>
      <c r="Q49" s="24">
        <f t="shared" si="26"/>
        <v>22.36842105263158</v>
      </c>
      <c r="R49" s="28">
        <f t="shared" si="6"/>
        <v>44.73684210526316</v>
      </c>
      <c r="S49" s="25">
        <f>K49*100/E49</f>
        <v>22.36842105263158</v>
      </c>
      <c r="T49" s="95">
        <f t="shared" si="27"/>
        <v>44.73684210526316</v>
      </c>
    </row>
    <row r="50" spans="1:20" ht="18" customHeight="1">
      <c r="A50" s="19" t="s">
        <v>10</v>
      </c>
      <c r="B50" s="19"/>
      <c r="C50" s="36" t="s">
        <v>21</v>
      </c>
      <c r="D50" s="73">
        <v>0</v>
      </c>
      <c r="E50" s="73">
        <f t="shared" si="24"/>
        <v>0</v>
      </c>
      <c r="F50" s="76">
        <f t="shared" si="25"/>
        <v>0</v>
      </c>
      <c r="G50" s="73"/>
      <c r="H50" s="73"/>
      <c r="I50" s="24"/>
      <c r="J50" s="25"/>
      <c r="K50" s="25">
        <v>1.6</v>
      </c>
      <c r="L50" s="28"/>
      <c r="M50" s="28"/>
      <c r="N50" s="69"/>
      <c r="O50" s="69"/>
      <c r="P50" s="24" t="e">
        <f t="shared" si="4"/>
        <v>#DIV/0!</v>
      </c>
      <c r="Q50" s="24"/>
      <c r="R50" s="28"/>
      <c r="S50" s="25"/>
      <c r="T50" s="95"/>
    </row>
    <row r="51" spans="1:20" ht="24">
      <c r="A51" s="20" t="s">
        <v>11</v>
      </c>
      <c r="B51" s="20"/>
      <c r="C51" s="36" t="s">
        <v>17</v>
      </c>
      <c r="D51" s="73">
        <v>632.5</v>
      </c>
      <c r="E51" s="73">
        <f t="shared" si="24"/>
        <v>832.5</v>
      </c>
      <c r="F51" s="76">
        <f t="shared" si="25"/>
        <v>516.2</v>
      </c>
      <c r="G51" s="73">
        <f>158.1+200</f>
        <v>358.1</v>
      </c>
      <c r="H51" s="73">
        <v>158.1</v>
      </c>
      <c r="I51" s="24">
        <v>158.1</v>
      </c>
      <c r="J51" s="25">
        <v>158.2</v>
      </c>
      <c r="K51" s="25">
        <v>536</v>
      </c>
      <c r="L51" s="28" t="e">
        <f>K51/#REF!*100</f>
        <v>#REF!</v>
      </c>
      <c r="M51" s="28">
        <f>K51/I51*100</f>
        <v>339.0259329538267</v>
      </c>
      <c r="N51" s="69"/>
      <c r="O51" s="69"/>
      <c r="P51" s="24">
        <f t="shared" si="4"/>
        <v>338.8116308470291</v>
      </c>
      <c r="Q51" s="24">
        <f t="shared" si="26"/>
        <v>84.74308300395256</v>
      </c>
      <c r="R51" s="28">
        <f t="shared" si="6"/>
        <v>103.83572258814412</v>
      </c>
      <c r="S51" s="25">
        <f>K51*100/E51</f>
        <v>64.38438438438439</v>
      </c>
      <c r="T51" s="95">
        <f t="shared" si="27"/>
        <v>103.83572258814414</v>
      </c>
    </row>
    <row r="52" spans="1:20" ht="12.75">
      <c r="A52" s="38" t="s">
        <v>18</v>
      </c>
      <c r="B52" s="38"/>
      <c r="C52" s="36" t="s">
        <v>15</v>
      </c>
      <c r="D52" s="73">
        <v>225</v>
      </c>
      <c r="E52" s="73">
        <f t="shared" si="24"/>
        <v>225</v>
      </c>
      <c r="F52" s="76">
        <f t="shared" si="25"/>
        <v>112.5</v>
      </c>
      <c r="G52" s="73">
        <v>56.3</v>
      </c>
      <c r="H52" s="73">
        <v>56.2</v>
      </c>
      <c r="I52" s="24">
        <v>56.3</v>
      </c>
      <c r="J52" s="25">
        <v>56.2</v>
      </c>
      <c r="K52" s="25">
        <v>48.5</v>
      </c>
      <c r="L52" s="28" t="e">
        <f>K52/#REF!*100</f>
        <v>#REF!</v>
      </c>
      <c r="M52" s="28">
        <f>K52/I52*100</f>
        <v>86.14564831261102</v>
      </c>
      <c r="N52" s="69"/>
      <c r="O52" s="69"/>
      <c r="P52" s="24">
        <f t="shared" si="4"/>
        <v>86.29893238434163</v>
      </c>
      <c r="Q52" s="24">
        <f t="shared" si="26"/>
        <v>21.555555555555557</v>
      </c>
      <c r="R52" s="28">
        <f t="shared" si="6"/>
        <v>43.111111111111114</v>
      </c>
      <c r="S52" s="25">
        <f>K52*100/E52</f>
        <v>21.555555555555557</v>
      </c>
      <c r="T52" s="95">
        <f t="shared" si="27"/>
        <v>43.111111111111114</v>
      </c>
    </row>
    <row r="53" spans="1:20" ht="17.25" customHeight="1" hidden="1">
      <c r="A53" s="29" t="s">
        <v>12</v>
      </c>
      <c r="B53" s="29"/>
      <c r="C53" s="36" t="s">
        <v>7</v>
      </c>
      <c r="D53" s="73"/>
      <c r="E53" s="73">
        <f t="shared" si="24"/>
        <v>0</v>
      </c>
      <c r="F53" s="76">
        <f t="shared" si="25"/>
        <v>0</v>
      </c>
      <c r="G53" s="73"/>
      <c r="H53" s="73"/>
      <c r="I53" s="24"/>
      <c r="J53" s="25"/>
      <c r="K53" s="25"/>
      <c r="L53" s="28" t="e">
        <f>K53/#REF!*100</f>
        <v>#REF!</v>
      </c>
      <c r="M53" s="28"/>
      <c r="N53" s="69"/>
      <c r="O53" s="69"/>
      <c r="P53" s="24" t="e">
        <f t="shared" si="4"/>
        <v>#DIV/0!</v>
      </c>
      <c r="Q53" s="24" t="e">
        <f t="shared" si="26"/>
        <v>#DIV/0!</v>
      </c>
      <c r="R53" s="28"/>
      <c r="S53" s="25"/>
      <c r="T53" s="96" t="e">
        <f t="shared" si="27"/>
        <v>#DIV/0!</v>
      </c>
    </row>
    <row r="54" spans="1:20" ht="14.25" customHeight="1">
      <c r="A54" s="52" t="s">
        <v>39</v>
      </c>
      <c r="B54" s="40"/>
      <c r="C54" s="23" t="s">
        <v>40</v>
      </c>
      <c r="D54" s="93">
        <v>0</v>
      </c>
      <c r="E54" s="73">
        <f t="shared" si="24"/>
        <v>0</v>
      </c>
      <c r="F54" s="76">
        <f t="shared" si="25"/>
        <v>0</v>
      </c>
      <c r="G54" s="73"/>
      <c r="H54" s="73"/>
      <c r="I54" s="24"/>
      <c r="J54" s="25"/>
      <c r="K54" s="25"/>
      <c r="L54" s="28"/>
      <c r="M54" s="28"/>
      <c r="N54" s="69"/>
      <c r="O54" s="69"/>
      <c r="P54" s="24" t="e">
        <f t="shared" si="4"/>
        <v>#DIV/0!</v>
      </c>
      <c r="Q54" s="24"/>
      <c r="R54" s="28"/>
      <c r="S54" s="25"/>
      <c r="T54" s="96"/>
    </row>
    <row r="55" spans="1:20" ht="12.75">
      <c r="A55" s="45" t="s">
        <v>1</v>
      </c>
      <c r="B55" s="45"/>
      <c r="C55" s="41" t="s">
        <v>0</v>
      </c>
      <c r="D55" s="42">
        <f>D56+D58+D57</f>
        <v>24457</v>
      </c>
      <c r="E55" s="42">
        <f>E56+E58+E57</f>
        <v>36710.2</v>
      </c>
      <c r="F55" s="42">
        <f aca="true" t="shared" si="28" ref="F55:P55">F56+F58+F57</f>
        <v>24481.6</v>
      </c>
      <c r="G55" s="42">
        <f t="shared" si="28"/>
        <v>17820.1</v>
      </c>
      <c r="H55" s="42">
        <f t="shared" si="28"/>
        <v>6661.5</v>
      </c>
      <c r="I55" s="42">
        <f t="shared" si="28"/>
        <v>6114.3</v>
      </c>
      <c r="J55" s="42">
        <f t="shared" si="28"/>
        <v>6114.3</v>
      </c>
      <c r="K55" s="42">
        <f t="shared" si="28"/>
        <v>11384.5</v>
      </c>
      <c r="L55" s="42" t="e">
        <f t="shared" si="28"/>
        <v>#REF!</v>
      </c>
      <c r="M55" s="42">
        <f t="shared" si="28"/>
        <v>186.19465842369527</v>
      </c>
      <c r="N55" s="42">
        <f t="shared" si="28"/>
        <v>0.1</v>
      </c>
      <c r="O55" s="42">
        <f t="shared" si="28"/>
        <v>0</v>
      </c>
      <c r="P55" s="42" t="e">
        <f t="shared" si="28"/>
        <v>#DIV/0!</v>
      </c>
      <c r="Q55" s="46">
        <f t="shared" si="26"/>
        <v>46.54904526311485</v>
      </c>
      <c r="R55" s="35">
        <f t="shared" si="6"/>
        <v>46.502271093392594</v>
      </c>
      <c r="S55" s="32">
        <f>K55*100/E55</f>
        <v>31.011816879232477</v>
      </c>
      <c r="T55" s="96">
        <f t="shared" si="27"/>
        <v>46.502271093392594</v>
      </c>
    </row>
    <row r="56" spans="1:20" ht="24">
      <c r="A56" s="21" t="s">
        <v>67</v>
      </c>
      <c r="B56" s="19"/>
      <c r="C56" s="43" t="s">
        <v>20</v>
      </c>
      <c r="D56" s="89">
        <v>24457</v>
      </c>
      <c r="E56" s="73">
        <f t="shared" si="24"/>
        <v>36710.2</v>
      </c>
      <c r="F56" s="76">
        <f t="shared" si="25"/>
        <v>24481.6</v>
      </c>
      <c r="G56" s="49">
        <f>17770.1+50</f>
        <v>17820.1</v>
      </c>
      <c r="H56" s="49">
        <v>6661.5</v>
      </c>
      <c r="I56" s="24">
        <v>6114.3</v>
      </c>
      <c r="J56" s="24">
        <v>6114.3</v>
      </c>
      <c r="K56" s="25">
        <v>11384.5</v>
      </c>
      <c r="L56" s="28" t="e">
        <f>K56/#REF!*100</f>
        <v>#REF!</v>
      </c>
      <c r="M56" s="28">
        <f>K56/I56*100</f>
        <v>186.19465842369527</v>
      </c>
      <c r="N56" s="69">
        <v>0.1</v>
      </c>
      <c r="O56" s="69"/>
      <c r="P56" s="24">
        <f t="shared" si="4"/>
        <v>186.19465842369527</v>
      </c>
      <c r="Q56" s="24">
        <f t="shared" si="26"/>
        <v>46.54904526311485</v>
      </c>
      <c r="R56" s="28">
        <f t="shared" si="6"/>
        <v>46.502271093392594</v>
      </c>
      <c r="S56" s="25">
        <f>K56*100/E56</f>
        <v>31.011816879232477</v>
      </c>
      <c r="T56" s="95">
        <f t="shared" si="27"/>
        <v>46.502271093392594</v>
      </c>
    </row>
    <row r="57" spans="1:20" ht="12.75" hidden="1">
      <c r="A57" s="21" t="s">
        <v>2</v>
      </c>
      <c r="B57" s="21"/>
      <c r="C57" s="44" t="s">
        <v>19</v>
      </c>
      <c r="D57" s="44"/>
      <c r="E57" s="73">
        <f>G57+H57+I57+J57</f>
        <v>0</v>
      </c>
      <c r="F57" s="73">
        <f>G57</f>
        <v>0</v>
      </c>
      <c r="G57" s="49"/>
      <c r="H57" s="49"/>
      <c r="I57" s="24"/>
      <c r="J57" s="67"/>
      <c r="K57" s="25"/>
      <c r="L57" s="28"/>
      <c r="M57" s="28"/>
      <c r="N57" s="69"/>
      <c r="O57" s="69"/>
      <c r="P57" s="24"/>
      <c r="Q57" s="46" t="e">
        <f t="shared" si="26"/>
        <v>#DIV/0!</v>
      </c>
      <c r="R57" s="28" t="e">
        <f t="shared" si="6"/>
        <v>#DIV/0!</v>
      </c>
      <c r="S57" s="25" t="e">
        <f>K57*100/E57</f>
        <v>#DIV/0!</v>
      </c>
      <c r="T57" s="96" t="e">
        <f t="shared" si="27"/>
        <v>#DIV/0!</v>
      </c>
    </row>
    <row r="58" spans="1:20" ht="24" hidden="1">
      <c r="A58" s="21" t="s">
        <v>66</v>
      </c>
      <c r="B58" s="26"/>
      <c r="C58" s="27" t="s">
        <v>63</v>
      </c>
      <c r="D58" s="27"/>
      <c r="E58" s="73">
        <f t="shared" si="24"/>
        <v>0</v>
      </c>
      <c r="F58" s="73">
        <f>G58</f>
        <v>0</v>
      </c>
      <c r="G58" s="77"/>
      <c r="H58" s="77"/>
      <c r="I58" s="24"/>
      <c r="J58" s="67"/>
      <c r="K58" s="25"/>
      <c r="L58" s="28" t="e">
        <f>K58/#REF!*100</f>
        <v>#REF!</v>
      </c>
      <c r="M58" s="28"/>
      <c r="N58" s="69"/>
      <c r="O58" s="69"/>
      <c r="P58" s="24" t="e">
        <f t="shared" si="4"/>
        <v>#DIV/0!</v>
      </c>
      <c r="Q58" s="46" t="e">
        <f t="shared" si="26"/>
        <v>#DIV/0!</v>
      </c>
      <c r="R58" s="28"/>
      <c r="S58" s="25"/>
      <c r="T58" s="96" t="e">
        <f t="shared" si="27"/>
        <v>#DIV/0!</v>
      </c>
    </row>
    <row r="59" spans="1:20" ht="12.75">
      <c r="A59" s="20"/>
      <c r="B59" s="53"/>
      <c r="C59" s="54" t="s">
        <v>4</v>
      </c>
      <c r="D59" s="55">
        <f aca="true" t="shared" si="29" ref="D59:K59">D55+D45</f>
        <v>43967.6</v>
      </c>
      <c r="E59" s="55">
        <f t="shared" si="29"/>
        <v>56420.799999999996</v>
      </c>
      <c r="F59" s="55">
        <f t="shared" si="29"/>
        <v>34416.299999999996</v>
      </c>
      <c r="G59" s="55">
        <v>17820.1</v>
      </c>
      <c r="H59" s="55">
        <f t="shared" si="29"/>
        <v>11528.8</v>
      </c>
      <c r="I59" s="55">
        <f t="shared" si="29"/>
        <v>10981.7</v>
      </c>
      <c r="J59" s="55">
        <f t="shared" si="29"/>
        <v>11022.8</v>
      </c>
      <c r="K59" s="55">
        <f t="shared" si="29"/>
        <v>18553.2</v>
      </c>
      <c r="L59" s="35" t="e">
        <f>K59/#REF!*100</f>
        <v>#REF!</v>
      </c>
      <c r="M59" s="35">
        <f>K59/I59*100</f>
        <v>168.94652011983572</v>
      </c>
      <c r="N59" s="69"/>
      <c r="O59" s="70" t="e">
        <f>J59+#REF!+#REF!</f>
        <v>#REF!</v>
      </c>
      <c r="P59" s="46">
        <f t="shared" si="4"/>
        <v>168.3165801792648</v>
      </c>
      <c r="Q59" s="46">
        <f t="shared" si="26"/>
        <v>42.19743629399831</v>
      </c>
      <c r="R59" s="35">
        <f t="shared" si="6"/>
        <v>53.90817722997534</v>
      </c>
      <c r="S59" s="32">
        <f>K59*100/E59</f>
        <v>32.8836173893316</v>
      </c>
      <c r="T59" s="96">
        <f t="shared" si="27"/>
        <v>53.90817722997534</v>
      </c>
    </row>
    <row r="60" spans="1:20" ht="12.75">
      <c r="A60" s="100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2"/>
      <c r="N60" s="69"/>
      <c r="O60" s="69"/>
      <c r="P60" s="67"/>
      <c r="Q60" s="24"/>
      <c r="R60" s="35"/>
      <c r="S60" s="32"/>
      <c r="T60" s="97"/>
    </row>
    <row r="61" spans="1:20" ht="12.75">
      <c r="A61" s="103" t="s">
        <v>27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85"/>
      <c r="R61" s="35"/>
      <c r="S61" s="32"/>
      <c r="T61" s="97"/>
    </row>
    <row r="62" spans="1:20" ht="12.75">
      <c r="A62" s="45" t="s">
        <v>3</v>
      </c>
      <c r="B62" s="45"/>
      <c r="C62" s="68" t="s">
        <v>68</v>
      </c>
      <c r="D62" s="46">
        <f>D63+D66+D68+D70+D67+D72+D71+D65+D69+D64</f>
        <v>40329</v>
      </c>
      <c r="E62" s="46">
        <f>E63+E66+E68+E70+E67+E72+E71+E65+E69+E64</f>
        <v>40329</v>
      </c>
      <c r="F62" s="46">
        <f>F63+F66+F68+F70+F67+F72+F71+F65+F69+F64</f>
        <v>18903.5</v>
      </c>
      <c r="G62" s="46">
        <f aca="true" t="shared" si="30" ref="G62:P62">G63+G66+G68+G70+G67+G72+G71+G65+G69+G64</f>
        <v>8510.3</v>
      </c>
      <c r="H62" s="46">
        <f t="shared" si="30"/>
        <v>10393.2</v>
      </c>
      <c r="I62" s="46">
        <f t="shared" si="30"/>
        <v>8682.5</v>
      </c>
      <c r="J62" s="46">
        <f t="shared" si="30"/>
        <v>12743</v>
      </c>
      <c r="K62" s="46">
        <f t="shared" si="30"/>
        <v>20153.100000000006</v>
      </c>
      <c r="L62" s="46" t="e">
        <f t="shared" si="30"/>
        <v>#REF!</v>
      </c>
      <c r="M62" s="46" t="e">
        <f t="shared" si="30"/>
        <v>#DIV/0!</v>
      </c>
      <c r="N62" s="46">
        <f t="shared" si="30"/>
        <v>0</v>
      </c>
      <c r="O62" s="46">
        <f t="shared" si="30"/>
        <v>0</v>
      </c>
      <c r="P62" s="46" t="e">
        <f t="shared" si="30"/>
        <v>#DIV/0!</v>
      </c>
      <c r="Q62" s="46">
        <f>K62/D62*100</f>
        <v>49.971732500185986</v>
      </c>
      <c r="R62" s="35">
        <f t="shared" si="6"/>
        <v>106.61041606051792</v>
      </c>
      <c r="S62" s="32">
        <f aca="true" t="shared" si="31" ref="S62:S68">K62*100/E62</f>
        <v>49.97173250018598</v>
      </c>
      <c r="T62" s="96">
        <f>K62/F62*100</f>
        <v>106.61041606051793</v>
      </c>
    </row>
    <row r="63" spans="1:20" ht="12.75">
      <c r="A63" s="19" t="s">
        <v>23</v>
      </c>
      <c r="B63" s="19"/>
      <c r="C63" s="47" t="s">
        <v>22</v>
      </c>
      <c r="D63" s="76">
        <v>18800</v>
      </c>
      <c r="E63" s="73">
        <f>G63+H63+I63+J63</f>
        <v>18800</v>
      </c>
      <c r="F63" s="76">
        <f aca="true" t="shared" si="32" ref="F63:F75">G63+H63</f>
        <v>9350</v>
      </c>
      <c r="G63" s="78">
        <v>3743</v>
      </c>
      <c r="H63" s="78">
        <v>5607</v>
      </c>
      <c r="I63" s="28">
        <v>4051.2</v>
      </c>
      <c r="J63" s="28">
        <v>5398.8</v>
      </c>
      <c r="K63" s="28">
        <v>7580.2</v>
      </c>
      <c r="L63" s="28" t="e">
        <f>K63/#REF!*100</f>
        <v>#REF!</v>
      </c>
      <c r="M63" s="28">
        <f aca="true" t="shared" si="33" ref="M63:M70">K63/I63*100</f>
        <v>187.10999210110586</v>
      </c>
      <c r="N63" s="69"/>
      <c r="O63" s="69"/>
      <c r="P63" s="28">
        <f t="shared" si="4"/>
        <v>140.40527524635104</v>
      </c>
      <c r="Q63" s="24">
        <f aca="true" t="shared" si="34" ref="Q63:Q76">K63/D63*100</f>
        <v>40.32021276595745</v>
      </c>
      <c r="R63" s="28">
        <f t="shared" si="6"/>
        <v>81.0716577540107</v>
      </c>
      <c r="S63" s="25">
        <f t="shared" si="31"/>
        <v>40.32021276595745</v>
      </c>
      <c r="T63" s="95">
        <f aca="true" t="shared" si="35" ref="T63:T76">K63/F63*100</f>
        <v>81.0716577540107</v>
      </c>
    </row>
    <row r="64" spans="1:20" ht="12.75">
      <c r="A64" s="19" t="s">
        <v>70</v>
      </c>
      <c r="B64" s="19"/>
      <c r="C64" s="36" t="s">
        <v>71</v>
      </c>
      <c r="D64" s="73">
        <v>6809</v>
      </c>
      <c r="E64" s="73">
        <f>G64+H64+I64+J64</f>
        <v>6809</v>
      </c>
      <c r="F64" s="76">
        <f t="shared" si="32"/>
        <v>3395</v>
      </c>
      <c r="G64" s="78">
        <v>1705.5</v>
      </c>
      <c r="H64" s="78">
        <v>1689.5</v>
      </c>
      <c r="I64" s="28">
        <v>1706.5</v>
      </c>
      <c r="J64" s="28">
        <v>1707.5</v>
      </c>
      <c r="K64" s="28">
        <v>2145.4</v>
      </c>
      <c r="L64" s="28"/>
      <c r="M64" s="28"/>
      <c r="N64" s="69"/>
      <c r="O64" s="69"/>
      <c r="P64" s="28"/>
      <c r="Q64" s="24">
        <f t="shared" si="34"/>
        <v>31.508297841092674</v>
      </c>
      <c r="R64" s="28">
        <f>K64*100/F64</f>
        <v>63.19293078055965</v>
      </c>
      <c r="S64" s="25">
        <f t="shared" si="31"/>
        <v>31.50829784109267</v>
      </c>
      <c r="T64" s="95">
        <f t="shared" si="35"/>
        <v>63.19293078055965</v>
      </c>
    </row>
    <row r="65" spans="1:20" ht="12.75">
      <c r="A65" s="19" t="s">
        <v>8</v>
      </c>
      <c r="B65" s="19"/>
      <c r="C65" s="36" t="s">
        <v>5</v>
      </c>
      <c r="D65" s="73">
        <v>33</v>
      </c>
      <c r="E65" s="73">
        <f aca="true" t="shared" si="36" ref="E65:E75">G65+H65+I65+J65</f>
        <v>33</v>
      </c>
      <c r="F65" s="76">
        <f t="shared" si="32"/>
        <v>33</v>
      </c>
      <c r="G65" s="49">
        <v>25</v>
      </c>
      <c r="H65" s="49">
        <v>8</v>
      </c>
      <c r="I65" s="24"/>
      <c r="J65" s="24"/>
      <c r="K65" s="24">
        <v>67.4</v>
      </c>
      <c r="L65" s="28" t="e">
        <f>K65/#REF!*100</f>
        <v>#REF!</v>
      </c>
      <c r="M65" s="28" t="e">
        <f t="shared" si="33"/>
        <v>#DIV/0!</v>
      </c>
      <c r="N65" s="69"/>
      <c r="O65" s="69"/>
      <c r="P65" s="24" t="e">
        <f t="shared" si="4"/>
        <v>#DIV/0!</v>
      </c>
      <c r="Q65" s="24">
        <f t="shared" si="34"/>
        <v>204.24242424242425</v>
      </c>
      <c r="R65" s="28">
        <f t="shared" si="6"/>
        <v>204.24242424242428</v>
      </c>
      <c r="S65" s="25">
        <f t="shared" si="31"/>
        <v>204.24242424242428</v>
      </c>
      <c r="T65" s="95">
        <f t="shared" si="35"/>
        <v>204.24242424242425</v>
      </c>
    </row>
    <row r="66" spans="1:20" ht="12.75">
      <c r="A66" s="19" t="s">
        <v>9</v>
      </c>
      <c r="B66" s="19"/>
      <c r="C66" s="36" t="s">
        <v>6</v>
      </c>
      <c r="D66" s="73">
        <v>7220</v>
      </c>
      <c r="E66" s="73">
        <f t="shared" si="36"/>
        <v>7220</v>
      </c>
      <c r="F66" s="76">
        <f t="shared" si="32"/>
        <v>2405</v>
      </c>
      <c r="G66" s="49">
        <v>1229</v>
      </c>
      <c r="H66" s="49">
        <v>1176</v>
      </c>
      <c r="I66" s="24">
        <v>1057</v>
      </c>
      <c r="J66" s="24">
        <v>3758</v>
      </c>
      <c r="K66" s="24">
        <v>6638</v>
      </c>
      <c r="L66" s="28" t="e">
        <f>K66/#REF!*100</f>
        <v>#REF!</v>
      </c>
      <c r="M66" s="28">
        <f t="shared" si="33"/>
        <v>628.003784295175</v>
      </c>
      <c r="N66" s="69"/>
      <c r="O66" s="69"/>
      <c r="P66" s="24">
        <f t="shared" si="4"/>
        <v>176.63650878126663</v>
      </c>
      <c r="Q66" s="24">
        <f t="shared" si="34"/>
        <v>91.93905817174515</v>
      </c>
      <c r="R66" s="28">
        <f t="shared" si="6"/>
        <v>276.008316008316</v>
      </c>
      <c r="S66" s="25">
        <f t="shared" si="31"/>
        <v>91.93905817174515</v>
      </c>
      <c r="T66" s="95">
        <f t="shared" si="35"/>
        <v>276.008316008316</v>
      </c>
    </row>
    <row r="67" spans="1:20" ht="18.75" customHeight="1">
      <c r="A67" s="19" t="s">
        <v>10</v>
      </c>
      <c r="B67" s="19"/>
      <c r="C67" s="36" t="s">
        <v>21</v>
      </c>
      <c r="D67" s="73">
        <v>7</v>
      </c>
      <c r="E67" s="73">
        <f t="shared" si="36"/>
        <v>7</v>
      </c>
      <c r="F67" s="76">
        <f t="shared" si="32"/>
        <v>6</v>
      </c>
      <c r="G67" s="49">
        <v>3</v>
      </c>
      <c r="H67" s="49">
        <v>3</v>
      </c>
      <c r="I67" s="24">
        <v>1</v>
      </c>
      <c r="J67" s="24"/>
      <c r="K67" s="24">
        <v>22.4</v>
      </c>
      <c r="L67" s="28"/>
      <c r="M67" s="28">
        <f t="shared" si="33"/>
        <v>2240</v>
      </c>
      <c r="N67" s="69"/>
      <c r="O67" s="69"/>
      <c r="P67" s="24" t="e">
        <f t="shared" si="4"/>
        <v>#DIV/0!</v>
      </c>
      <c r="Q67" s="24">
        <f t="shared" si="34"/>
        <v>320</v>
      </c>
      <c r="R67" s="28">
        <f>K67*100/F67</f>
        <v>373.3333333333333</v>
      </c>
      <c r="S67" s="25">
        <f t="shared" si="31"/>
        <v>320</v>
      </c>
      <c r="T67" s="95">
        <f t="shared" si="35"/>
        <v>373.3333333333333</v>
      </c>
    </row>
    <row r="68" spans="1:20" ht="24">
      <c r="A68" s="20" t="s">
        <v>11</v>
      </c>
      <c r="B68" s="20"/>
      <c r="C68" s="36" t="s">
        <v>17</v>
      </c>
      <c r="D68" s="73">
        <v>7275</v>
      </c>
      <c r="E68" s="73">
        <f t="shared" si="36"/>
        <v>7275</v>
      </c>
      <c r="F68" s="76">
        <f t="shared" si="32"/>
        <v>3620.5</v>
      </c>
      <c r="G68" s="49">
        <v>1758.8</v>
      </c>
      <c r="H68" s="49">
        <v>1861.7</v>
      </c>
      <c r="I68" s="24">
        <v>1820.8</v>
      </c>
      <c r="J68" s="24">
        <v>1833.7</v>
      </c>
      <c r="K68" s="24">
        <v>3268.8</v>
      </c>
      <c r="L68" s="28" t="e">
        <f>K68/#REF!*100</f>
        <v>#REF!</v>
      </c>
      <c r="M68" s="28">
        <f t="shared" si="33"/>
        <v>179.52548330404218</v>
      </c>
      <c r="N68" s="69"/>
      <c r="O68" s="69"/>
      <c r="P68" s="24">
        <f t="shared" si="4"/>
        <v>178.26252931231934</v>
      </c>
      <c r="Q68" s="24">
        <f t="shared" si="34"/>
        <v>44.931958762886595</v>
      </c>
      <c r="R68" s="28">
        <f t="shared" si="6"/>
        <v>90.2858721171109</v>
      </c>
      <c r="S68" s="25">
        <f t="shared" si="31"/>
        <v>44.931958762886595</v>
      </c>
      <c r="T68" s="95">
        <f t="shared" si="35"/>
        <v>90.2858721171109</v>
      </c>
    </row>
    <row r="69" spans="1:20" ht="24" hidden="1">
      <c r="A69" s="38" t="s">
        <v>42</v>
      </c>
      <c r="B69" s="38"/>
      <c r="C69" s="36" t="s">
        <v>43</v>
      </c>
      <c r="D69" s="73"/>
      <c r="E69" s="73">
        <f t="shared" si="36"/>
        <v>0</v>
      </c>
      <c r="F69" s="76">
        <f t="shared" si="32"/>
        <v>0</v>
      </c>
      <c r="G69" s="49"/>
      <c r="H69" s="49"/>
      <c r="I69" s="24"/>
      <c r="J69" s="24"/>
      <c r="K69" s="24"/>
      <c r="L69" s="28" t="e">
        <f>K69/#REF!*100</f>
        <v>#REF!</v>
      </c>
      <c r="M69" s="28"/>
      <c r="N69" s="69"/>
      <c r="O69" s="69"/>
      <c r="P69" s="24" t="e">
        <f t="shared" si="4"/>
        <v>#DIV/0!</v>
      </c>
      <c r="Q69" s="24" t="e">
        <f t="shared" si="34"/>
        <v>#DIV/0!</v>
      </c>
      <c r="R69" s="28"/>
      <c r="S69" s="25"/>
      <c r="T69" s="95" t="e">
        <f t="shared" si="35"/>
        <v>#DIV/0!</v>
      </c>
    </row>
    <row r="70" spans="1:20" ht="12.75">
      <c r="A70" s="37" t="s">
        <v>18</v>
      </c>
      <c r="B70" s="37"/>
      <c r="C70" s="36" t="s">
        <v>15</v>
      </c>
      <c r="D70" s="73">
        <v>185</v>
      </c>
      <c r="E70" s="73">
        <f t="shared" si="36"/>
        <v>185</v>
      </c>
      <c r="F70" s="76">
        <f t="shared" si="32"/>
        <v>94</v>
      </c>
      <c r="G70" s="49">
        <v>46</v>
      </c>
      <c r="H70" s="49">
        <v>48</v>
      </c>
      <c r="I70" s="24">
        <v>46</v>
      </c>
      <c r="J70" s="24">
        <v>45</v>
      </c>
      <c r="K70" s="24">
        <v>430.9</v>
      </c>
      <c r="L70" s="28" t="e">
        <f>K70/#REF!*100</f>
        <v>#REF!</v>
      </c>
      <c r="M70" s="28">
        <f t="shared" si="33"/>
        <v>936.7391304347825</v>
      </c>
      <c r="N70" s="69"/>
      <c r="O70" s="69"/>
      <c r="P70" s="24">
        <f t="shared" si="4"/>
        <v>957.5555555555555</v>
      </c>
      <c r="Q70" s="24">
        <f t="shared" si="34"/>
        <v>232.9189189189189</v>
      </c>
      <c r="R70" s="28">
        <f t="shared" si="6"/>
        <v>458.40425531914894</v>
      </c>
      <c r="S70" s="25">
        <f>K70*100/E70</f>
        <v>232.9189189189189</v>
      </c>
      <c r="T70" s="95">
        <f t="shared" si="35"/>
        <v>458.40425531914894</v>
      </c>
    </row>
    <row r="71" spans="1:20" ht="12" customHeight="1" hidden="1">
      <c r="A71" s="29" t="s">
        <v>12</v>
      </c>
      <c r="B71" s="29"/>
      <c r="C71" s="36" t="s">
        <v>7</v>
      </c>
      <c r="D71" s="73"/>
      <c r="E71" s="73">
        <f t="shared" si="36"/>
        <v>0</v>
      </c>
      <c r="F71" s="76">
        <f t="shared" si="32"/>
        <v>0</v>
      </c>
      <c r="G71" s="49"/>
      <c r="H71" s="49"/>
      <c r="I71" s="24"/>
      <c r="J71" s="24"/>
      <c r="K71" s="24"/>
      <c r="L71" s="28"/>
      <c r="M71" s="28"/>
      <c r="N71" s="69"/>
      <c r="O71" s="69"/>
      <c r="P71" s="24" t="e">
        <f t="shared" si="4"/>
        <v>#DIV/0!</v>
      </c>
      <c r="Q71" s="46" t="e">
        <f t="shared" si="34"/>
        <v>#DIV/0!</v>
      </c>
      <c r="R71" s="28"/>
      <c r="S71" s="25"/>
      <c r="T71" s="96" t="e">
        <f t="shared" si="35"/>
        <v>#DIV/0!</v>
      </c>
    </row>
    <row r="72" spans="1:20" ht="12.75">
      <c r="A72" s="39" t="s">
        <v>39</v>
      </c>
      <c r="B72" s="40"/>
      <c r="C72" s="23" t="s">
        <v>40</v>
      </c>
      <c r="D72" s="93">
        <v>0</v>
      </c>
      <c r="E72" s="73">
        <f t="shared" si="36"/>
        <v>0</v>
      </c>
      <c r="F72" s="76">
        <f t="shared" si="32"/>
        <v>0</v>
      </c>
      <c r="G72" s="49"/>
      <c r="H72" s="49"/>
      <c r="I72" s="24"/>
      <c r="J72" s="24"/>
      <c r="K72" s="24"/>
      <c r="L72" s="28"/>
      <c r="M72" s="28"/>
      <c r="N72" s="69"/>
      <c r="O72" s="69"/>
      <c r="P72" s="24" t="e">
        <f t="shared" si="4"/>
        <v>#DIV/0!</v>
      </c>
      <c r="Q72" s="46"/>
      <c r="R72" s="28"/>
      <c r="S72" s="25"/>
      <c r="T72" s="96"/>
    </row>
    <row r="73" spans="1:20" ht="12.75">
      <c r="A73" s="33" t="s">
        <v>1</v>
      </c>
      <c r="B73" s="33"/>
      <c r="C73" s="41" t="s">
        <v>0</v>
      </c>
      <c r="D73" s="42">
        <f aca="true" t="shared" si="37" ref="D73:K73">D74+D75</f>
        <v>23265.9</v>
      </c>
      <c r="E73" s="42">
        <f t="shared" si="37"/>
        <v>33412.7</v>
      </c>
      <c r="F73" s="42">
        <f t="shared" si="37"/>
        <v>21666</v>
      </c>
      <c r="G73" s="42">
        <f t="shared" si="37"/>
        <v>4930.3</v>
      </c>
      <c r="H73" s="42">
        <f t="shared" si="37"/>
        <v>16735.7</v>
      </c>
      <c r="I73" s="42">
        <f t="shared" si="37"/>
        <v>6326.6</v>
      </c>
      <c r="J73" s="42">
        <f t="shared" si="37"/>
        <v>5420.1</v>
      </c>
      <c r="K73" s="42">
        <f t="shared" si="37"/>
        <v>7274.8</v>
      </c>
      <c r="L73" s="35" t="e">
        <f>K73/#REF!*100</f>
        <v>#REF!</v>
      </c>
      <c r="M73" s="35">
        <f>K73/I73*100</f>
        <v>114.98751304017955</v>
      </c>
      <c r="N73" s="69"/>
      <c r="O73" s="69"/>
      <c r="P73" s="46">
        <f t="shared" si="4"/>
        <v>134.21892585007654</v>
      </c>
      <c r="Q73" s="46">
        <f t="shared" si="34"/>
        <v>31.2680790341229</v>
      </c>
      <c r="R73" s="35">
        <f t="shared" si="6"/>
        <v>33.577033139481216</v>
      </c>
      <c r="S73" s="32">
        <f>K73*100/E73</f>
        <v>21.77255953574539</v>
      </c>
      <c r="T73" s="96">
        <f t="shared" si="35"/>
        <v>33.577033139481216</v>
      </c>
    </row>
    <row r="74" spans="1:20" ht="24">
      <c r="A74" s="21" t="s">
        <v>67</v>
      </c>
      <c r="B74" s="19"/>
      <c r="C74" s="43" t="s">
        <v>20</v>
      </c>
      <c r="D74" s="49">
        <v>23265.9</v>
      </c>
      <c r="E74" s="73">
        <f t="shared" si="36"/>
        <v>33412.7</v>
      </c>
      <c r="F74" s="76">
        <f t="shared" si="32"/>
        <v>21666</v>
      </c>
      <c r="G74" s="49">
        <v>4930.3</v>
      </c>
      <c r="H74" s="49">
        <v>16735.7</v>
      </c>
      <c r="I74" s="24">
        <v>6326.6</v>
      </c>
      <c r="J74" s="25">
        <v>5420.1</v>
      </c>
      <c r="K74" s="25">
        <v>7219.8</v>
      </c>
      <c r="L74" s="28" t="e">
        <f>K74/#REF!*100</f>
        <v>#REF!</v>
      </c>
      <c r="M74" s="28">
        <f>K74/I74*100</f>
        <v>114.11816773622483</v>
      </c>
      <c r="N74" s="69"/>
      <c r="O74" s="69"/>
      <c r="P74" s="24">
        <f t="shared" si="4"/>
        <v>133.2041844246416</v>
      </c>
      <c r="Q74" s="24">
        <f t="shared" si="34"/>
        <v>31.031681559707554</v>
      </c>
      <c r="R74" s="28">
        <f t="shared" si="6"/>
        <v>33.323179174743835</v>
      </c>
      <c r="S74" s="25">
        <f>K74*100/E74</f>
        <v>21.60795146755575</v>
      </c>
      <c r="T74" s="95">
        <f t="shared" si="35"/>
        <v>33.32317917474384</v>
      </c>
    </row>
    <row r="75" spans="1:20" ht="13.5" customHeight="1">
      <c r="A75" s="21" t="s">
        <v>66</v>
      </c>
      <c r="B75" s="26"/>
      <c r="C75" s="27" t="s">
        <v>63</v>
      </c>
      <c r="D75" s="27"/>
      <c r="E75" s="73">
        <f t="shared" si="36"/>
        <v>0</v>
      </c>
      <c r="F75" s="76">
        <f t="shared" si="32"/>
        <v>0</v>
      </c>
      <c r="G75" s="77"/>
      <c r="H75" s="77"/>
      <c r="I75" s="24"/>
      <c r="J75" s="25"/>
      <c r="K75" s="25">
        <v>55</v>
      </c>
      <c r="L75" s="28" t="e">
        <f>K75/#REF!*100</f>
        <v>#REF!</v>
      </c>
      <c r="M75" s="28"/>
      <c r="N75" s="69"/>
      <c r="O75" s="69"/>
      <c r="P75" s="24" t="e">
        <f t="shared" si="4"/>
        <v>#DIV/0!</v>
      </c>
      <c r="Q75" s="46"/>
      <c r="R75" s="35"/>
      <c r="S75" s="32"/>
      <c r="T75" s="96"/>
    </row>
    <row r="76" spans="1:20" ht="12.75">
      <c r="A76" s="29"/>
      <c r="B76" s="30"/>
      <c r="C76" s="31" t="s">
        <v>4</v>
      </c>
      <c r="D76" s="32">
        <f aca="true" t="shared" si="38" ref="D76:L76">D73+D62</f>
        <v>63594.9</v>
      </c>
      <c r="E76" s="32">
        <f t="shared" si="38"/>
        <v>73741.7</v>
      </c>
      <c r="F76" s="32">
        <f t="shared" si="38"/>
        <v>40569.5</v>
      </c>
      <c r="G76" s="32">
        <f t="shared" si="38"/>
        <v>13440.599999999999</v>
      </c>
      <c r="H76" s="32">
        <f t="shared" si="38"/>
        <v>27128.9</v>
      </c>
      <c r="I76" s="32">
        <f t="shared" si="38"/>
        <v>15009.1</v>
      </c>
      <c r="J76" s="32">
        <f t="shared" si="38"/>
        <v>18163.1</v>
      </c>
      <c r="K76" s="32">
        <f t="shared" si="38"/>
        <v>27427.900000000005</v>
      </c>
      <c r="L76" s="32" t="e">
        <f t="shared" si="38"/>
        <v>#REF!</v>
      </c>
      <c r="M76" s="35">
        <f>K76/I76*100</f>
        <v>182.74180330599438</v>
      </c>
      <c r="N76" s="69"/>
      <c r="O76" s="70" t="e">
        <f>J76+#REF!+#REF!</f>
        <v>#REF!</v>
      </c>
      <c r="P76" s="46">
        <f t="shared" si="4"/>
        <v>151.00891367663013</v>
      </c>
      <c r="Q76" s="46">
        <f t="shared" si="34"/>
        <v>43.129087395372906</v>
      </c>
      <c r="R76" s="35">
        <f t="shared" si="6"/>
        <v>67.60719259542267</v>
      </c>
      <c r="S76" s="32">
        <f>K76*100/E76</f>
        <v>37.19455884526666</v>
      </c>
      <c r="T76" s="96">
        <f t="shared" si="35"/>
        <v>67.60719259542269</v>
      </c>
    </row>
    <row r="77" spans="1:20" ht="12.75">
      <c r="A77" s="100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2"/>
      <c r="N77" s="69"/>
      <c r="O77" s="69"/>
      <c r="P77" s="67"/>
      <c r="Q77" s="24"/>
      <c r="R77" s="35"/>
      <c r="S77" s="32"/>
      <c r="T77" s="97"/>
    </row>
    <row r="78" spans="1:20" ht="12.75">
      <c r="A78" s="103" t="s">
        <v>28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85"/>
      <c r="R78" s="35"/>
      <c r="S78" s="32"/>
      <c r="T78" s="97"/>
    </row>
    <row r="79" spans="1:20" ht="12.75">
      <c r="A79" s="33" t="s">
        <v>3</v>
      </c>
      <c r="B79" s="33"/>
      <c r="C79" s="34" t="s">
        <v>68</v>
      </c>
      <c r="D79" s="35">
        <f aca="true" t="shared" si="39" ref="D79:K79">D80+D82+D83+D84+D85+D86+D87+D88+D89+D81</f>
        <v>30672.1</v>
      </c>
      <c r="E79" s="35">
        <f t="shared" si="39"/>
        <v>31143.699999999997</v>
      </c>
      <c r="F79" s="35">
        <f t="shared" si="39"/>
        <v>16013.499999999998</v>
      </c>
      <c r="G79" s="35">
        <f t="shared" si="39"/>
        <v>7614.900000000001</v>
      </c>
      <c r="H79" s="35">
        <f t="shared" si="39"/>
        <v>8398.6</v>
      </c>
      <c r="I79" s="35">
        <f t="shared" si="39"/>
        <v>7450.8</v>
      </c>
      <c r="J79" s="35">
        <f t="shared" si="39"/>
        <v>7679.4</v>
      </c>
      <c r="K79" s="35">
        <f t="shared" si="39"/>
        <v>15109.800000000001</v>
      </c>
      <c r="L79" s="35" t="e">
        <f>K79/#REF!*100</f>
        <v>#REF!</v>
      </c>
      <c r="M79" s="35">
        <f>K79/I79*100</f>
        <v>202.7943308101144</v>
      </c>
      <c r="N79" s="69"/>
      <c r="O79" s="69"/>
      <c r="P79" s="35">
        <f t="shared" si="4"/>
        <v>196.75755918431128</v>
      </c>
      <c r="Q79" s="46">
        <f>K79/D79*100</f>
        <v>49.262358951620534</v>
      </c>
      <c r="R79" s="35">
        <f aca="true" t="shared" si="40" ref="R79:R146">K79*100/F79</f>
        <v>94.35663658787898</v>
      </c>
      <c r="S79" s="32">
        <f aca="true" t="shared" si="41" ref="S79:S94">K79*100/E79</f>
        <v>48.51639336366585</v>
      </c>
      <c r="T79" s="96">
        <f>K79/F79*100</f>
        <v>94.356636587879</v>
      </c>
    </row>
    <row r="80" spans="1:20" ht="13.5" customHeight="1">
      <c r="A80" s="29" t="s">
        <v>23</v>
      </c>
      <c r="B80" s="29"/>
      <c r="C80" s="36" t="s">
        <v>22</v>
      </c>
      <c r="D80" s="73">
        <v>16600</v>
      </c>
      <c r="E80" s="73">
        <f>G80+H80+I80+J80</f>
        <v>16600</v>
      </c>
      <c r="F80" s="76">
        <f aca="true" t="shared" si="42" ref="F80:F89">G80+H80</f>
        <v>8586</v>
      </c>
      <c r="G80" s="49">
        <v>4270</v>
      </c>
      <c r="H80" s="49">
        <v>4316</v>
      </c>
      <c r="I80" s="24">
        <v>3818</v>
      </c>
      <c r="J80" s="24">
        <v>4196</v>
      </c>
      <c r="K80" s="25">
        <v>8417</v>
      </c>
      <c r="L80" s="28" t="e">
        <f>K80/#REF!*100</f>
        <v>#REF!</v>
      </c>
      <c r="M80" s="28">
        <f>K80/I80*100</f>
        <v>220.45573598742797</v>
      </c>
      <c r="N80" s="69"/>
      <c r="O80" s="69"/>
      <c r="P80" s="24">
        <f aca="true" t="shared" si="43" ref="P80:P151">K80*100/J80</f>
        <v>200.5958055290753</v>
      </c>
      <c r="Q80" s="24">
        <f aca="true" t="shared" si="44" ref="Q80:Q94">K80/D80*100</f>
        <v>50.704819277108435</v>
      </c>
      <c r="R80" s="28">
        <f t="shared" si="40"/>
        <v>98.03167947822035</v>
      </c>
      <c r="S80" s="25">
        <f t="shared" si="41"/>
        <v>50.704819277108435</v>
      </c>
      <c r="T80" s="95">
        <f aca="true" t="shared" si="45" ref="T80:T94">K80/F80*100</f>
        <v>98.03167947822035</v>
      </c>
    </row>
    <row r="81" spans="1:20" ht="15.75" customHeight="1">
      <c r="A81" s="19" t="s">
        <v>70</v>
      </c>
      <c r="B81" s="19"/>
      <c r="C81" s="36" t="s">
        <v>71</v>
      </c>
      <c r="D81" s="73">
        <v>5713</v>
      </c>
      <c r="E81" s="73">
        <f>G81+H81+I81+J81</f>
        <v>5713</v>
      </c>
      <c r="F81" s="76">
        <f t="shared" si="42"/>
        <v>2612.4</v>
      </c>
      <c r="G81" s="49">
        <v>1127</v>
      </c>
      <c r="H81" s="49">
        <v>1485.4</v>
      </c>
      <c r="I81" s="24">
        <v>1652.5</v>
      </c>
      <c r="J81" s="24">
        <v>1448.1</v>
      </c>
      <c r="K81" s="25">
        <v>1800</v>
      </c>
      <c r="L81" s="28"/>
      <c r="M81" s="28"/>
      <c r="N81" s="69"/>
      <c r="O81" s="69"/>
      <c r="P81" s="24"/>
      <c r="Q81" s="24">
        <f t="shared" si="44"/>
        <v>31.507089095046386</v>
      </c>
      <c r="R81" s="28">
        <f>K81*100/F81</f>
        <v>68.90215893431328</v>
      </c>
      <c r="S81" s="25">
        <f t="shared" si="41"/>
        <v>31.507089095046386</v>
      </c>
      <c r="T81" s="95">
        <f t="shared" si="45"/>
        <v>68.90215893431328</v>
      </c>
    </row>
    <row r="82" spans="1:20" ht="15" customHeight="1" hidden="1">
      <c r="A82" s="19" t="s">
        <v>8</v>
      </c>
      <c r="B82" s="19"/>
      <c r="C82" s="36" t="s">
        <v>5</v>
      </c>
      <c r="D82" s="73"/>
      <c r="E82" s="73">
        <f aca="true" t="shared" si="46" ref="E82:E89">G82+H82+I82+J82</f>
        <v>0</v>
      </c>
      <c r="F82" s="76">
        <f t="shared" si="42"/>
        <v>0</v>
      </c>
      <c r="G82" s="49"/>
      <c r="H82" s="49"/>
      <c r="I82" s="24"/>
      <c r="J82" s="24"/>
      <c r="K82" s="25"/>
      <c r="L82" s="28"/>
      <c r="M82" s="28"/>
      <c r="N82" s="69"/>
      <c r="O82" s="69"/>
      <c r="P82" s="24" t="e">
        <f t="shared" si="43"/>
        <v>#DIV/0!</v>
      </c>
      <c r="Q82" s="24" t="e">
        <f t="shared" si="44"/>
        <v>#DIV/0!</v>
      </c>
      <c r="R82" s="28" t="e">
        <f>K82*100/F82</f>
        <v>#DIV/0!</v>
      </c>
      <c r="S82" s="25" t="e">
        <f t="shared" si="41"/>
        <v>#DIV/0!</v>
      </c>
      <c r="T82" s="95" t="e">
        <f t="shared" si="45"/>
        <v>#DIV/0!</v>
      </c>
    </row>
    <row r="83" spans="1:20" ht="12.75">
      <c r="A83" s="19" t="s">
        <v>9</v>
      </c>
      <c r="B83" s="19"/>
      <c r="C83" s="36" t="s">
        <v>6</v>
      </c>
      <c r="D83" s="73">
        <v>1640</v>
      </c>
      <c r="E83" s="73">
        <f t="shared" si="46"/>
        <v>1640</v>
      </c>
      <c r="F83" s="76">
        <f t="shared" si="42"/>
        <v>883.5</v>
      </c>
      <c r="G83" s="49">
        <v>416.1</v>
      </c>
      <c r="H83" s="49">
        <v>467.4</v>
      </c>
      <c r="I83" s="24">
        <v>339.2</v>
      </c>
      <c r="J83" s="24">
        <v>417.3</v>
      </c>
      <c r="K83" s="25">
        <v>1166.5</v>
      </c>
      <c r="L83" s="28" t="e">
        <f>K83/#REF!*100</f>
        <v>#REF!</v>
      </c>
      <c r="M83" s="28">
        <f>K83/I83*100</f>
        <v>343.8974056603774</v>
      </c>
      <c r="N83" s="69"/>
      <c r="O83" s="69"/>
      <c r="P83" s="24">
        <f t="shared" si="43"/>
        <v>279.53510663791036</v>
      </c>
      <c r="Q83" s="24">
        <f t="shared" si="44"/>
        <v>71.1280487804878</v>
      </c>
      <c r="R83" s="28">
        <f t="shared" si="40"/>
        <v>132.03169213355972</v>
      </c>
      <c r="S83" s="25">
        <f t="shared" si="41"/>
        <v>71.1280487804878</v>
      </c>
      <c r="T83" s="95">
        <f t="shared" si="45"/>
        <v>132.0316921335597</v>
      </c>
    </row>
    <row r="84" spans="1:20" ht="12.75" hidden="1">
      <c r="A84" s="19" t="s">
        <v>10</v>
      </c>
      <c r="B84" s="19"/>
      <c r="C84" s="36" t="s">
        <v>21</v>
      </c>
      <c r="D84" s="73"/>
      <c r="E84" s="73">
        <f t="shared" si="46"/>
        <v>0</v>
      </c>
      <c r="F84" s="76">
        <f t="shared" si="42"/>
        <v>0</v>
      </c>
      <c r="G84" s="49"/>
      <c r="H84" s="49"/>
      <c r="I84" s="24"/>
      <c r="J84" s="24"/>
      <c r="K84" s="25"/>
      <c r="L84" s="28"/>
      <c r="M84" s="28"/>
      <c r="N84" s="69"/>
      <c r="O84" s="69"/>
      <c r="P84" s="24" t="e">
        <f t="shared" si="43"/>
        <v>#DIV/0!</v>
      </c>
      <c r="Q84" s="24" t="e">
        <f t="shared" si="44"/>
        <v>#DIV/0!</v>
      </c>
      <c r="R84" s="28" t="e">
        <f t="shared" si="40"/>
        <v>#DIV/0!</v>
      </c>
      <c r="S84" s="25" t="e">
        <f t="shared" si="41"/>
        <v>#DIV/0!</v>
      </c>
      <c r="T84" s="95" t="e">
        <f t="shared" si="45"/>
        <v>#DIV/0!</v>
      </c>
    </row>
    <row r="85" spans="1:20" ht="24">
      <c r="A85" s="20" t="s">
        <v>11</v>
      </c>
      <c r="B85" s="20"/>
      <c r="C85" s="36" t="s">
        <v>17</v>
      </c>
      <c r="D85" s="73">
        <v>6122.6</v>
      </c>
      <c r="E85" s="73">
        <f t="shared" si="46"/>
        <v>6122.6</v>
      </c>
      <c r="F85" s="76">
        <f t="shared" si="42"/>
        <v>3092.6</v>
      </c>
      <c r="G85" s="49">
        <v>1540</v>
      </c>
      <c r="H85" s="49">
        <v>1552.6</v>
      </c>
      <c r="I85" s="24">
        <v>1600</v>
      </c>
      <c r="J85" s="24">
        <v>1430</v>
      </c>
      <c r="K85" s="25">
        <v>2916.7</v>
      </c>
      <c r="L85" s="28" t="e">
        <f>K85/#REF!*100</f>
        <v>#REF!</v>
      </c>
      <c r="M85" s="28">
        <f>K85/I85*100</f>
        <v>182.29375</v>
      </c>
      <c r="N85" s="69"/>
      <c r="O85" s="69"/>
      <c r="P85" s="24">
        <f t="shared" si="43"/>
        <v>203.96503496503496</v>
      </c>
      <c r="Q85" s="24">
        <f t="shared" si="44"/>
        <v>47.63825825629634</v>
      </c>
      <c r="R85" s="28">
        <f t="shared" si="40"/>
        <v>94.3122291922654</v>
      </c>
      <c r="S85" s="25">
        <f t="shared" si="41"/>
        <v>47.63825825629634</v>
      </c>
      <c r="T85" s="95">
        <f t="shared" si="45"/>
        <v>94.3122291922654</v>
      </c>
    </row>
    <row r="86" spans="1:20" ht="24">
      <c r="A86" s="38" t="s">
        <v>42</v>
      </c>
      <c r="B86" s="38"/>
      <c r="C86" s="36" t="s">
        <v>43</v>
      </c>
      <c r="D86" s="73">
        <v>479</v>
      </c>
      <c r="E86" s="73">
        <f t="shared" si="46"/>
        <v>479</v>
      </c>
      <c r="F86" s="76">
        <f t="shared" si="42"/>
        <v>249.9</v>
      </c>
      <c r="G86" s="49">
        <v>144.3</v>
      </c>
      <c r="H86" s="49">
        <v>105.6</v>
      </c>
      <c r="I86" s="24">
        <v>41.1</v>
      </c>
      <c r="J86" s="24">
        <v>188</v>
      </c>
      <c r="K86" s="25">
        <v>195.9</v>
      </c>
      <c r="L86" s="28" t="e">
        <f>K86/#REF!*100</f>
        <v>#REF!</v>
      </c>
      <c r="M86" s="28">
        <f>K86/I86*100</f>
        <v>476.6423357664234</v>
      </c>
      <c r="N86" s="69"/>
      <c r="O86" s="69"/>
      <c r="P86" s="24">
        <f t="shared" si="43"/>
        <v>104.20212765957447</v>
      </c>
      <c r="Q86" s="24">
        <f t="shared" si="44"/>
        <v>40.897703549060545</v>
      </c>
      <c r="R86" s="28">
        <f t="shared" si="40"/>
        <v>78.39135654261705</v>
      </c>
      <c r="S86" s="25">
        <f t="shared" si="41"/>
        <v>40.897703549060545</v>
      </c>
      <c r="T86" s="95">
        <f t="shared" si="45"/>
        <v>78.39135654261705</v>
      </c>
    </row>
    <row r="87" spans="1:20" ht="12.75">
      <c r="A87" s="37" t="s">
        <v>18</v>
      </c>
      <c r="B87" s="37"/>
      <c r="C87" s="36" t="s">
        <v>15</v>
      </c>
      <c r="D87" s="73">
        <v>117.5</v>
      </c>
      <c r="E87" s="73">
        <f t="shared" si="46"/>
        <v>586.3</v>
      </c>
      <c r="F87" s="76">
        <f t="shared" si="42"/>
        <v>586.3</v>
      </c>
      <c r="G87" s="49">
        <v>117.5</v>
      </c>
      <c r="H87" s="49">
        <v>468.8</v>
      </c>
      <c r="I87" s="24"/>
      <c r="J87" s="24"/>
      <c r="K87" s="25">
        <v>593.7</v>
      </c>
      <c r="L87" s="28" t="e">
        <f>K87/#REF!*100</f>
        <v>#REF!</v>
      </c>
      <c r="M87" s="28" t="e">
        <f>K87/I87*100</f>
        <v>#DIV/0!</v>
      </c>
      <c r="N87" s="69"/>
      <c r="O87" s="69"/>
      <c r="P87" s="24" t="e">
        <f t="shared" si="43"/>
        <v>#DIV/0!</v>
      </c>
      <c r="Q87" s="24">
        <f t="shared" si="44"/>
        <v>505.2765957446809</v>
      </c>
      <c r="R87" s="28">
        <f t="shared" si="40"/>
        <v>101.2621524816647</v>
      </c>
      <c r="S87" s="25">
        <f t="shared" si="41"/>
        <v>101.2621524816647</v>
      </c>
      <c r="T87" s="95">
        <f t="shared" si="45"/>
        <v>101.2621524816647</v>
      </c>
    </row>
    <row r="88" spans="1:20" ht="13.5" customHeight="1">
      <c r="A88" s="29" t="s">
        <v>12</v>
      </c>
      <c r="B88" s="29"/>
      <c r="C88" s="36" t="s">
        <v>7</v>
      </c>
      <c r="D88" s="73">
        <v>0</v>
      </c>
      <c r="E88" s="73">
        <f t="shared" si="46"/>
        <v>1</v>
      </c>
      <c r="F88" s="76">
        <f t="shared" si="42"/>
        <v>1</v>
      </c>
      <c r="G88" s="49"/>
      <c r="H88" s="49">
        <v>1</v>
      </c>
      <c r="I88" s="24"/>
      <c r="J88" s="24"/>
      <c r="K88" s="25">
        <v>1</v>
      </c>
      <c r="L88" s="35"/>
      <c r="M88" s="35" t="e">
        <f>K88/I88*100</f>
        <v>#DIV/0!</v>
      </c>
      <c r="N88" s="69"/>
      <c r="O88" s="69"/>
      <c r="P88" s="24" t="e">
        <f t="shared" si="43"/>
        <v>#DIV/0!</v>
      </c>
      <c r="Q88" s="24"/>
      <c r="R88" s="28">
        <f t="shared" si="40"/>
        <v>100</v>
      </c>
      <c r="S88" s="25">
        <f t="shared" si="41"/>
        <v>100</v>
      </c>
      <c r="T88" s="95">
        <f t="shared" si="45"/>
        <v>100</v>
      </c>
    </row>
    <row r="89" spans="1:20" ht="12.75">
      <c r="A89" s="39" t="s">
        <v>39</v>
      </c>
      <c r="B89" s="40"/>
      <c r="C89" s="23" t="s">
        <v>40</v>
      </c>
      <c r="D89" s="93">
        <v>0</v>
      </c>
      <c r="E89" s="73">
        <f t="shared" si="46"/>
        <v>1.8</v>
      </c>
      <c r="F89" s="76">
        <f t="shared" si="42"/>
        <v>1.8</v>
      </c>
      <c r="G89" s="49"/>
      <c r="H89" s="49">
        <v>1.8</v>
      </c>
      <c r="I89" s="24"/>
      <c r="J89" s="24"/>
      <c r="K89" s="25">
        <v>19</v>
      </c>
      <c r="L89" s="35"/>
      <c r="M89" s="35" t="e">
        <f>K89/I89*100</f>
        <v>#DIV/0!</v>
      </c>
      <c r="N89" s="69"/>
      <c r="O89" s="69"/>
      <c r="P89" s="24" t="e">
        <f t="shared" si="43"/>
        <v>#DIV/0!</v>
      </c>
      <c r="Q89" s="24"/>
      <c r="R89" s="28">
        <f t="shared" si="40"/>
        <v>1055.5555555555554</v>
      </c>
      <c r="S89" s="25">
        <f t="shared" si="41"/>
        <v>1055.5555555555554</v>
      </c>
      <c r="T89" s="95">
        <f t="shared" si="45"/>
        <v>1055.5555555555554</v>
      </c>
    </row>
    <row r="90" spans="1:20" ht="12.75" hidden="1">
      <c r="A90" s="39" t="s">
        <v>44</v>
      </c>
      <c r="B90" s="40"/>
      <c r="C90" s="23" t="s">
        <v>45</v>
      </c>
      <c r="D90" s="23"/>
      <c r="E90" s="23"/>
      <c r="F90" s="23"/>
      <c r="G90" s="49"/>
      <c r="H90" s="49"/>
      <c r="I90" s="24" t="e">
        <f>J90+#REF!+#REF!+#REF!</f>
        <v>#REF!</v>
      </c>
      <c r="J90" s="24"/>
      <c r="K90" s="25"/>
      <c r="L90" s="35"/>
      <c r="M90" s="35"/>
      <c r="N90" s="69"/>
      <c r="O90" s="69"/>
      <c r="P90" s="24" t="e">
        <f t="shared" si="43"/>
        <v>#DIV/0!</v>
      </c>
      <c r="Q90" s="46" t="e">
        <f t="shared" si="44"/>
        <v>#DIV/0!</v>
      </c>
      <c r="R90" s="35" t="e">
        <f t="shared" si="40"/>
        <v>#DIV/0!</v>
      </c>
      <c r="S90" s="32" t="e">
        <f t="shared" si="41"/>
        <v>#DIV/0!</v>
      </c>
      <c r="T90" s="96" t="e">
        <f t="shared" si="45"/>
        <v>#DIV/0!</v>
      </c>
    </row>
    <row r="91" spans="1:20" ht="12.75">
      <c r="A91" s="33" t="s">
        <v>1</v>
      </c>
      <c r="B91" s="33"/>
      <c r="C91" s="41" t="s">
        <v>0</v>
      </c>
      <c r="D91" s="42">
        <f aca="true" t="shared" si="47" ref="D91:K91">D92+D93</f>
        <v>55769.2</v>
      </c>
      <c r="E91" s="42">
        <f t="shared" si="47"/>
        <v>57710.100000000006</v>
      </c>
      <c r="F91" s="79">
        <f t="shared" si="47"/>
        <v>27207.2</v>
      </c>
      <c r="G91" s="42">
        <f t="shared" si="47"/>
        <v>11185.2</v>
      </c>
      <c r="H91" s="42">
        <f t="shared" si="47"/>
        <v>16022</v>
      </c>
      <c r="I91" s="42">
        <f t="shared" si="47"/>
        <v>19089.6</v>
      </c>
      <c r="J91" s="42">
        <f t="shared" si="47"/>
        <v>11413.3</v>
      </c>
      <c r="K91" s="42">
        <f t="shared" si="47"/>
        <v>21599.7</v>
      </c>
      <c r="L91" s="35" t="e">
        <f>K91/#REF!*100</f>
        <v>#REF!</v>
      </c>
      <c r="M91" s="35">
        <f>K91/I91*100</f>
        <v>113.14904450590899</v>
      </c>
      <c r="N91" s="69"/>
      <c r="O91" s="69"/>
      <c r="P91" s="46">
        <f t="shared" si="43"/>
        <v>189.250260660808</v>
      </c>
      <c r="Q91" s="46">
        <f t="shared" si="44"/>
        <v>38.73051792028575</v>
      </c>
      <c r="R91" s="35">
        <f t="shared" si="40"/>
        <v>79.38964685818459</v>
      </c>
      <c r="S91" s="32">
        <f t="shared" si="41"/>
        <v>37.42793722416007</v>
      </c>
      <c r="T91" s="96">
        <f t="shared" si="45"/>
        <v>79.3896468581846</v>
      </c>
    </row>
    <row r="92" spans="1:20" ht="24">
      <c r="A92" s="21" t="s">
        <v>67</v>
      </c>
      <c r="B92" s="19"/>
      <c r="C92" s="43" t="s">
        <v>20</v>
      </c>
      <c r="D92" s="49">
        <v>55769.2</v>
      </c>
      <c r="E92" s="73">
        <f>G92+H92+I92+J92</f>
        <v>57697.100000000006</v>
      </c>
      <c r="F92" s="76">
        <f>G92+H92</f>
        <v>27194.2</v>
      </c>
      <c r="G92" s="49">
        <v>11180.2</v>
      </c>
      <c r="H92" s="49">
        <v>16014</v>
      </c>
      <c r="I92" s="24">
        <v>19089.6</v>
      </c>
      <c r="J92" s="24">
        <v>11413.3</v>
      </c>
      <c r="K92" s="25">
        <v>21584.8</v>
      </c>
      <c r="L92" s="28" t="e">
        <f>K92/#REF!*100</f>
        <v>#REF!</v>
      </c>
      <c r="M92" s="28">
        <f>K92/I92*100</f>
        <v>113.07099153465762</v>
      </c>
      <c r="N92" s="69"/>
      <c r="O92" s="69"/>
      <c r="P92" s="24">
        <f t="shared" si="43"/>
        <v>189.11971121410986</v>
      </c>
      <c r="Q92" s="24">
        <f t="shared" si="44"/>
        <v>38.70380066416588</v>
      </c>
      <c r="R92" s="28">
        <f t="shared" si="40"/>
        <v>79.37280743687992</v>
      </c>
      <c r="S92" s="25">
        <f t="shared" si="41"/>
        <v>37.410545763998535</v>
      </c>
      <c r="T92" s="95">
        <f t="shared" si="45"/>
        <v>79.37280743687992</v>
      </c>
    </row>
    <row r="93" spans="1:20" ht="13.5" customHeight="1">
      <c r="A93" s="21" t="s">
        <v>2</v>
      </c>
      <c r="B93" s="21"/>
      <c r="C93" s="44" t="s">
        <v>19</v>
      </c>
      <c r="D93" s="80">
        <v>0</v>
      </c>
      <c r="E93" s="73">
        <f>G93+H93+I93+J93</f>
        <v>13</v>
      </c>
      <c r="F93" s="76">
        <f>G93+H93</f>
        <v>13</v>
      </c>
      <c r="G93" s="80">
        <v>5</v>
      </c>
      <c r="H93" s="80">
        <v>8</v>
      </c>
      <c r="I93" s="24"/>
      <c r="J93" s="24"/>
      <c r="K93" s="25">
        <v>14.9</v>
      </c>
      <c r="L93" s="28" t="e">
        <f>K93/#REF!*100</f>
        <v>#REF!</v>
      </c>
      <c r="M93" s="28"/>
      <c r="N93" s="69"/>
      <c r="O93" s="69"/>
      <c r="P93" s="24" t="e">
        <f t="shared" si="43"/>
        <v>#DIV/0!</v>
      </c>
      <c r="Q93" s="46"/>
      <c r="R93" s="28">
        <f t="shared" si="40"/>
        <v>114.61538461538461</v>
      </c>
      <c r="S93" s="25">
        <f t="shared" si="41"/>
        <v>114.61538461538461</v>
      </c>
      <c r="T93" s="95">
        <f t="shared" si="45"/>
        <v>114.61538461538461</v>
      </c>
    </row>
    <row r="94" spans="1:20" ht="12.75">
      <c r="A94" s="29"/>
      <c r="B94" s="30"/>
      <c r="C94" s="31" t="s">
        <v>4</v>
      </c>
      <c r="D94" s="32">
        <f aca="true" t="shared" si="48" ref="D94:K94">D91+D79</f>
        <v>86441.29999999999</v>
      </c>
      <c r="E94" s="32">
        <f t="shared" si="48"/>
        <v>88853.8</v>
      </c>
      <c r="F94" s="32">
        <f t="shared" si="48"/>
        <v>43220.7</v>
      </c>
      <c r="G94" s="32">
        <f t="shared" si="48"/>
        <v>18800.100000000002</v>
      </c>
      <c r="H94" s="32">
        <f t="shared" si="48"/>
        <v>24420.6</v>
      </c>
      <c r="I94" s="32">
        <f t="shared" si="48"/>
        <v>26540.399999999998</v>
      </c>
      <c r="J94" s="32">
        <f t="shared" si="48"/>
        <v>19092.699999999997</v>
      </c>
      <c r="K94" s="32">
        <f t="shared" si="48"/>
        <v>36709.5</v>
      </c>
      <c r="L94" s="35" t="e">
        <f>K94/#REF!*100</f>
        <v>#REF!</v>
      </c>
      <c r="M94" s="35">
        <f>K94/I94*100</f>
        <v>138.3155491251074</v>
      </c>
      <c r="N94" s="69"/>
      <c r="O94" s="70" t="e">
        <f>J94+#REF!+#REF!</f>
        <v>#REF!</v>
      </c>
      <c r="P94" s="46">
        <f t="shared" si="43"/>
        <v>192.26982040256226</v>
      </c>
      <c r="Q94" s="46">
        <f t="shared" si="44"/>
        <v>42.46754734137502</v>
      </c>
      <c r="R94" s="35">
        <f t="shared" si="40"/>
        <v>84.93499642532399</v>
      </c>
      <c r="S94" s="32">
        <f t="shared" si="41"/>
        <v>41.31449639745289</v>
      </c>
      <c r="T94" s="96">
        <f t="shared" si="45"/>
        <v>84.93499642532399</v>
      </c>
    </row>
    <row r="95" spans="1:20" ht="12.75">
      <c r="A95" s="100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2"/>
      <c r="N95" s="69"/>
      <c r="O95" s="69"/>
      <c r="P95" s="67"/>
      <c r="Q95" s="24"/>
      <c r="R95" s="35"/>
      <c r="S95" s="32"/>
      <c r="T95" s="97"/>
    </row>
    <row r="96" spans="1:20" ht="12.75">
      <c r="A96" s="103" t="s">
        <v>29</v>
      </c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85"/>
      <c r="R96" s="35"/>
      <c r="S96" s="32"/>
      <c r="T96" s="97"/>
    </row>
    <row r="97" spans="1:20" ht="12.75">
      <c r="A97" s="33" t="s">
        <v>3</v>
      </c>
      <c r="B97" s="33"/>
      <c r="C97" s="34" t="s">
        <v>68</v>
      </c>
      <c r="D97" s="35">
        <f aca="true" t="shared" si="49" ref="D97:K97">D98+D101+D105+D102+D103+D106+D104+D100+D99</f>
        <v>7435</v>
      </c>
      <c r="E97" s="35">
        <f t="shared" si="49"/>
        <v>7435</v>
      </c>
      <c r="F97" s="35">
        <f t="shared" si="49"/>
        <v>3717.5</v>
      </c>
      <c r="G97" s="35">
        <f t="shared" si="49"/>
        <v>1858.3</v>
      </c>
      <c r="H97" s="35">
        <f t="shared" si="49"/>
        <v>1859.2</v>
      </c>
      <c r="I97" s="35">
        <f t="shared" si="49"/>
        <v>1859.3</v>
      </c>
      <c r="J97" s="35">
        <f t="shared" si="49"/>
        <v>1858.2</v>
      </c>
      <c r="K97" s="35">
        <f t="shared" si="49"/>
        <v>2432.5</v>
      </c>
      <c r="L97" s="35" t="e">
        <f>K97/#REF!*100</f>
        <v>#REF!</v>
      </c>
      <c r="M97" s="35">
        <f>K97/I97*100</f>
        <v>130.82880654009574</v>
      </c>
      <c r="N97" s="69"/>
      <c r="O97" s="69"/>
      <c r="P97" s="35">
        <f t="shared" si="43"/>
        <v>130.90625336347003</v>
      </c>
      <c r="Q97" s="46">
        <f>K97/D97*100</f>
        <v>32.716879623402825</v>
      </c>
      <c r="R97" s="35">
        <f t="shared" si="40"/>
        <v>65.43375924680565</v>
      </c>
      <c r="S97" s="32">
        <f aca="true" t="shared" si="50" ref="S97:S104">K97*100/E97</f>
        <v>32.716879623402825</v>
      </c>
      <c r="T97" s="96">
        <f>K97/F97*100</f>
        <v>65.43375924680565</v>
      </c>
    </row>
    <row r="98" spans="1:20" ht="12.75">
      <c r="A98" s="29" t="s">
        <v>23</v>
      </c>
      <c r="B98" s="29"/>
      <c r="C98" s="36" t="s">
        <v>22</v>
      </c>
      <c r="D98" s="73">
        <v>1150</v>
      </c>
      <c r="E98" s="73">
        <f>G98+H98+I98+J98</f>
        <v>1150</v>
      </c>
      <c r="F98" s="76">
        <f aca="true" t="shared" si="51" ref="F98:F108">G98+H98</f>
        <v>575</v>
      </c>
      <c r="G98" s="49">
        <v>287.5</v>
      </c>
      <c r="H98" s="49">
        <v>287.5</v>
      </c>
      <c r="I98" s="24">
        <v>287.5</v>
      </c>
      <c r="J98" s="25">
        <v>287.5</v>
      </c>
      <c r="K98" s="25">
        <v>407.8</v>
      </c>
      <c r="L98" s="28"/>
      <c r="M98" s="28">
        <f>K98/I98*100</f>
        <v>141.84347826086957</v>
      </c>
      <c r="N98" s="70"/>
      <c r="O98" s="69"/>
      <c r="P98" s="24">
        <f t="shared" si="43"/>
        <v>141.84347826086957</v>
      </c>
      <c r="Q98" s="24">
        <f aca="true" t="shared" si="52" ref="Q98:Q110">K98/D98*100</f>
        <v>35.46086956521739</v>
      </c>
      <c r="R98" s="28">
        <f t="shared" si="40"/>
        <v>70.92173913043479</v>
      </c>
      <c r="S98" s="25">
        <f t="shared" si="50"/>
        <v>35.46086956521739</v>
      </c>
      <c r="T98" s="95">
        <f aca="true" t="shared" si="53" ref="T98:T110">K98/F98*100</f>
        <v>70.92173913043479</v>
      </c>
    </row>
    <row r="99" spans="1:20" ht="12.75">
      <c r="A99" s="19" t="s">
        <v>70</v>
      </c>
      <c r="B99" s="19"/>
      <c r="C99" s="36" t="s">
        <v>71</v>
      </c>
      <c r="D99" s="73">
        <v>6170</v>
      </c>
      <c r="E99" s="73">
        <f>G99+H99+I99+J99</f>
        <v>6170</v>
      </c>
      <c r="F99" s="76">
        <f t="shared" si="51"/>
        <v>3085</v>
      </c>
      <c r="G99" s="49">
        <v>1542.5</v>
      </c>
      <c r="H99" s="49">
        <v>1542.5</v>
      </c>
      <c r="I99" s="24">
        <v>1542.5</v>
      </c>
      <c r="J99" s="25">
        <v>1542.5</v>
      </c>
      <c r="K99" s="25">
        <v>1943.9</v>
      </c>
      <c r="L99" s="28"/>
      <c r="M99" s="28"/>
      <c r="N99" s="70"/>
      <c r="O99" s="69"/>
      <c r="P99" s="24"/>
      <c r="Q99" s="24">
        <f t="shared" si="52"/>
        <v>31.505672609400325</v>
      </c>
      <c r="R99" s="28">
        <f>K99*100/F99</f>
        <v>63.01134521880065</v>
      </c>
      <c r="S99" s="25">
        <f t="shared" si="50"/>
        <v>31.505672609400325</v>
      </c>
      <c r="T99" s="95">
        <f t="shared" si="53"/>
        <v>63.01134521880065</v>
      </c>
    </row>
    <row r="100" spans="1:20" ht="12.75" hidden="1">
      <c r="A100" s="19" t="s">
        <v>8</v>
      </c>
      <c r="B100" s="19"/>
      <c r="C100" s="36" t="s">
        <v>5</v>
      </c>
      <c r="D100" s="73"/>
      <c r="E100" s="73">
        <f>G100+H100+I100+J100</f>
        <v>0</v>
      </c>
      <c r="F100" s="76">
        <f t="shared" si="51"/>
        <v>0</v>
      </c>
      <c r="G100" s="49"/>
      <c r="H100" s="49"/>
      <c r="I100" s="24"/>
      <c r="J100" s="25"/>
      <c r="K100" s="25"/>
      <c r="L100" s="28"/>
      <c r="M100" s="28"/>
      <c r="N100" s="70"/>
      <c r="O100" s="69"/>
      <c r="P100" s="24"/>
      <c r="Q100" s="24" t="e">
        <f t="shared" si="52"/>
        <v>#DIV/0!</v>
      </c>
      <c r="R100" s="28" t="e">
        <f>K100*100/F100</f>
        <v>#DIV/0!</v>
      </c>
      <c r="S100" s="25" t="e">
        <f t="shared" si="50"/>
        <v>#DIV/0!</v>
      </c>
      <c r="T100" s="95" t="e">
        <f t="shared" si="53"/>
        <v>#DIV/0!</v>
      </c>
    </row>
    <row r="101" spans="1:20" ht="12.75">
      <c r="A101" s="19" t="s">
        <v>9</v>
      </c>
      <c r="B101" s="19"/>
      <c r="C101" s="36" t="s">
        <v>6</v>
      </c>
      <c r="D101" s="73">
        <v>62</v>
      </c>
      <c r="E101" s="73">
        <f aca="true" t="shared" si="54" ref="E101:E109">G101+H101+I101+J101</f>
        <v>62</v>
      </c>
      <c r="F101" s="76">
        <f t="shared" si="51"/>
        <v>31.5</v>
      </c>
      <c r="G101" s="49">
        <v>15.8</v>
      </c>
      <c r="H101" s="49">
        <v>15.7</v>
      </c>
      <c r="I101" s="24">
        <v>15.8</v>
      </c>
      <c r="J101" s="25">
        <v>14.7</v>
      </c>
      <c r="K101" s="25">
        <v>42.3</v>
      </c>
      <c r="L101" s="28"/>
      <c r="M101" s="28">
        <f aca="true" t="shared" si="55" ref="M101:M108">K101/I101*100</f>
        <v>267.7215189873417</v>
      </c>
      <c r="N101" s="70"/>
      <c r="O101" s="69"/>
      <c r="P101" s="24">
        <f t="shared" si="43"/>
        <v>287.7551020408163</v>
      </c>
      <c r="Q101" s="24">
        <f t="shared" si="52"/>
        <v>68.2258064516129</v>
      </c>
      <c r="R101" s="28">
        <f t="shared" si="40"/>
        <v>134.28571428571428</v>
      </c>
      <c r="S101" s="25">
        <f t="shared" si="50"/>
        <v>68.2258064516129</v>
      </c>
      <c r="T101" s="95">
        <f t="shared" si="53"/>
        <v>134.28571428571428</v>
      </c>
    </row>
    <row r="102" spans="1:20" ht="12.75">
      <c r="A102" s="19" t="s">
        <v>10</v>
      </c>
      <c r="B102" s="19"/>
      <c r="C102" s="36" t="s">
        <v>21</v>
      </c>
      <c r="D102" s="73">
        <v>11</v>
      </c>
      <c r="E102" s="73">
        <f t="shared" si="54"/>
        <v>11</v>
      </c>
      <c r="F102" s="76">
        <f t="shared" si="51"/>
        <v>5</v>
      </c>
      <c r="G102" s="49">
        <v>2</v>
      </c>
      <c r="H102" s="49">
        <v>3</v>
      </c>
      <c r="I102" s="24">
        <v>3</v>
      </c>
      <c r="J102" s="25">
        <v>3</v>
      </c>
      <c r="K102" s="25">
        <v>1.5</v>
      </c>
      <c r="L102" s="28"/>
      <c r="M102" s="28">
        <f t="shared" si="55"/>
        <v>50</v>
      </c>
      <c r="N102" s="69"/>
      <c r="O102" s="69"/>
      <c r="P102" s="24">
        <f t="shared" si="43"/>
        <v>50</v>
      </c>
      <c r="Q102" s="24">
        <f t="shared" si="52"/>
        <v>13.636363636363635</v>
      </c>
      <c r="R102" s="28">
        <f t="shared" si="40"/>
        <v>30</v>
      </c>
      <c r="S102" s="25">
        <f t="shared" si="50"/>
        <v>13.636363636363637</v>
      </c>
      <c r="T102" s="95">
        <f t="shared" si="53"/>
        <v>30</v>
      </c>
    </row>
    <row r="103" spans="1:20" ht="24">
      <c r="A103" s="20" t="s">
        <v>11</v>
      </c>
      <c r="B103" s="20"/>
      <c r="C103" s="36" t="s">
        <v>17</v>
      </c>
      <c r="D103" s="73">
        <v>12</v>
      </c>
      <c r="E103" s="73">
        <f t="shared" si="54"/>
        <v>12</v>
      </c>
      <c r="F103" s="76">
        <f t="shared" si="51"/>
        <v>6</v>
      </c>
      <c r="G103" s="49">
        <v>3</v>
      </c>
      <c r="H103" s="49">
        <v>3</v>
      </c>
      <c r="I103" s="24">
        <v>3</v>
      </c>
      <c r="J103" s="25">
        <v>3</v>
      </c>
      <c r="K103" s="25">
        <v>17.3</v>
      </c>
      <c r="L103" s="28"/>
      <c r="M103" s="28">
        <f t="shared" si="55"/>
        <v>576.6666666666666</v>
      </c>
      <c r="N103" s="69"/>
      <c r="O103" s="69"/>
      <c r="P103" s="24">
        <f t="shared" si="43"/>
        <v>576.6666666666666</v>
      </c>
      <c r="Q103" s="24">
        <f t="shared" si="52"/>
        <v>144.16666666666666</v>
      </c>
      <c r="R103" s="28">
        <f t="shared" si="40"/>
        <v>288.3333333333333</v>
      </c>
      <c r="S103" s="25">
        <f t="shared" si="50"/>
        <v>144.16666666666666</v>
      </c>
      <c r="T103" s="95">
        <f t="shared" si="53"/>
        <v>288.3333333333333</v>
      </c>
    </row>
    <row r="104" spans="1:20" ht="24">
      <c r="A104" s="38" t="s">
        <v>42</v>
      </c>
      <c r="B104" s="38"/>
      <c r="C104" s="36" t="s">
        <v>43</v>
      </c>
      <c r="D104" s="73">
        <v>30</v>
      </c>
      <c r="E104" s="73">
        <f t="shared" si="54"/>
        <v>30</v>
      </c>
      <c r="F104" s="76">
        <f t="shared" si="51"/>
        <v>15</v>
      </c>
      <c r="G104" s="49">
        <v>7.5</v>
      </c>
      <c r="H104" s="49">
        <v>7.5</v>
      </c>
      <c r="I104" s="24">
        <v>7.5</v>
      </c>
      <c r="J104" s="25">
        <v>7.5</v>
      </c>
      <c r="K104" s="25">
        <v>19.7</v>
      </c>
      <c r="L104" s="28"/>
      <c r="M104" s="28">
        <f t="shared" si="55"/>
        <v>262.66666666666663</v>
      </c>
      <c r="N104" s="69"/>
      <c r="O104" s="69"/>
      <c r="P104" s="24">
        <f t="shared" si="43"/>
        <v>262.6666666666667</v>
      </c>
      <c r="Q104" s="24">
        <f t="shared" si="52"/>
        <v>65.66666666666666</v>
      </c>
      <c r="R104" s="28">
        <f t="shared" si="40"/>
        <v>131.33333333333334</v>
      </c>
      <c r="S104" s="25">
        <f t="shared" si="50"/>
        <v>65.66666666666667</v>
      </c>
      <c r="T104" s="95">
        <f t="shared" si="53"/>
        <v>131.33333333333331</v>
      </c>
    </row>
    <row r="105" spans="1:20" ht="12.75" hidden="1">
      <c r="A105" s="38" t="s">
        <v>18</v>
      </c>
      <c r="B105" s="38"/>
      <c r="C105" s="36" t="s">
        <v>15</v>
      </c>
      <c r="D105" s="73"/>
      <c r="E105" s="73">
        <f t="shared" si="54"/>
        <v>0</v>
      </c>
      <c r="F105" s="76">
        <f t="shared" si="51"/>
        <v>0</v>
      </c>
      <c r="G105" s="49"/>
      <c r="H105" s="49"/>
      <c r="I105" s="24"/>
      <c r="J105" s="25"/>
      <c r="K105" s="25"/>
      <c r="L105" s="28"/>
      <c r="M105" s="28" t="e">
        <f t="shared" si="55"/>
        <v>#DIV/0!</v>
      </c>
      <c r="N105" s="69"/>
      <c r="O105" s="69"/>
      <c r="P105" s="24" t="e">
        <f t="shared" si="43"/>
        <v>#DIV/0!</v>
      </c>
      <c r="Q105" s="24" t="e">
        <f t="shared" si="52"/>
        <v>#DIV/0!</v>
      </c>
      <c r="R105" s="28"/>
      <c r="S105" s="25"/>
      <c r="T105" s="96" t="e">
        <f t="shared" si="53"/>
        <v>#DIV/0!</v>
      </c>
    </row>
    <row r="106" spans="1:20" ht="16.5" customHeight="1">
      <c r="A106" s="38" t="s">
        <v>39</v>
      </c>
      <c r="B106" s="56"/>
      <c r="C106" s="23" t="s">
        <v>40</v>
      </c>
      <c r="D106" s="93"/>
      <c r="E106" s="73">
        <f t="shared" si="54"/>
        <v>0</v>
      </c>
      <c r="F106" s="76">
        <f t="shared" si="51"/>
        <v>0</v>
      </c>
      <c r="G106" s="49"/>
      <c r="H106" s="49"/>
      <c r="I106" s="24"/>
      <c r="J106" s="25"/>
      <c r="K106" s="25"/>
      <c r="L106" s="35"/>
      <c r="M106" s="28" t="e">
        <f t="shared" si="55"/>
        <v>#DIV/0!</v>
      </c>
      <c r="N106" s="69"/>
      <c r="O106" s="69"/>
      <c r="P106" s="24" t="e">
        <f t="shared" si="43"/>
        <v>#DIV/0!</v>
      </c>
      <c r="Q106" s="24"/>
      <c r="R106" s="35"/>
      <c r="S106" s="32"/>
      <c r="T106" s="96"/>
    </row>
    <row r="107" spans="1:20" ht="12.75">
      <c r="A107" s="45" t="s">
        <v>1</v>
      </c>
      <c r="B107" s="45"/>
      <c r="C107" s="41" t="s">
        <v>0</v>
      </c>
      <c r="D107" s="42">
        <f aca="true" t="shared" si="56" ref="D107:L107">D108+D109</f>
        <v>20691.2</v>
      </c>
      <c r="E107" s="42">
        <f t="shared" si="56"/>
        <v>24966.3</v>
      </c>
      <c r="F107" s="42">
        <f t="shared" si="56"/>
        <v>14620.7</v>
      </c>
      <c r="G107" s="42">
        <f t="shared" si="56"/>
        <v>8954.5</v>
      </c>
      <c r="H107" s="42">
        <f t="shared" si="56"/>
        <v>5666.2</v>
      </c>
      <c r="I107" s="42">
        <f t="shared" si="56"/>
        <v>5172.8</v>
      </c>
      <c r="J107" s="42">
        <f t="shared" si="56"/>
        <v>5172.8</v>
      </c>
      <c r="K107" s="42">
        <f t="shared" si="56"/>
        <v>10431.8</v>
      </c>
      <c r="L107" s="42">
        <f t="shared" si="56"/>
        <v>0</v>
      </c>
      <c r="M107" s="35">
        <f>K107/I107*100</f>
        <v>201.66640890813485</v>
      </c>
      <c r="N107" s="69"/>
      <c r="O107" s="69"/>
      <c r="P107" s="46">
        <f t="shared" si="43"/>
        <v>201.66640890813483</v>
      </c>
      <c r="Q107" s="46">
        <f t="shared" si="52"/>
        <v>50.416602227033714</v>
      </c>
      <c r="R107" s="35">
        <f t="shared" si="40"/>
        <v>71.34952498854364</v>
      </c>
      <c r="S107" s="32">
        <f>K107*100/E107</f>
        <v>41.78352419060894</v>
      </c>
      <c r="T107" s="96">
        <f t="shared" si="53"/>
        <v>71.34952498854364</v>
      </c>
    </row>
    <row r="108" spans="1:20" ht="24">
      <c r="A108" s="21" t="s">
        <v>67</v>
      </c>
      <c r="B108" s="19"/>
      <c r="C108" s="43" t="s">
        <v>20</v>
      </c>
      <c r="D108" s="49">
        <v>20691.2</v>
      </c>
      <c r="E108" s="73">
        <f t="shared" si="54"/>
        <v>24966.3</v>
      </c>
      <c r="F108" s="76">
        <f t="shared" si="51"/>
        <v>14620.7</v>
      </c>
      <c r="G108" s="49">
        <v>8954.5</v>
      </c>
      <c r="H108" s="49">
        <v>5666.2</v>
      </c>
      <c r="I108" s="24">
        <v>5172.8</v>
      </c>
      <c r="J108" s="25">
        <v>5172.8</v>
      </c>
      <c r="K108" s="25">
        <v>10431.8</v>
      </c>
      <c r="L108" s="28"/>
      <c r="M108" s="28">
        <f t="shared" si="55"/>
        <v>201.66640890813485</v>
      </c>
      <c r="N108" s="69"/>
      <c r="O108" s="69"/>
      <c r="P108" s="24">
        <f t="shared" si="43"/>
        <v>201.66640890813483</v>
      </c>
      <c r="Q108" s="24">
        <f t="shared" si="52"/>
        <v>50.416602227033714</v>
      </c>
      <c r="R108" s="28">
        <f t="shared" si="40"/>
        <v>71.34952498854364</v>
      </c>
      <c r="S108" s="25">
        <f>K108*100/E108</f>
        <v>41.78352419060894</v>
      </c>
      <c r="T108" s="61">
        <f t="shared" si="53"/>
        <v>71.34952498854364</v>
      </c>
    </row>
    <row r="109" spans="1:20" ht="12.75" hidden="1">
      <c r="A109" s="21" t="s">
        <v>2</v>
      </c>
      <c r="B109" s="21"/>
      <c r="C109" s="44" t="s">
        <v>19</v>
      </c>
      <c r="D109" s="44"/>
      <c r="E109" s="73">
        <f t="shared" si="54"/>
        <v>0</v>
      </c>
      <c r="F109" s="73">
        <f>G109+H109</f>
        <v>0</v>
      </c>
      <c r="G109" s="80"/>
      <c r="H109" s="80"/>
      <c r="I109" s="24"/>
      <c r="J109" s="25"/>
      <c r="K109" s="25"/>
      <c r="L109" s="28"/>
      <c r="M109" s="28"/>
      <c r="N109" s="69"/>
      <c r="O109" s="69"/>
      <c r="P109" s="24" t="e">
        <f t="shared" si="43"/>
        <v>#DIV/0!</v>
      </c>
      <c r="Q109" s="46" t="e">
        <f t="shared" si="52"/>
        <v>#DIV/0!</v>
      </c>
      <c r="R109" s="35"/>
      <c r="S109" s="32"/>
      <c r="T109" s="96" t="e">
        <f t="shared" si="53"/>
        <v>#DIV/0!</v>
      </c>
    </row>
    <row r="110" spans="1:20" ht="12.75">
      <c r="A110" s="29"/>
      <c r="B110" s="30"/>
      <c r="C110" s="31" t="s">
        <v>4</v>
      </c>
      <c r="D110" s="32">
        <f aca="true" t="shared" si="57" ref="D110:L110">D107+D97</f>
        <v>28126.2</v>
      </c>
      <c r="E110" s="32">
        <f t="shared" si="57"/>
        <v>32401.3</v>
      </c>
      <c r="F110" s="46">
        <f t="shared" si="57"/>
        <v>18338.2</v>
      </c>
      <c r="G110" s="46">
        <f t="shared" si="57"/>
        <v>10812.8</v>
      </c>
      <c r="H110" s="46">
        <f>H107+H97</f>
        <v>7525.4</v>
      </c>
      <c r="I110" s="32">
        <f t="shared" si="57"/>
        <v>7032.1</v>
      </c>
      <c r="J110" s="32">
        <f t="shared" si="57"/>
        <v>7031</v>
      </c>
      <c r="K110" s="32">
        <f t="shared" si="57"/>
        <v>12864.3</v>
      </c>
      <c r="L110" s="32" t="e">
        <f t="shared" si="57"/>
        <v>#REF!</v>
      </c>
      <c r="M110" s="35">
        <f>K110/I110*100</f>
        <v>182.9368183046316</v>
      </c>
      <c r="N110" s="69"/>
      <c r="O110" s="70" t="e">
        <f>J110+#REF!+#REF!</f>
        <v>#REF!</v>
      </c>
      <c r="P110" s="46">
        <f t="shared" si="43"/>
        <v>182.9654387711563</v>
      </c>
      <c r="Q110" s="46">
        <f t="shared" si="52"/>
        <v>45.737781854640865</v>
      </c>
      <c r="R110" s="35">
        <f t="shared" si="40"/>
        <v>70.15028737825959</v>
      </c>
      <c r="S110" s="32">
        <f>K110*100/E110</f>
        <v>39.70303660655591</v>
      </c>
      <c r="T110" s="96">
        <f t="shared" si="53"/>
        <v>70.15028737825958</v>
      </c>
    </row>
    <row r="111" spans="1:20" ht="12.75">
      <c r="A111" s="100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2"/>
      <c r="N111" s="69"/>
      <c r="O111" s="69"/>
      <c r="P111" s="67"/>
      <c r="Q111" s="24"/>
      <c r="R111" s="35"/>
      <c r="S111" s="32"/>
      <c r="T111" s="97"/>
    </row>
    <row r="112" spans="1:20" ht="12.75">
      <c r="A112" s="103" t="s">
        <v>30</v>
      </c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85"/>
      <c r="R112" s="35"/>
      <c r="S112" s="32"/>
      <c r="T112" s="97"/>
    </row>
    <row r="113" spans="1:20" ht="12.75">
      <c r="A113" s="33" t="s">
        <v>3</v>
      </c>
      <c r="B113" s="33"/>
      <c r="C113" s="34" t="s">
        <v>68</v>
      </c>
      <c r="D113" s="35">
        <f aca="true" t="shared" si="58" ref="D113:K113">D114+D117+D121+D118+D119+D122+D120+D123+D115+D116</f>
        <v>5048</v>
      </c>
      <c r="E113" s="35">
        <f t="shared" si="58"/>
        <v>5048</v>
      </c>
      <c r="F113" s="35">
        <f t="shared" si="58"/>
        <v>2481.5</v>
      </c>
      <c r="G113" s="35">
        <f t="shared" si="58"/>
        <v>1202.9</v>
      </c>
      <c r="H113" s="35">
        <f t="shared" si="58"/>
        <v>1278.6</v>
      </c>
      <c r="I113" s="35">
        <f t="shared" si="58"/>
        <v>1254</v>
      </c>
      <c r="J113" s="35">
        <f t="shared" si="58"/>
        <v>1312.5</v>
      </c>
      <c r="K113" s="35">
        <f t="shared" si="58"/>
        <v>2748.5</v>
      </c>
      <c r="L113" s="35" t="e">
        <f>K113/#REF!*100</f>
        <v>#REF!</v>
      </c>
      <c r="M113" s="35">
        <f aca="true" t="shared" si="59" ref="M113:M121">K113/I113*100</f>
        <v>219.1786283891547</v>
      </c>
      <c r="N113" s="69"/>
      <c r="O113" s="69"/>
      <c r="P113" s="35">
        <f t="shared" si="43"/>
        <v>209.40952380952382</v>
      </c>
      <c r="Q113" s="46">
        <f>K113/D113*100</f>
        <v>54.447305863708394</v>
      </c>
      <c r="R113" s="35">
        <f t="shared" si="40"/>
        <v>110.75962119685674</v>
      </c>
      <c r="S113" s="32">
        <f aca="true" t="shared" si="60" ref="S113:S120">K113*100/E113</f>
        <v>54.4473058637084</v>
      </c>
      <c r="T113" s="96">
        <f>K113/F113*100</f>
        <v>110.75962119685674</v>
      </c>
    </row>
    <row r="114" spans="1:20" ht="12.75">
      <c r="A114" s="29" t="s">
        <v>23</v>
      </c>
      <c r="B114" s="29"/>
      <c r="C114" s="36" t="s">
        <v>22</v>
      </c>
      <c r="D114" s="73">
        <v>1310</v>
      </c>
      <c r="E114" s="73">
        <f>G114+H114+I114+J114</f>
        <v>1310</v>
      </c>
      <c r="F114" s="76">
        <f aca="true" t="shared" si="61" ref="F114:F125">G114+H114</f>
        <v>650</v>
      </c>
      <c r="G114" s="73">
        <v>286.3</v>
      </c>
      <c r="H114" s="73">
        <v>363.7</v>
      </c>
      <c r="I114" s="25">
        <v>339.1</v>
      </c>
      <c r="J114" s="25">
        <v>320.9</v>
      </c>
      <c r="K114" s="25">
        <v>1429.8</v>
      </c>
      <c r="L114" s="28" t="e">
        <f>K114/#REF!*100</f>
        <v>#REF!</v>
      </c>
      <c r="M114" s="28">
        <f t="shared" si="59"/>
        <v>421.6455322913594</v>
      </c>
      <c r="N114" s="69"/>
      <c r="O114" s="69"/>
      <c r="P114" s="24">
        <f t="shared" si="43"/>
        <v>445.5593642879402</v>
      </c>
      <c r="Q114" s="24">
        <f aca="true" t="shared" si="62" ref="Q114:Q126">K114/D114*100</f>
        <v>109.14503816793892</v>
      </c>
      <c r="R114" s="28">
        <f t="shared" si="40"/>
        <v>219.96923076923076</v>
      </c>
      <c r="S114" s="25">
        <f t="shared" si="60"/>
        <v>109.14503816793894</v>
      </c>
      <c r="T114" s="95">
        <f aca="true" t="shared" si="63" ref="T114:T126">K114/F114*100</f>
        <v>219.9692307692308</v>
      </c>
    </row>
    <row r="115" spans="1:20" ht="12.75" hidden="1">
      <c r="A115" s="19" t="s">
        <v>8</v>
      </c>
      <c r="B115" s="19"/>
      <c r="C115" s="36" t="s">
        <v>5</v>
      </c>
      <c r="D115" s="73"/>
      <c r="E115" s="73">
        <f>G115+H115+I115+J115</f>
        <v>0</v>
      </c>
      <c r="F115" s="76">
        <f t="shared" si="61"/>
        <v>0</v>
      </c>
      <c r="G115" s="73"/>
      <c r="H115" s="73"/>
      <c r="I115" s="25"/>
      <c r="J115" s="25"/>
      <c r="K115" s="25"/>
      <c r="L115" s="28"/>
      <c r="M115" s="28"/>
      <c r="N115" s="69"/>
      <c r="O115" s="69"/>
      <c r="P115" s="24"/>
      <c r="Q115" s="24" t="e">
        <f t="shared" si="62"/>
        <v>#DIV/0!</v>
      </c>
      <c r="R115" s="28" t="e">
        <f>K115*100/F115</f>
        <v>#DIV/0!</v>
      </c>
      <c r="S115" s="25" t="e">
        <f t="shared" si="60"/>
        <v>#DIV/0!</v>
      </c>
      <c r="T115" s="95" t="e">
        <f t="shared" si="63"/>
        <v>#DIV/0!</v>
      </c>
    </row>
    <row r="116" spans="1:20" ht="12.75">
      <c r="A116" s="19" t="s">
        <v>70</v>
      </c>
      <c r="B116" s="19"/>
      <c r="C116" s="36" t="s">
        <v>71</v>
      </c>
      <c r="D116" s="73">
        <v>3271</v>
      </c>
      <c r="E116" s="73">
        <f>G116+H116+I116+J116</f>
        <v>3271</v>
      </c>
      <c r="F116" s="76">
        <f t="shared" si="61"/>
        <v>1635</v>
      </c>
      <c r="G116" s="73">
        <v>817.5</v>
      </c>
      <c r="H116" s="73">
        <v>817.5</v>
      </c>
      <c r="I116" s="25">
        <v>817.5</v>
      </c>
      <c r="J116" s="25">
        <v>818.5</v>
      </c>
      <c r="K116" s="25">
        <v>1030.5</v>
      </c>
      <c r="L116" s="28"/>
      <c r="M116" s="28"/>
      <c r="N116" s="69"/>
      <c r="O116" s="69"/>
      <c r="P116" s="24"/>
      <c r="Q116" s="24">
        <f t="shared" si="62"/>
        <v>31.504127178232956</v>
      </c>
      <c r="R116" s="28">
        <f>K116*100/F116</f>
        <v>63.027522935779814</v>
      </c>
      <c r="S116" s="25">
        <f t="shared" si="60"/>
        <v>31.504127178232956</v>
      </c>
      <c r="T116" s="95">
        <f t="shared" si="63"/>
        <v>63.027522935779814</v>
      </c>
    </row>
    <row r="117" spans="1:20" ht="12.75">
      <c r="A117" s="19" t="s">
        <v>9</v>
      </c>
      <c r="B117" s="19"/>
      <c r="C117" s="36" t="s">
        <v>6</v>
      </c>
      <c r="D117" s="73">
        <v>77</v>
      </c>
      <c r="E117" s="73">
        <f aca="true" t="shared" si="64" ref="E117:E125">G117+H117+I117+J117</f>
        <v>77</v>
      </c>
      <c r="F117" s="76">
        <f t="shared" si="61"/>
        <v>1.5</v>
      </c>
      <c r="G117" s="73">
        <v>1.5</v>
      </c>
      <c r="H117" s="73"/>
      <c r="I117" s="25"/>
      <c r="J117" s="25">
        <v>75.5</v>
      </c>
      <c r="K117" s="25">
        <v>57.3</v>
      </c>
      <c r="L117" s="28" t="e">
        <f>K117/#REF!*100</f>
        <v>#REF!</v>
      </c>
      <c r="M117" s="28" t="e">
        <f t="shared" si="59"/>
        <v>#DIV/0!</v>
      </c>
      <c r="N117" s="69"/>
      <c r="O117" s="69"/>
      <c r="P117" s="24">
        <f t="shared" si="43"/>
        <v>75.89403973509934</v>
      </c>
      <c r="Q117" s="24">
        <f t="shared" si="62"/>
        <v>74.41558441558442</v>
      </c>
      <c r="R117" s="28">
        <f t="shared" si="40"/>
        <v>3820</v>
      </c>
      <c r="S117" s="25">
        <f t="shared" si="60"/>
        <v>74.41558441558442</v>
      </c>
      <c r="T117" s="95">
        <f t="shared" si="63"/>
        <v>3819.9999999999995</v>
      </c>
    </row>
    <row r="118" spans="1:20" ht="12.75">
      <c r="A118" s="19" t="s">
        <v>10</v>
      </c>
      <c r="B118" s="19"/>
      <c r="C118" s="36" t="s">
        <v>21</v>
      </c>
      <c r="D118" s="73">
        <v>30</v>
      </c>
      <c r="E118" s="73">
        <f t="shared" si="64"/>
        <v>30</v>
      </c>
      <c r="F118" s="76">
        <f t="shared" si="61"/>
        <v>15</v>
      </c>
      <c r="G118" s="73">
        <v>7.5</v>
      </c>
      <c r="H118" s="73">
        <v>7.5</v>
      </c>
      <c r="I118" s="25">
        <v>7.5</v>
      </c>
      <c r="J118" s="25">
        <v>7.5</v>
      </c>
      <c r="K118" s="25">
        <v>5.6</v>
      </c>
      <c r="L118" s="28" t="e">
        <f>K118/#REF!*100</f>
        <v>#REF!</v>
      </c>
      <c r="M118" s="28">
        <f t="shared" si="59"/>
        <v>74.66666666666666</v>
      </c>
      <c r="N118" s="69"/>
      <c r="O118" s="69"/>
      <c r="P118" s="24">
        <f t="shared" si="43"/>
        <v>74.66666666666667</v>
      </c>
      <c r="Q118" s="24">
        <f t="shared" si="62"/>
        <v>18.666666666666664</v>
      </c>
      <c r="R118" s="28">
        <f t="shared" si="40"/>
        <v>37.333333333333336</v>
      </c>
      <c r="S118" s="25">
        <f t="shared" si="60"/>
        <v>18.666666666666668</v>
      </c>
      <c r="T118" s="95">
        <f t="shared" si="63"/>
        <v>37.33333333333333</v>
      </c>
    </row>
    <row r="119" spans="1:20" ht="24">
      <c r="A119" s="20" t="s">
        <v>11</v>
      </c>
      <c r="B119" s="20"/>
      <c r="C119" s="36" t="s">
        <v>17</v>
      </c>
      <c r="D119" s="73">
        <v>250</v>
      </c>
      <c r="E119" s="73">
        <f t="shared" si="64"/>
        <v>250</v>
      </c>
      <c r="F119" s="76">
        <f t="shared" si="61"/>
        <v>125</v>
      </c>
      <c r="G119" s="73">
        <v>62.6</v>
      </c>
      <c r="H119" s="73">
        <v>62.4</v>
      </c>
      <c r="I119" s="25">
        <v>62.4</v>
      </c>
      <c r="J119" s="25">
        <v>62.6</v>
      </c>
      <c r="K119" s="25">
        <v>145.2</v>
      </c>
      <c r="L119" s="28" t="e">
        <f>K119/#REF!*100</f>
        <v>#REF!</v>
      </c>
      <c r="M119" s="28">
        <f t="shared" si="59"/>
        <v>232.69230769230768</v>
      </c>
      <c r="N119" s="69"/>
      <c r="O119" s="69"/>
      <c r="P119" s="24">
        <f t="shared" si="43"/>
        <v>231.94888178913735</v>
      </c>
      <c r="Q119" s="24">
        <f t="shared" si="62"/>
        <v>58.08</v>
      </c>
      <c r="R119" s="28">
        <f t="shared" si="40"/>
        <v>116.15999999999998</v>
      </c>
      <c r="S119" s="25">
        <f t="shared" si="60"/>
        <v>58.07999999999999</v>
      </c>
      <c r="T119" s="95">
        <f t="shared" si="63"/>
        <v>116.16</v>
      </c>
    </row>
    <row r="120" spans="1:20" ht="24">
      <c r="A120" s="38" t="s">
        <v>42</v>
      </c>
      <c r="B120" s="38"/>
      <c r="C120" s="36" t="s">
        <v>43</v>
      </c>
      <c r="D120" s="73">
        <v>110</v>
      </c>
      <c r="E120" s="73">
        <f t="shared" si="64"/>
        <v>110</v>
      </c>
      <c r="F120" s="76">
        <f t="shared" si="61"/>
        <v>55</v>
      </c>
      <c r="G120" s="73">
        <v>27.5</v>
      </c>
      <c r="H120" s="73">
        <v>27.5</v>
      </c>
      <c r="I120" s="25">
        <v>27.5</v>
      </c>
      <c r="J120" s="25">
        <v>27.5</v>
      </c>
      <c r="K120" s="25">
        <v>45</v>
      </c>
      <c r="L120" s="28" t="e">
        <f>K120/#REF!*100</f>
        <v>#REF!</v>
      </c>
      <c r="M120" s="28">
        <f t="shared" si="59"/>
        <v>163.63636363636365</v>
      </c>
      <c r="N120" s="69"/>
      <c r="O120" s="69"/>
      <c r="P120" s="24">
        <f t="shared" si="43"/>
        <v>163.63636363636363</v>
      </c>
      <c r="Q120" s="24">
        <f t="shared" si="62"/>
        <v>40.909090909090914</v>
      </c>
      <c r="R120" s="28">
        <f t="shared" si="40"/>
        <v>81.81818181818181</v>
      </c>
      <c r="S120" s="25">
        <f t="shared" si="60"/>
        <v>40.90909090909091</v>
      </c>
      <c r="T120" s="95">
        <f t="shared" si="63"/>
        <v>81.81818181818183</v>
      </c>
    </row>
    <row r="121" spans="1:20" ht="12.75" hidden="1">
      <c r="A121" s="37" t="s">
        <v>18</v>
      </c>
      <c r="B121" s="37"/>
      <c r="C121" s="36" t="s">
        <v>15</v>
      </c>
      <c r="D121" s="73"/>
      <c r="E121" s="73">
        <f t="shared" si="64"/>
        <v>0</v>
      </c>
      <c r="F121" s="76">
        <f t="shared" si="61"/>
        <v>0</v>
      </c>
      <c r="G121" s="73"/>
      <c r="H121" s="73"/>
      <c r="I121" s="25"/>
      <c r="J121" s="25"/>
      <c r="K121" s="25"/>
      <c r="L121" s="28" t="e">
        <f>K121/#REF!*100</f>
        <v>#REF!</v>
      </c>
      <c r="M121" s="28" t="e">
        <f t="shared" si="59"/>
        <v>#DIV/0!</v>
      </c>
      <c r="N121" s="69"/>
      <c r="O121" s="69"/>
      <c r="P121" s="24" t="e">
        <f t="shared" si="43"/>
        <v>#DIV/0!</v>
      </c>
      <c r="Q121" s="24" t="e">
        <f t="shared" si="62"/>
        <v>#DIV/0!</v>
      </c>
      <c r="R121" s="28"/>
      <c r="S121" s="25"/>
      <c r="T121" s="95" t="e">
        <f t="shared" si="63"/>
        <v>#DIV/0!</v>
      </c>
    </row>
    <row r="122" spans="1:20" ht="12.75" hidden="1">
      <c r="A122" s="29" t="s">
        <v>12</v>
      </c>
      <c r="B122" s="29"/>
      <c r="C122" s="36" t="s">
        <v>7</v>
      </c>
      <c r="D122" s="73"/>
      <c r="E122" s="73">
        <f t="shared" si="64"/>
        <v>0</v>
      </c>
      <c r="F122" s="76">
        <f t="shared" si="61"/>
        <v>0</v>
      </c>
      <c r="G122" s="73"/>
      <c r="H122" s="73"/>
      <c r="I122" s="25"/>
      <c r="J122" s="25"/>
      <c r="K122" s="25"/>
      <c r="L122" s="28"/>
      <c r="M122" s="28"/>
      <c r="N122" s="69"/>
      <c r="O122" s="69"/>
      <c r="P122" s="24" t="e">
        <f t="shared" si="43"/>
        <v>#DIV/0!</v>
      </c>
      <c r="Q122" s="24" t="e">
        <f t="shared" si="62"/>
        <v>#DIV/0!</v>
      </c>
      <c r="R122" s="35" t="e">
        <f t="shared" si="40"/>
        <v>#DIV/0!</v>
      </c>
      <c r="S122" s="32" t="e">
        <f>K122*100/E122</f>
        <v>#DIV/0!</v>
      </c>
      <c r="T122" s="95" t="e">
        <f t="shared" si="63"/>
        <v>#DIV/0!</v>
      </c>
    </row>
    <row r="123" spans="1:20" ht="11.25" customHeight="1">
      <c r="A123" s="37" t="s">
        <v>39</v>
      </c>
      <c r="B123" s="56"/>
      <c r="C123" s="23" t="s">
        <v>40</v>
      </c>
      <c r="D123" s="93">
        <v>0</v>
      </c>
      <c r="E123" s="73">
        <f t="shared" si="64"/>
        <v>0</v>
      </c>
      <c r="F123" s="76">
        <f t="shared" si="61"/>
        <v>0</v>
      </c>
      <c r="G123" s="73"/>
      <c r="H123" s="73"/>
      <c r="I123" s="25"/>
      <c r="J123" s="25"/>
      <c r="K123" s="25">
        <v>35.1</v>
      </c>
      <c r="L123" s="28"/>
      <c r="M123" s="28"/>
      <c r="N123" s="69"/>
      <c r="O123" s="69"/>
      <c r="P123" s="24" t="e">
        <f t="shared" si="43"/>
        <v>#DIV/0!</v>
      </c>
      <c r="Q123" s="24"/>
      <c r="R123" s="35"/>
      <c r="S123" s="32"/>
      <c r="T123" s="95"/>
    </row>
    <row r="124" spans="1:20" ht="12.75">
      <c r="A124" s="33" t="s">
        <v>1</v>
      </c>
      <c r="B124" s="33"/>
      <c r="C124" s="41" t="s">
        <v>0</v>
      </c>
      <c r="D124" s="42">
        <f aca="true" t="shared" si="65" ref="D124:L124">D125</f>
        <v>23671.4</v>
      </c>
      <c r="E124" s="42">
        <f t="shared" si="65"/>
        <v>24247.8</v>
      </c>
      <c r="F124" s="82">
        <f t="shared" si="65"/>
        <v>12461.7</v>
      </c>
      <c r="G124" s="82">
        <f t="shared" si="65"/>
        <v>4838.3</v>
      </c>
      <c r="H124" s="82">
        <f t="shared" si="65"/>
        <v>7623.4</v>
      </c>
      <c r="I124" s="82">
        <f t="shared" si="65"/>
        <v>5425.9</v>
      </c>
      <c r="J124" s="42">
        <f t="shared" si="65"/>
        <v>6360.2</v>
      </c>
      <c r="K124" s="42">
        <f t="shared" si="65"/>
        <v>9157.4</v>
      </c>
      <c r="L124" s="42" t="e">
        <f t="shared" si="65"/>
        <v>#REF!</v>
      </c>
      <c r="M124" s="35">
        <f>K124/I124*100</f>
        <v>168.77200095836636</v>
      </c>
      <c r="N124" s="69"/>
      <c r="O124" s="69"/>
      <c r="P124" s="46">
        <f t="shared" si="43"/>
        <v>143.97974906449483</v>
      </c>
      <c r="Q124" s="46">
        <f t="shared" si="62"/>
        <v>38.68550233615248</v>
      </c>
      <c r="R124" s="35">
        <f t="shared" si="40"/>
        <v>73.48435606698925</v>
      </c>
      <c r="S124" s="32">
        <f>K124*100/E124</f>
        <v>37.76590041158373</v>
      </c>
      <c r="T124" s="96">
        <f t="shared" si="63"/>
        <v>73.48435606698925</v>
      </c>
    </row>
    <row r="125" spans="1:20" ht="24">
      <c r="A125" s="21" t="s">
        <v>67</v>
      </c>
      <c r="B125" s="19"/>
      <c r="C125" s="43" t="s">
        <v>20</v>
      </c>
      <c r="D125" s="49">
        <v>23671.4</v>
      </c>
      <c r="E125" s="73">
        <f t="shared" si="64"/>
        <v>24247.8</v>
      </c>
      <c r="F125" s="76">
        <f t="shared" si="61"/>
        <v>12461.7</v>
      </c>
      <c r="G125" s="73">
        <f>4822.7+15.6</f>
        <v>4838.3</v>
      </c>
      <c r="H125" s="73">
        <f>7620.2+3.2</f>
        <v>7623.4</v>
      </c>
      <c r="I125" s="25">
        <v>5425.9</v>
      </c>
      <c r="J125" s="25">
        <v>6360.2</v>
      </c>
      <c r="K125" s="25">
        <v>9157.4</v>
      </c>
      <c r="L125" s="28" t="e">
        <f>K125/#REF!*100</f>
        <v>#REF!</v>
      </c>
      <c r="M125" s="28">
        <f>K125/I125*100</f>
        <v>168.77200095836636</v>
      </c>
      <c r="N125" s="69"/>
      <c r="O125" s="69"/>
      <c r="P125" s="24">
        <f t="shared" si="43"/>
        <v>143.97974906449483</v>
      </c>
      <c r="Q125" s="24">
        <f t="shared" si="62"/>
        <v>38.68550233615248</v>
      </c>
      <c r="R125" s="28">
        <f t="shared" si="40"/>
        <v>73.48435606698925</v>
      </c>
      <c r="S125" s="25">
        <f>K125*100/E125</f>
        <v>37.76590041158373</v>
      </c>
      <c r="T125" s="95">
        <f t="shared" si="63"/>
        <v>73.48435606698925</v>
      </c>
    </row>
    <row r="126" spans="1:20" ht="12.75">
      <c r="A126" s="29"/>
      <c r="B126" s="30"/>
      <c r="C126" s="31" t="s">
        <v>4</v>
      </c>
      <c r="D126" s="32">
        <f aca="true" t="shared" si="66" ref="D126:K126">D124+D113</f>
        <v>28719.4</v>
      </c>
      <c r="E126" s="32">
        <f t="shared" si="66"/>
        <v>29295.8</v>
      </c>
      <c r="F126" s="32">
        <f t="shared" si="66"/>
        <v>14943.2</v>
      </c>
      <c r="G126" s="32">
        <f t="shared" si="66"/>
        <v>6041.200000000001</v>
      </c>
      <c r="H126" s="32">
        <f t="shared" si="66"/>
        <v>8902</v>
      </c>
      <c r="I126" s="32">
        <f t="shared" si="66"/>
        <v>6679.9</v>
      </c>
      <c r="J126" s="32">
        <f t="shared" si="66"/>
        <v>7672.7</v>
      </c>
      <c r="K126" s="32">
        <f t="shared" si="66"/>
        <v>11905.9</v>
      </c>
      <c r="L126" s="35" t="e">
        <f>K126/#REF!*100</f>
        <v>#REF!</v>
      </c>
      <c r="M126" s="35">
        <f>K126/I126*100</f>
        <v>178.23470411233703</v>
      </c>
      <c r="N126" s="69"/>
      <c r="O126" s="70" t="e">
        <f>J126+#REF!+#REF!</f>
        <v>#REF!</v>
      </c>
      <c r="P126" s="46">
        <f t="shared" si="43"/>
        <v>155.17223402452854</v>
      </c>
      <c r="Q126" s="46">
        <f t="shared" si="62"/>
        <v>41.45594963683085</v>
      </c>
      <c r="R126" s="35">
        <f t="shared" si="40"/>
        <v>79.67436693613148</v>
      </c>
      <c r="S126" s="32">
        <f>K126*100/E126</f>
        <v>40.64029656128182</v>
      </c>
      <c r="T126" s="96">
        <f t="shared" si="63"/>
        <v>79.67436693613148</v>
      </c>
    </row>
    <row r="127" spans="1:20" ht="12.75">
      <c r="A127" s="100"/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2"/>
      <c r="N127" s="69"/>
      <c r="O127" s="69"/>
      <c r="P127" s="67"/>
      <c r="Q127" s="24"/>
      <c r="R127" s="35"/>
      <c r="S127" s="32"/>
      <c r="T127" s="97"/>
    </row>
    <row r="128" spans="1:20" ht="12.75">
      <c r="A128" s="103" t="s">
        <v>31</v>
      </c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85"/>
      <c r="R128" s="35"/>
      <c r="S128" s="32"/>
      <c r="T128" s="97"/>
    </row>
    <row r="129" spans="1:20" ht="12.75">
      <c r="A129" s="33" t="s">
        <v>3</v>
      </c>
      <c r="B129" s="33"/>
      <c r="C129" s="34" t="s">
        <v>68</v>
      </c>
      <c r="D129" s="35">
        <f aca="true" t="shared" si="67" ref="D129:K129">D130+D132+D133+D134+D136+D138+D135+D137+D131</f>
        <v>9547</v>
      </c>
      <c r="E129" s="35">
        <f t="shared" si="67"/>
        <v>9770.1</v>
      </c>
      <c r="F129" s="35">
        <f t="shared" si="67"/>
        <v>4797.6</v>
      </c>
      <c r="G129" s="35">
        <f t="shared" si="67"/>
        <v>1898.8</v>
      </c>
      <c r="H129" s="35">
        <f t="shared" si="67"/>
        <v>2898.8</v>
      </c>
      <c r="I129" s="35">
        <f t="shared" si="67"/>
        <v>2431.9</v>
      </c>
      <c r="J129" s="35">
        <f t="shared" si="67"/>
        <v>2540.6</v>
      </c>
      <c r="K129" s="35">
        <f t="shared" si="67"/>
        <v>3476.3999999999996</v>
      </c>
      <c r="L129" s="35" t="e">
        <f>K129/#REF!*100</f>
        <v>#REF!</v>
      </c>
      <c r="M129" s="35">
        <f aca="true" t="shared" si="68" ref="M129:M136">K129/I129*100</f>
        <v>142.94995682388253</v>
      </c>
      <c r="N129" s="69"/>
      <c r="O129" s="69"/>
      <c r="P129" s="35">
        <f t="shared" si="43"/>
        <v>136.83381878296464</v>
      </c>
      <c r="Q129" s="46">
        <f>K129/D129*100</f>
        <v>36.41353304703048</v>
      </c>
      <c r="R129" s="35">
        <f t="shared" si="40"/>
        <v>72.46123061530764</v>
      </c>
      <c r="S129" s="32">
        <f aca="true" t="shared" si="69" ref="S129:S135">K129*100/E129</f>
        <v>35.58203089016488</v>
      </c>
      <c r="T129" s="96">
        <f>K129/F129*100</f>
        <v>72.46123061530764</v>
      </c>
    </row>
    <row r="130" spans="1:20" ht="12.75">
      <c r="A130" s="29" t="s">
        <v>23</v>
      </c>
      <c r="B130" s="29"/>
      <c r="C130" s="36" t="s">
        <v>22</v>
      </c>
      <c r="D130" s="73">
        <v>2000</v>
      </c>
      <c r="E130" s="73">
        <f>G130+H130+I130+J130</f>
        <v>2000</v>
      </c>
      <c r="F130" s="76">
        <f aca="true" t="shared" si="70" ref="F130:F141">G130+H130</f>
        <v>900</v>
      </c>
      <c r="G130" s="49">
        <v>400</v>
      </c>
      <c r="H130" s="49">
        <v>500</v>
      </c>
      <c r="I130" s="24">
        <v>450</v>
      </c>
      <c r="J130" s="25">
        <v>650</v>
      </c>
      <c r="K130" s="25">
        <v>807.1</v>
      </c>
      <c r="L130" s="28" t="e">
        <f>K130/#REF!*100</f>
        <v>#REF!</v>
      </c>
      <c r="M130" s="28">
        <f t="shared" si="68"/>
        <v>179.35555555555555</v>
      </c>
      <c r="N130" s="69"/>
      <c r="O130" s="69"/>
      <c r="P130" s="24">
        <f t="shared" si="43"/>
        <v>124.16923076923077</v>
      </c>
      <c r="Q130" s="24">
        <f aca="true" t="shared" si="71" ref="Q130:Q142">K130/D130*100</f>
        <v>40.355000000000004</v>
      </c>
      <c r="R130" s="28">
        <f t="shared" si="40"/>
        <v>89.67777777777778</v>
      </c>
      <c r="S130" s="25">
        <f t="shared" si="69"/>
        <v>40.355</v>
      </c>
      <c r="T130" s="95">
        <f aca="true" t="shared" si="72" ref="T130:T142">K130/F130*100</f>
        <v>89.67777777777778</v>
      </c>
    </row>
    <row r="131" spans="1:20" ht="12.75">
      <c r="A131" s="19" t="s">
        <v>70</v>
      </c>
      <c r="B131" s="19"/>
      <c r="C131" s="36" t="s">
        <v>71</v>
      </c>
      <c r="D131" s="73">
        <v>7083</v>
      </c>
      <c r="E131" s="73">
        <f>G131+H131+I131+J131</f>
        <v>7083</v>
      </c>
      <c r="F131" s="76">
        <f t="shared" si="70"/>
        <v>3498.1</v>
      </c>
      <c r="G131" s="49">
        <v>1445.6</v>
      </c>
      <c r="H131" s="49">
        <v>2052.5</v>
      </c>
      <c r="I131" s="24">
        <v>1852.9</v>
      </c>
      <c r="J131" s="25">
        <v>1732</v>
      </c>
      <c r="K131" s="25">
        <v>2231.7</v>
      </c>
      <c r="L131" s="28"/>
      <c r="M131" s="28"/>
      <c r="N131" s="69"/>
      <c r="O131" s="69"/>
      <c r="P131" s="24"/>
      <c r="Q131" s="24">
        <f t="shared" si="71"/>
        <v>31.50783566285472</v>
      </c>
      <c r="R131" s="28">
        <f>K131*100/F131</f>
        <v>63.79749006603584</v>
      </c>
      <c r="S131" s="25">
        <f t="shared" si="69"/>
        <v>31.507835662854717</v>
      </c>
      <c r="T131" s="95">
        <f t="shared" si="72"/>
        <v>63.79749006603584</v>
      </c>
    </row>
    <row r="132" spans="1:20" ht="12.75">
      <c r="A132" s="19" t="s">
        <v>9</v>
      </c>
      <c r="B132" s="19"/>
      <c r="C132" s="36" t="s">
        <v>6</v>
      </c>
      <c r="D132" s="73">
        <v>267</v>
      </c>
      <c r="E132" s="73">
        <f aca="true" t="shared" si="73" ref="E132:E141">G132+H132+I132+J132</f>
        <v>267</v>
      </c>
      <c r="F132" s="76">
        <f t="shared" si="70"/>
        <v>86.69999999999999</v>
      </c>
      <c r="G132" s="49">
        <v>20.1</v>
      </c>
      <c r="H132" s="49">
        <v>66.6</v>
      </c>
      <c r="I132" s="24">
        <v>77.7</v>
      </c>
      <c r="J132" s="25">
        <v>102.6</v>
      </c>
      <c r="K132" s="25">
        <v>121.7</v>
      </c>
      <c r="L132" s="28" t="e">
        <f>K132/#REF!*100</f>
        <v>#REF!</v>
      </c>
      <c r="M132" s="28">
        <f t="shared" si="68"/>
        <v>156.62805662805664</v>
      </c>
      <c r="N132" s="69"/>
      <c r="O132" s="69"/>
      <c r="P132" s="24">
        <f t="shared" si="43"/>
        <v>118.6159844054581</v>
      </c>
      <c r="Q132" s="24">
        <f t="shared" si="71"/>
        <v>45.58052434456929</v>
      </c>
      <c r="R132" s="28">
        <f t="shared" si="40"/>
        <v>140.3690888119954</v>
      </c>
      <c r="S132" s="25">
        <f t="shared" si="69"/>
        <v>45.58052434456929</v>
      </c>
      <c r="T132" s="95">
        <f t="shared" si="72"/>
        <v>140.36908881199543</v>
      </c>
    </row>
    <row r="133" spans="1:20" ht="12.75">
      <c r="A133" s="19" t="s">
        <v>10</v>
      </c>
      <c r="B133" s="19"/>
      <c r="C133" s="36" t="s">
        <v>21</v>
      </c>
      <c r="D133" s="73">
        <v>47</v>
      </c>
      <c r="E133" s="73">
        <f t="shared" si="73"/>
        <v>47</v>
      </c>
      <c r="F133" s="76">
        <f t="shared" si="70"/>
        <v>19.5</v>
      </c>
      <c r="G133" s="49">
        <v>5.5</v>
      </c>
      <c r="H133" s="49">
        <v>14</v>
      </c>
      <c r="I133" s="24">
        <v>14.2</v>
      </c>
      <c r="J133" s="25">
        <v>13.3</v>
      </c>
      <c r="K133" s="25">
        <v>18.5</v>
      </c>
      <c r="L133" s="28" t="e">
        <f>K133/#REF!*100</f>
        <v>#REF!</v>
      </c>
      <c r="M133" s="28">
        <f t="shared" si="68"/>
        <v>130.2816901408451</v>
      </c>
      <c r="N133" s="69"/>
      <c r="O133" s="69"/>
      <c r="P133" s="24">
        <f t="shared" si="43"/>
        <v>139.09774436090225</v>
      </c>
      <c r="Q133" s="24">
        <f t="shared" si="71"/>
        <v>39.361702127659576</v>
      </c>
      <c r="R133" s="28">
        <f t="shared" si="40"/>
        <v>94.87179487179488</v>
      </c>
      <c r="S133" s="25">
        <f t="shared" si="69"/>
        <v>39.361702127659576</v>
      </c>
      <c r="T133" s="95">
        <f t="shared" si="72"/>
        <v>94.87179487179486</v>
      </c>
    </row>
    <row r="134" spans="1:20" ht="24">
      <c r="A134" s="20" t="s">
        <v>11</v>
      </c>
      <c r="B134" s="20"/>
      <c r="C134" s="36" t="s">
        <v>17</v>
      </c>
      <c r="D134" s="73">
        <v>70</v>
      </c>
      <c r="E134" s="73">
        <f t="shared" si="73"/>
        <v>293.09999999999997</v>
      </c>
      <c r="F134" s="76">
        <f t="shared" si="70"/>
        <v>252.29999999999998</v>
      </c>
      <c r="G134" s="49">
        <v>10.6</v>
      </c>
      <c r="H134" s="49">
        <v>241.7</v>
      </c>
      <c r="I134" s="24">
        <v>22.1</v>
      </c>
      <c r="J134" s="25">
        <v>18.7</v>
      </c>
      <c r="K134" s="25">
        <v>272.4</v>
      </c>
      <c r="L134" s="28" t="e">
        <f>K134/#REF!*100</f>
        <v>#REF!</v>
      </c>
      <c r="M134" s="28">
        <f t="shared" si="68"/>
        <v>1232.579185520362</v>
      </c>
      <c r="N134" s="69"/>
      <c r="O134" s="69"/>
      <c r="P134" s="24">
        <f t="shared" si="43"/>
        <v>1456.6844919786095</v>
      </c>
      <c r="Q134" s="24">
        <f t="shared" si="71"/>
        <v>389.1428571428571</v>
      </c>
      <c r="R134" s="28">
        <f t="shared" si="40"/>
        <v>107.9667063020214</v>
      </c>
      <c r="S134" s="25">
        <f t="shared" si="69"/>
        <v>92.93756397134084</v>
      </c>
      <c r="T134" s="95">
        <f t="shared" si="72"/>
        <v>107.96670630202141</v>
      </c>
    </row>
    <row r="135" spans="1:20" ht="24">
      <c r="A135" s="38" t="s">
        <v>42</v>
      </c>
      <c r="B135" s="38"/>
      <c r="C135" s="36" t="s">
        <v>43</v>
      </c>
      <c r="D135" s="73">
        <v>80</v>
      </c>
      <c r="E135" s="73">
        <f t="shared" si="73"/>
        <v>80</v>
      </c>
      <c r="F135" s="76">
        <f t="shared" si="70"/>
        <v>41</v>
      </c>
      <c r="G135" s="49">
        <v>17</v>
      </c>
      <c r="H135" s="49">
        <v>24</v>
      </c>
      <c r="I135" s="24">
        <v>15</v>
      </c>
      <c r="J135" s="25">
        <v>24</v>
      </c>
      <c r="K135" s="25">
        <v>25</v>
      </c>
      <c r="L135" s="28" t="e">
        <f>K135/#REF!*100</f>
        <v>#REF!</v>
      </c>
      <c r="M135" s="28">
        <f t="shared" si="68"/>
        <v>166.66666666666669</v>
      </c>
      <c r="N135" s="69"/>
      <c r="O135" s="69"/>
      <c r="P135" s="24">
        <f t="shared" si="43"/>
        <v>104.16666666666667</v>
      </c>
      <c r="Q135" s="24">
        <f t="shared" si="71"/>
        <v>31.25</v>
      </c>
      <c r="R135" s="28">
        <f t="shared" si="40"/>
        <v>60.97560975609756</v>
      </c>
      <c r="S135" s="25">
        <f t="shared" si="69"/>
        <v>31.25</v>
      </c>
      <c r="T135" s="95">
        <f t="shared" si="72"/>
        <v>60.97560975609756</v>
      </c>
    </row>
    <row r="136" spans="1:20" ht="13.5" customHeight="1" hidden="1">
      <c r="A136" s="38" t="s">
        <v>18</v>
      </c>
      <c r="B136" s="38"/>
      <c r="C136" s="36" t="s">
        <v>15</v>
      </c>
      <c r="D136" s="73"/>
      <c r="E136" s="73">
        <f t="shared" si="73"/>
        <v>0</v>
      </c>
      <c r="F136" s="76">
        <f t="shared" si="70"/>
        <v>0</v>
      </c>
      <c r="G136" s="49"/>
      <c r="H136" s="49"/>
      <c r="I136" s="24"/>
      <c r="J136" s="25"/>
      <c r="K136" s="25"/>
      <c r="L136" s="28" t="e">
        <f>K136/#REF!*100</f>
        <v>#REF!</v>
      </c>
      <c r="M136" s="28" t="e">
        <f t="shared" si="68"/>
        <v>#DIV/0!</v>
      </c>
      <c r="N136" s="69"/>
      <c r="O136" s="69"/>
      <c r="P136" s="24" t="e">
        <f t="shared" si="43"/>
        <v>#DIV/0!</v>
      </c>
      <c r="Q136" s="46" t="e">
        <f t="shared" si="71"/>
        <v>#DIV/0!</v>
      </c>
      <c r="R136" s="28"/>
      <c r="S136" s="25"/>
      <c r="T136" s="95" t="e">
        <f t="shared" si="72"/>
        <v>#DIV/0!</v>
      </c>
    </row>
    <row r="137" spans="1:20" ht="14.25" customHeight="1" hidden="1">
      <c r="A137" s="29" t="s">
        <v>12</v>
      </c>
      <c r="B137" s="29"/>
      <c r="C137" s="36" t="s">
        <v>7</v>
      </c>
      <c r="D137" s="73"/>
      <c r="E137" s="73">
        <f t="shared" si="73"/>
        <v>0</v>
      </c>
      <c r="F137" s="76">
        <f t="shared" si="70"/>
        <v>0</v>
      </c>
      <c r="G137" s="49"/>
      <c r="H137" s="49"/>
      <c r="I137" s="24"/>
      <c r="J137" s="25"/>
      <c r="K137" s="25"/>
      <c r="L137" s="28"/>
      <c r="M137" s="28"/>
      <c r="N137" s="69"/>
      <c r="O137" s="69"/>
      <c r="P137" s="24"/>
      <c r="Q137" s="46" t="e">
        <f t="shared" si="71"/>
        <v>#DIV/0!</v>
      </c>
      <c r="R137" s="28"/>
      <c r="S137" s="25"/>
      <c r="T137" s="95" t="e">
        <f t="shared" si="72"/>
        <v>#DIV/0!</v>
      </c>
    </row>
    <row r="138" spans="1:20" ht="12.75">
      <c r="A138" s="38" t="s">
        <v>39</v>
      </c>
      <c r="B138" s="56"/>
      <c r="C138" s="23" t="s">
        <v>40</v>
      </c>
      <c r="D138" s="93">
        <v>0</v>
      </c>
      <c r="E138" s="73">
        <f t="shared" si="73"/>
        <v>0</v>
      </c>
      <c r="F138" s="76">
        <f t="shared" si="70"/>
        <v>0</v>
      </c>
      <c r="G138" s="49"/>
      <c r="H138" s="49"/>
      <c r="I138" s="24"/>
      <c r="J138" s="25"/>
      <c r="K138" s="24"/>
      <c r="L138" s="28"/>
      <c r="M138" s="28"/>
      <c r="N138" s="69"/>
      <c r="O138" s="69"/>
      <c r="P138" s="24"/>
      <c r="Q138" s="46"/>
      <c r="R138" s="28"/>
      <c r="S138" s="25"/>
      <c r="T138" s="95"/>
    </row>
    <row r="139" spans="1:20" ht="12.75">
      <c r="A139" s="45" t="s">
        <v>1</v>
      </c>
      <c r="B139" s="45"/>
      <c r="C139" s="41" t="s">
        <v>0</v>
      </c>
      <c r="D139" s="42">
        <f aca="true" t="shared" si="74" ref="D139:K139">D140+D141</f>
        <v>39013</v>
      </c>
      <c r="E139" s="42">
        <f t="shared" si="74"/>
        <v>40236.100000000006</v>
      </c>
      <c r="F139" s="42">
        <f t="shared" si="74"/>
        <v>19936.100000000002</v>
      </c>
      <c r="G139" s="42">
        <f t="shared" si="74"/>
        <v>9060.2</v>
      </c>
      <c r="H139" s="42">
        <f t="shared" si="74"/>
        <v>10875.9</v>
      </c>
      <c r="I139" s="42">
        <f t="shared" si="74"/>
        <v>11264.1</v>
      </c>
      <c r="J139" s="42">
        <f t="shared" si="74"/>
        <v>9035.9</v>
      </c>
      <c r="K139" s="42">
        <f t="shared" si="74"/>
        <v>15561</v>
      </c>
      <c r="L139" s="35" t="e">
        <f>K139/#REF!*100</f>
        <v>#REF!</v>
      </c>
      <c r="M139" s="35">
        <f>K139/I139*100</f>
        <v>138.1468559405545</v>
      </c>
      <c r="N139" s="69"/>
      <c r="O139" s="69"/>
      <c r="P139" s="46">
        <f t="shared" si="43"/>
        <v>172.21306123352406</v>
      </c>
      <c r="Q139" s="46">
        <f t="shared" si="71"/>
        <v>39.886704431856046</v>
      </c>
      <c r="R139" s="35">
        <f t="shared" si="40"/>
        <v>78.05438375610073</v>
      </c>
      <c r="S139" s="32">
        <f>K139*100/E139</f>
        <v>38.674225384667</v>
      </c>
      <c r="T139" s="96">
        <f t="shared" si="72"/>
        <v>78.05438375610073</v>
      </c>
    </row>
    <row r="140" spans="1:20" ht="24">
      <c r="A140" s="21" t="s">
        <v>67</v>
      </c>
      <c r="B140" s="19"/>
      <c r="C140" s="43" t="s">
        <v>20</v>
      </c>
      <c r="D140" s="49">
        <v>39013</v>
      </c>
      <c r="E140" s="73">
        <f t="shared" si="73"/>
        <v>40047.200000000004</v>
      </c>
      <c r="F140" s="76">
        <f t="shared" si="70"/>
        <v>19747.2</v>
      </c>
      <c r="G140" s="49">
        <f>8747.2+313</f>
        <v>9060.2</v>
      </c>
      <c r="H140" s="49">
        <v>10687</v>
      </c>
      <c r="I140" s="24">
        <v>11264.1</v>
      </c>
      <c r="J140" s="25">
        <v>9035.9</v>
      </c>
      <c r="K140" s="25">
        <v>15372.1</v>
      </c>
      <c r="L140" s="28" t="e">
        <f>K140/#REF!*100</f>
        <v>#REF!</v>
      </c>
      <c r="M140" s="28">
        <f>K140/I140*100</f>
        <v>136.46984668104864</v>
      </c>
      <c r="N140" s="69"/>
      <c r="O140" s="69"/>
      <c r="P140" s="24">
        <f t="shared" si="43"/>
        <v>170.12251131597296</v>
      </c>
      <c r="Q140" s="24">
        <f t="shared" si="71"/>
        <v>39.402506856688795</v>
      </c>
      <c r="R140" s="28">
        <f t="shared" si="40"/>
        <v>77.84445389726137</v>
      </c>
      <c r="S140" s="25">
        <f>K140*100/E140</f>
        <v>38.384955752212385</v>
      </c>
      <c r="T140" s="95">
        <f t="shared" si="72"/>
        <v>77.84445389726137</v>
      </c>
    </row>
    <row r="141" spans="1:20" ht="17.25" customHeight="1">
      <c r="A141" s="21" t="s">
        <v>2</v>
      </c>
      <c r="B141" s="21"/>
      <c r="C141" s="44" t="s">
        <v>19</v>
      </c>
      <c r="D141" s="90">
        <v>0</v>
      </c>
      <c r="E141" s="73">
        <f t="shared" si="73"/>
        <v>188.9</v>
      </c>
      <c r="F141" s="76">
        <f t="shared" si="70"/>
        <v>188.9</v>
      </c>
      <c r="G141" s="80"/>
      <c r="H141" s="80">
        <v>188.9</v>
      </c>
      <c r="I141" s="24"/>
      <c r="J141" s="25"/>
      <c r="K141" s="25">
        <v>188.9</v>
      </c>
      <c r="L141" s="28"/>
      <c r="M141" s="28"/>
      <c r="N141" s="69"/>
      <c r="O141" s="69"/>
      <c r="P141" s="24" t="e">
        <f t="shared" si="43"/>
        <v>#DIV/0!</v>
      </c>
      <c r="Q141" s="46"/>
      <c r="R141" s="28">
        <f>K141*100/F141</f>
        <v>100</v>
      </c>
      <c r="S141" s="25">
        <f>K141*100/E141</f>
        <v>100</v>
      </c>
      <c r="T141" s="95">
        <f t="shared" si="72"/>
        <v>100</v>
      </c>
    </row>
    <row r="142" spans="1:20" ht="12.75">
      <c r="A142" s="29"/>
      <c r="B142" s="30"/>
      <c r="C142" s="31" t="s">
        <v>4</v>
      </c>
      <c r="D142" s="32">
        <f aca="true" t="shared" si="75" ref="D142:K142">D139+D129</f>
        <v>48560</v>
      </c>
      <c r="E142" s="32">
        <f t="shared" si="75"/>
        <v>50006.200000000004</v>
      </c>
      <c r="F142" s="32">
        <f t="shared" si="75"/>
        <v>24733.700000000004</v>
      </c>
      <c r="G142" s="46">
        <f t="shared" si="75"/>
        <v>10959</v>
      </c>
      <c r="H142" s="46">
        <f t="shared" si="75"/>
        <v>13774.7</v>
      </c>
      <c r="I142" s="46">
        <f t="shared" si="75"/>
        <v>13696</v>
      </c>
      <c r="J142" s="32">
        <f t="shared" si="75"/>
        <v>11576.5</v>
      </c>
      <c r="K142" s="32">
        <f t="shared" si="75"/>
        <v>19037.4</v>
      </c>
      <c r="L142" s="35" t="e">
        <f>K142/#REF!*100</f>
        <v>#REF!</v>
      </c>
      <c r="M142" s="35">
        <f>K142/I142*100</f>
        <v>138.99970794392524</v>
      </c>
      <c r="N142" s="69"/>
      <c r="O142" s="70" t="e">
        <f>J142+#REF!+#REF!</f>
        <v>#REF!</v>
      </c>
      <c r="P142" s="46">
        <f t="shared" si="43"/>
        <v>164.44866755927958</v>
      </c>
      <c r="Q142" s="46">
        <f t="shared" si="71"/>
        <v>39.20387149917628</v>
      </c>
      <c r="R142" s="35">
        <f t="shared" si="40"/>
        <v>76.96947888912698</v>
      </c>
      <c r="S142" s="32">
        <f>K142*100/E142</f>
        <v>38.07007931016554</v>
      </c>
      <c r="T142" s="96">
        <f t="shared" si="72"/>
        <v>76.96947888912698</v>
      </c>
    </row>
    <row r="143" spans="1:20" ht="12.75">
      <c r="A143" s="110"/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2"/>
      <c r="N143" s="69"/>
      <c r="O143" s="69"/>
      <c r="P143" s="67"/>
      <c r="Q143" s="24"/>
      <c r="R143" s="35"/>
      <c r="S143" s="32"/>
      <c r="T143" s="97"/>
    </row>
    <row r="144" spans="1:20" ht="12.75">
      <c r="A144" s="103" t="s">
        <v>32</v>
      </c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85"/>
      <c r="R144" s="35"/>
      <c r="S144" s="32"/>
      <c r="T144" s="96"/>
    </row>
    <row r="145" spans="1:20" ht="12.75">
      <c r="A145" s="33" t="s">
        <v>3</v>
      </c>
      <c r="B145" s="33"/>
      <c r="C145" s="34" t="s">
        <v>68</v>
      </c>
      <c r="D145" s="35">
        <f aca="true" t="shared" si="76" ref="D145:K145">D146+D149+D151+D153+D150+D154+D152+D155+D148+D147</f>
        <v>18757</v>
      </c>
      <c r="E145" s="35">
        <f t="shared" si="76"/>
        <v>18757</v>
      </c>
      <c r="F145" s="35">
        <f t="shared" si="76"/>
        <v>10171.9</v>
      </c>
      <c r="G145" s="35">
        <f t="shared" si="76"/>
        <v>4864.9</v>
      </c>
      <c r="H145" s="35">
        <f t="shared" si="76"/>
        <v>5307</v>
      </c>
      <c r="I145" s="35">
        <f t="shared" si="76"/>
        <v>4394.8</v>
      </c>
      <c r="J145" s="35">
        <f t="shared" si="76"/>
        <v>4190.3</v>
      </c>
      <c r="K145" s="35">
        <f t="shared" si="76"/>
        <v>7447.5</v>
      </c>
      <c r="L145" s="35" t="e">
        <f>K145/#REF!*100</f>
        <v>#REF!</v>
      </c>
      <c r="M145" s="35">
        <f>K145/I145*100</f>
        <v>169.46163647947574</v>
      </c>
      <c r="N145" s="69"/>
      <c r="O145" s="69"/>
      <c r="P145" s="35">
        <f t="shared" si="43"/>
        <v>177.7319046368995</v>
      </c>
      <c r="Q145" s="46">
        <f>K145/D145*100</f>
        <v>39.7051767340193</v>
      </c>
      <c r="R145" s="35">
        <f t="shared" si="40"/>
        <v>73.21640991358547</v>
      </c>
      <c r="S145" s="32">
        <f aca="true" t="shared" si="77" ref="S145:S152">K145*100/E145</f>
        <v>39.7051767340193</v>
      </c>
      <c r="T145" s="96">
        <f>K145/F145*100</f>
        <v>73.21640991358547</v>
      </c>
    </row>
    <row r="146" spans="1:20" ht="12.75">
      <c r="A146" s="29" t="s">
        <v>23</v>
      </c>
      <c r="B146" s="29"/>
      <c r="C146" s="36" t="s">
        <v>22</v>
      </c>
      <c r="D146" s="73">
        <v>13150</v>
      </c>
      <c r="E146" s="49">
        <f>G146+H146+I146+J146</f>
        <v>13150</v>
      </c>
      <c r="F146" s="76">
        <f aca="true" t="shared" si="78" ref="F146:F157">G146+H146</f>
        <v>7320</v>
      </c>
      <c r="G146" s="49">
        <v>3300</v>
      </c>
      <c r="H146" s="49">
        <v>4020</v>
      </c>
      <c r="I146" s="24">
        <v>3140</v>
      </c>
      <c r="J146" s="25">
        <v>2690</v>
      </c>
      <c r="K146" s="25">
        <v>5182</v>
      </c>
      <c r="L146" s="28" t="e">
        <f>K146/#REF!*100</f>
        <v>#REF!</v>
      </c>
      <c r="M146" s="28">
        <f>K146/I146*100</f>
        <v>165.03184713375796</v>
      </c>
      <c r="N146" s="69"/>
      <c r="O146" s="69"/>
      <c r="P146" s="24">
        <f t="shared" si="43"/>
        <v>192.63940520446096</v>
      </c>
      <c r="Q146" s="24">
        <f aca="true" t="shared" si="79" ref="Q146:Q159">K146/D146*100</f>
        <v>39.40684410646388</v>
      </c>
      <c r="R146" s="28">
        <f t="shared" si="40"/>
        <v>70.79234972677595</v>
      </c>
      <c r="S146" s="25">
        <f t="shared" si="77"/>
        <v>39.40684410646388</v>
      </c>
      <c r="T146" s="95">
        <f aca="true" t="shared" si="80" ref="T146:T159">K146/F146*100</f>
        <v>70.79234972677597</v>
      </c>
    </row>
    <row r="147" spans="1:20" ht="12.75">
      <c r="A147" s="19" t="s">
        <v>70</v>
      </c>
      <c r="B147" s="19"/>
      <c r="C147" s="36" t="s">
        <v>71</v>
      </c>
      <c r="D147" s="73">
        <v>4215</v>
      </c>
      <c r="E147" s="49">
        <f>G147+H147+I147+J147</f>
        <v>4215</v>
      </c>
      <c r="F147" s="76">
        <f t="shared" si="78"/>
        <v>2109</v>
      </c>
      <c r="G147" s="49">
        <v>1054</v>
      </c>
      <c r="H147" s="49">
        <v>1055</v>
      </c>
      <c r="I147" s="24">
        <v>1054</v>
      </c>
      <c r="J147" s="25">
        <v>1052</v>
      </c>
      <c r="K147" s="25">
        <v>1327.9</v>
      </c>
      <c r="L147" s="28"/>
      <c r="M147" s="28"/>
      <c r="N147" s="69"/>
      <c r="O147" s="69"/>
      <c r="P147" s="24"/>
      <c r="Q147" s="24">
        <f t="shared" si="79"/>
        <v>31.50415183867141</v>
      </c>
      <c r="R147" s="28">
        <f>K147*100/F147</f>
        <v>62.96348980559507</v>
      </c>
      <c r="S147" s="25">
        <f t="shared" si="77"/>
        <v>31.50415183867141</v>
      </c>
      <c r="T147" s="95">
        <f t="shared" si="80"/>
        <v>62.963489805595074</v>
      </c>
    </row>
    <row r="148" spans="1:20" ht="12.75" customHeight="1">
      <c r="A148" s="19" t="s">
        <v>8</v>
      </c>
      <c r="B148" s="19"/>
      <c r="C148" s="36" t="s">
        <v>5</v>
      </c>
      <c r="D148" s="73">
        <v>5</v>
      </c>
      <c r="E148" s="49">
        <f aca="true" t="shared" si="81" ref="E148:E157">G148+H148+I148+J148</f>
        <v>5</v>
      </c>
      <c r="F148" s="76">
        <f t="shared" si="78"/>
        <v>5</v>
      </c>
      <c r="G148" s="49">
        <v>2</v>
      </c>
      <c r="H148" s="49">
        <v>3</v>
      </c>
      <c r="I148" s="24"/>
      <c r="J148" s="25"/>
      <c r="K148" s="25">
        <v>26.8</v>
      </c>
      <c r="L148" s="28"/>
      <c r="M148" s="28"/>
      <c r="N148" s="69"/>
      <c r="O148" s="69"/>
      <c r="P148" s="24" t="e">
        <f t="shared" si="43"/>
        <v>#DIV/0!</v>
      </c>
      <c r="Q148" s="24">
        <f t="shared" si="79"/>
        <v>536</v>
      </c>
      <c r="R148" s="28">
        <f>K148*100/F148</f>
        <v>536</v>
      </c>
      <c r="S148" s="25">
        <f t="shared" si="77"/>
        <v>536</v>
      </c>
      <c r="T148" s="95">
        <f t="shared" si="80"/>
        <v>536</v>
      </c>
    </row>
    <row r="149" spans="1:20" ht="12.75">
      <c r="A149" s="19" t="s">
        <v>9</v>
      </c>
      <c r="B149" s="19"/>
      <c r="C149" s="36" t="s">
        <v>6</v>
      </c>
      <c r="D149" s="73">
        <v>1070</v>
      </c>
      <c r="E149" s="49">
        <f t="shared" si="81"/>
        <v>1070</v>
      </c>
      <c r="F149" s="76">
        <f t="shared" si="78"/>
        <v>580.9</v>
      </c>
      <c r="G149" s="49">
        <v>426.9</v>
      </c>
      <c r="H149" s="49">
        <v>154</v>
      </c>
      <c r="I149" s="24">
        <v>127.8</v>
      </c>
      <c r="J149" s="25">
        <v>361.3</v>
      </c>
      <c r="K149" s="25">
        <v>719.2</v>
      </c>
      <c r="L149" s="28" t="e">
        <f>K149/#REF!*100</f>
        <v>#REF!</v>
      </c>
      <c r="M149" s="28">
        <f>K149/I149*100</f>
        <v>562.7543035993741</v>
      </c>
      <c r="N149" s="69"/>
      <c r="O149" s="69"/>
      <c r="P149" s="24">
        <f t="shared" si="43"/>
        <v>199.0589537780238</v>
      </c>
      <c r="Q149" s="24">
        <f t="shared" si="79"/>
        <v>67.21495327102804</v>
      </c>
      <c r="R149" s="28">
        <f aca="true" t="shared" si="82" ref="R149:R215">K149*100/F149</f>
        <v>123.80788431743846</v>
      </c>
      <c r="S149" s="25">
        <f t="shared" si="77"/>
        <v>67.21495327102804</v>
      </c>
      <c r="T149" s="95">
        <f t="shared" si="80"/>
        <v>123.80788431743848</v>
      </c>
    </row>
    <row r="150" spans="1:20" ht="12.75">
      <c r="A150" s="19" t="s">
        <v>10</v>
      </c>
      <c r="B150" s="19"/>
      <c r="C150" s="36" t="s">
        <v>21</v>
      </c>
      <c r="D150" s="73">
        <v>161</v>
      </c>
      <c r="E150" s="49">
        <f t="shared" si="81"/>
        <v>161</v>
      </c>
      <c r="F150" s="76">
        <f t="shared" si="78"/>
        <v>79</v>
      </c>
      <c r="G150" s="49">
        <v>43</v>
      </c>
      <c r="H150" s="49">
        <v>36</v>
      </c>
      <c r="I150" s="24">
        <v>34</v>
      </c>
      <c r="J150" s="25">
        <v>48</v>
      </c>
      <c r="K150" s="25">
        <v>66.1</v>
      </c>
      <c r="L150" s="28" t="e">
        <f>K150/#REF!*100</f>
        <v>#REF!</v>
      </c>
      <c r="M150" s="28">
        <f>K150/I150*100</f>
        <v>194.41176470588232</v>
      </c>
      <c r="N150" s="69"/>
      <c r="O150" s="69"/>
      <c r="P150" s="24">
        <f t="shared" si="43"/>
        <v>137.70833333333331</v>
      </c>
      <c r="Q150" s="24">
        <f t="shared" si="79"/>
        <v>41.055900621118006</v>
      </c>
      <c r="R150" s="28">
        <f t="shared" si="82"/>
        <v>83.67088607594935</v>
      </c>
      <c r="S150" s="25">
        <f t="shared" si="77"/>
        <v>41.055900621118006</v>
      </c>
      <c r="T150" s="95">
        <f t="shared" si="80"/>
        <v>83.67088607594935</v>
      </c>
    </row>
    <row r="151" spans="1:20" ht="24">
      <c r="A151" s="20" t="s">
        <v>11</v>
      </c>
      <c r="B151" s="20"/>
      <c r="C151" s="36" t="s">
        <v>17</v>
      </c>
      <c r="D151" s="73">
        <v>156</v>
      </c>
      <c r="E151" s="49">
        <f t="shared" si="81"/>
        <v>156</v>
      </c>
      <c r="F151" s="76">
        <f t="shared" si="78"/>
        <v>78</v>
      </c>
      <c r="G151" s="49">
        <v>39</v>
      </c>
      <c r="H151" s="49">
        <v>39</v>
      </c>
      <c r="I151" s="24">
        <v>39</v>
      </c>
      <c r="J151" s="25">
        <v>39</v>
      </c>
      <c r="K151" s="25">
        <v>121.6</v>
      </c>
      <c r="L151" s="28" t="e">
        <f>K151/#REF!*100</f>
        <v>#REF!</v>
      </c>
      <c r="M151" s="28">
        <f>K151/I151*100</f>
        <v>311.7948717948718</v>
      </c>
      <c r="N151" s="69"/>
      <c r="O151" s="69"/>
      <c r="P151" s="24">
        <f t="shared" si="43"/>
        <v>311.79487179487177</v>
      </c>
      <c r="Q151" s="24">
        <f t="shared" si="79"/>
        <v>77.94871794871796</v>
      </c>
      <c r="R151" s="28">
        <f t="shared" si="82"/>
        <v>155.89743589743588</v>
      </c>
      <c r="S151" s="25">
        <f t="shared" si="77"/>
        <v>77.94871794871794</v>
      </c>
      <c r="T151" s="95">
        <f t="shared" si="80"/>
        <v>155.8974358974359</v>
      </c>
    </row>
    <row r="152" spans="1:20" ht="24" hidden="1">
      <c r="A152" s="38" t="s">
        <v>42</v>
      </c>
      <c r="B152" s="38"/>
      <c r="C152" s="36" t="s">
        <v>43</v>
      </c>
      <c r="D152" s="73"/>
      <c r="E152" s="49">
        <f t="shared" si="81"/>
        <v>0</v>
      </c>
      <c r="F152" s="76">
        <f t="shared" si="78"/>
        <v>0</v>
      </c>
      <c r="G152" s="49"/>
      <c r="H152" s="49"/>
      <c r="I152" s="24"/>
      <c r="J152" s="25"/>
      <c r="K152" s="25"/>
      <c r="L152" s="28"/>
      <c r="M152" s="28"/>
      <c r="N152" s="69"/>
      <c r="O152" s="69"/>
      <c r="P152" s="24" t="e">
        <f aca="true" t="shared" si="83" ref="P152:P219">K152*100/J152</f>
        <v>#DIV/0!</v>
      </c>
      <c r="Q152" s="24" t="e">
        <f t="shared" si="79"/>
        <v>#DIV/0!</v>
      </c>
      <c r="R152" s="28" t="e">
        <f t="shared" si="82"/>
        <v>#DIV/0!</v>
      </c>
      <c r="S152" s="25" t="e">
        <f t="shared" si="77"/>
        <v>#DIV/0!</v>
      </c>
      <c r="T152" s="96" t="e">
        <f t="shared" si="80"/>
        <v>#DIV/0!</v>
      </c>
    </row>
    <row r="153" spans="1:20" ht="12.75" hidden="1">
      <c r="A153" s="37" t="s">
        <v>18</v>
      </c>
      <c r="B153" s="37"/>
      <c r="C153" s="36" t="s">
        <v>15</v>
      </c>
      <c r="D153" s="73"/>
      <c r="E153" s="49">
        <f t="shared" si="81"/>
        <v>0</v>
      </c>
      <c r="F153" s="76">
        <f t="shared" si="78"/>
        <v>0</v>
      </c>
      <c r="G153" s="49"/>
      <c r="H153" s="49"/>
      <c r="I153" s="24"/>
      <c r="J153" s="25"/>
      <c r="K153" s="25"/>
      <c r="L153" s="28" t="e">
        <f>K153/#REF!*100</f>
        <v>#REF!</v>
      </c>
      <c r="M153" s="28" t="e">
        <f>K153/I153*100</f>
        <v>#DIV/0!</v>
      </c>
      <c r="N153" s="69"/>
      <c r="O153" s="69"/>
      <c r="P153" s="24" t="e">
        <f t="shared" si="83"/>
        <v>#DIV/0!</v>
      </c>
      <c r="Q153" s="24" t="e">
        <f t="shared" si="79"/>
        <v>#DIV/0!</v>
      </c>
      <c r="R153" s="28"/>
      <c r="S153" s="25"/>
      <c r="T153" s="96" t="e">
        <f t="shared" si="80"/>
        <v>#DIV/0!</v>
      </c>
    </row>
    <row r="154" spans="1:20" ht="14.25" customHeight="1" hidden="1">
      <c r="A154" s="29" t="s">
        <v>12</v>
      </c>
      <c r="B154" s="29"/>
      <c r="C154" s="36" t="s">
        <v>7</v>
      </c>
      <c r="D154" s="73"/>
      <c r="E154" s="49">
        <f t="shared" si="81"/>
        <v>0</v>
      </c>
      <c r="F154" s="76">
        <f t="shared" si="78"/>
        <v>0</v>
      </c>
      <c r="G154" s="49"/>
      <c r="H154" s="49"/>
      <c r="I154" s="24"/>
      <c r="J154" s="25"/>
      <c r="K154" s="25"/>
      <c r="L154" s="28" t="e">
        <f>K154/#REF!*100</f>
        <v>#REF!</v>
      </c>
      <c r="M154" s="28"/>
      <c r="N154" s="69"/>
      <c r="O154" s="69"/>
      <c r="P154" s="24" t="e">
        <f t="shared" si="83"/>
        <v>#DIV/0!</v>
      </c>
      <c r="Q154" s="24" t="e">
        <f t="shared" si="79"/>
        <v>#DIV/0!</v>
      </c>
      <c r="R154" s="28"/>
      <c r="S154" s="25"/>
      <c r="T154" s="96" t="e">
        <f t="shared" si="80"/>
        <v>#DIV/0!</v>
      </c>
    </row>
    <row r="155" spans="1:20" ht="16.5" customHeight="1">
      <c r="A155" s="37" t="s">
        <v>39</v>
      </c>
      <c r="B155" s="57"/>
      <c r="C155" s="23" t="s">
        <v>40</v>
      </c>
      <c r="D155" s="93">
        <v>0</v>
      </c>
      <c r="E155" s="49">
        <f t="shared" si="81"/>
        <v>0</v>
      </c>
      <c r="F155" s="76">
        <f t="shared" si="78"/>
        <v>0</v>
      </c>
      <c r="G155" s="49"/>
      <c r="H155" s="49"/>
      <c r="I155" s="24"/>
      <c r="J155" s="25"/>
      <c r="K155" s="25">
        <v>3.9</v>
      </c>
      <c r="L155" s="28"/>
      <c r="M155" s="28"/>
      <c r="N155" s="69"/>
      <c r="O155" s="69"/>
      <c r="P155" s="24" t="e">
        <f t="shared" si="83"/>
        <v>#DIV/0!</v>
      </c>
      <c r="Q155" s="24"/>
      <c r="R155" s="35"/>
      <c r="S155" s="32"/>
      <c r="T155" s="96"/>
    </row>
    <row r="156" spans="1:20" ht="12.75">
      <c r="A156" s="33" t="s">
        <v>1</v>
      </c>
      <c r="B156" s="33"/>
      <c r="C156" s="41" t="s">
        <v>0</v>
      </c>
      <c r="D156" s="42">
        <f>D157+D158</f>
        <v>29644.3</v>
      </c>
      <c r="E156" s="42">
        <f>E157+E158</f>
        <v>30024.499999999996</v>
      </c>
      <c r="F156" s="42">
        <f aca="true" t="shared" si="84" ref="F156:K156">F157+F158</f>
        <v>14236.8</v>
      </c>
      <c r="G156" s="42">
        <f t="shared" si="84"/>
        <v>5470.3</v>
      </c>
      <c r="H156" s="42">
        <f t="shared" si="84"/>
        <v>8766.5</v>
      </c>
      <c r="I156" s="42">
        <f t="shared" si="84"/>
        <v>9566.4</v>
      </c>
      <c r="J156" s="42">
        <f t="shared" si="84"/>
        <v>6221.3</v>
      </c>
      <c r="K156" s="42">
        <f t="shared" si="84"/>
        <v>10747.6</v>
      </c>
      <c r="L156" s="35" t="e">
        <f>K156/#REF!*100</f>
        <v>#REF!</v>
      </c>
      <c r="M156" s="35">
        <f>K156/I156*100</f>
        <v>112.3473825054357</v>
      </c>
      <c r="N156" s="69"/>
      <c r="O156" s="69"/>
      <c r="P156" s="46">
        <f t="shared" si="83"/>
        <v>172.75489045697844</v>
      </c>
      <c r="Q156" s="46">
        <f t="shared" si="79"/>
        <v>36.25519914452357</v>
      </c>
      <c r="R156" s="35">
        <f t="shared" si="82"/>
        <v>75.49168352438751</v>
      </c>
      <c r="S156" s="32">
        <f>K156*100/E156</f>
        <v>35.79609985178771</v>
      </c>
      <c r="T156" s="96">
        <f t="shared" si="80"/>
        <v>75.49168352438751</v>
      </c>
    </row>
    <row r="157" spans="1:20" ht="24">
      <c r="A157" s="21" t="s">
        <v>67</v>
      </c>
      <c r="B157" s="19"/>
      <c r="C157" s="43" t="s">
        <v>20</v>
      </c>
      <c r="D157" s="49">
        <v>29644.3</v>
      </c>
      <c r="E157" s="49">
        <f t="shared" si="81"/>
        <v>30024.499999999996</v>
      </c>
      <c r="F157" s="76">
        <f t="shared" si="78"/>
        <v>14236.8</v>
      </c>
      <c r="G157" s="49">
        <v>5470.3</v>
      </c>
      <c r="H157" s="49">
        <v>8766.5</v>
      </c>
      <c r="I157" s="24">
        <v>9566.4</v>
      </c>
      <c r="J157" s="25">
        <v>6221.3</v>
      </c>
      <c r="K157" s="25">
        <v>10747.6</v>
      </c>
      <c r="L157" s="28" t="e">
        <f>K157/#REF!*100</f>
        <v>#REF!</v>
      </c>
      <c r="M157" s="28">
        <f>K157/I157*100</f>
        <v>112.3473825054357</v>
      </c>
      <c r="N157" s="69"/>
      <c r="O157" s="69"/>
      <c r="P157" s="24">
        <f t="shared" si="83"/>
        <v>172.75489045697844</v>
      </c>
      <c r="Q157" s="24">
        <f t="shared" si="79"/>
        <v>36.25519914452357</v>
      </c>
      <c r="R157" s="28">
        <f t="shared" si="82"/>
        <v>75.49168352438751</v>
      </c>
      <c r="S157" s="25">
        <f>K157*100/E157</f>
        <v>35.79609985178771</v>
      </c>
      <c r="T157" s="95">
        <f t="shared" si="80"/>
        <v>75.49168352438751</v>
      </c>
    </row>
    <row r="158" spans="1:20" ht="12.75" hidden="1">
      <c r="A158" s="21" t="s">
        <v>2</v>
      </c>
      <c r="B158" s="21"/>
      <c r="C158" s="44" t="s">
        <v>19</v>
      </c>
      <c r="D158" s="44"/>
      <c r="E158" s="49">
        <f>G158+H158+I158+J158</f>
        <v>0</v>
      </c>
      <c r="F158" s="73">
        <f>G158</f>
        <v>0</v>
      </c>
      <c r="G158" s="49"/>
      <c r="H158" s="49"/>
      <c r="I158" s="24"/>
      <c r="J158" s="25"/>
      <c r="K158" s="25"/>
      <c r="L158" s="28"/>
      <c r="M158" s="28"/>
      <c r="N158" s="69"/>
      <c r="O158" s="69"/>
      <c r="P158" s="24"/>
      <c r="Q158" s="46" t="e">
        <f t="shared" si="79"/>
        <v>#DIV/0!</v>
      </c>
      <c r="R158" s="28"/>
      <c r="S158" s="25"/>
      <c r="T158" s="96" t="e">
        <f t="shared" si="80"/>
        <v>#DIV/0!</v>
      </c>
    </row>
    <row r="159" spans="1:20" ht="12.75">
      <c r="A159" s="29"/>
      <c r="B159" s="30"/>
      <c r="C159" s="31" t="s">
        <v>4</v>
      </c>
      <c r="D159" s="32">
        <f aca="true" t="shared" si="85" ref="D159:K159">D156+D145</f>
        <v>48401.3</v>
      </c>
      <c r="E159" s="32">
        <f t="shared" si="85"/>
        <v>48781.5</v>
      </c>
      <c r="F159" s="32">
        <f t="shared" si="85"/>
        <v>24408.699999999997</v>
      </c>
      <c r="G159" s="32">
        <f t="shared" si="85"/>
        <v>10335.2</v>
      </c>
      <c r="H159" s="32">
        <f t="shared" si="85"/>
        <v>14073.5</v>
      </c>
      <c r="I159" s="32">
        <f t="shared" si="85"/>
        <v>13961.2</v>
      </c>
      <c r="J159" s="32">
        <f t="shared" si="85"/>
        <v>10411.6</v>
      </c>
      <c r="K159" s="32">
        <f t="shared" si="85"/>
        <v>18195.1</v>
      </c>
      <c r="L159" s="35" t="e">
        <f>K159/#REF!*100</f>
        <v>#REF!</v>
      </c>
      <c r="M159" s="35">
        <f>K159/I159*100</f>
        <v>130.3261897258115</v>
      </c>
      <c r="N159" s="69"/>
      <c r="O159" s="70" t="e">
        <f>J159+#REF!+#REF!</f>
        <v>#REF!</v>
      </c>
      <c r="P159" s="46">
        <f t="shared" si="83"/>
        <v>174.75796227284948</v>
      </c>
      <c r="Q159" s="46">
        <f t="shared" si="79"/>
        <v>37.592172111079655</v>
      </c>
      <c r="R159" s="35">
        <f t="shared" si="82"/>
        <v>74.54350293133186</v>
      </c>
      <c r="S159" s="32">
        <f>K159*100/E159</f>
        <v>37.29918104199337</v>
      </c>
      <c r="T159" s="96">
        <f t="shared" si="80"/>
        <v>74.54350293133186</v>
      </c>
    </row>
    <row r="160" spans="1:20" ht="12.75">
      <c r="A160" s="100"/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2"/>
      <c r="N160" s="69"/>
      <c r="O160" s="69"/>
      <c r="P160" s="67"/>
      <c r="Q160" s="24"/>
      <c r="R160" s="35"/>
      <c r="S160" s="32"/>
      <c r="T160" s="97"/>
    </row>
    <row r="161" spans="1:20" ht="12.75">
      <c r="A161" s="103" t="s">
        <v>33</v>
      </c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85"/>
      <c r="R161" s="35"/>
      <c r="S161" s="32"/>
      <c r="T161" s="97"/>
    </row>
    <row r="162" spans="1:20" ht="12.75">
      <c r="A162" s="33" t="s">
        <v>3</v>
      </c>
      <c r="B162" s="33"/>
      <c r="C162" s="34" t="s">
        <v>68</v>
      </c>
      <c r="D162" s="35">
        <f>D163+D166+D167+D168+D170+D171+D172+D169+D164+D165</f>
        <v>6218</v>
      </c>
      <c r="E162" s="35">
        <f>E163+E166+E167+E168+E170+E171+E172+E169+E164+E165</f>
        <v>6986</v>
      </c>
      <c r="F162" s="35">
        <f aca="true" t="shared" si="86" ref="F162:P162">F163+F166+F167+F168+F170+F171+F172+F169+F164+F165</f>
        <v>3755</v>
      </c>
      <c r="G162" s="35">
        <f t="shared" si="86"/>
        <v>1369.5</v>
      </c>
      <c r="H162" s="35">
        <f t="shared" si="86"/>
        <v>2385.5</v>
      </c>
      <c r="I162" s="35">
        <f t="shared" si="86"/>
        <v>1527.5</v>
      </c>
      <c r="J162" s="35">
        <f t="shared" si="86"/>
        <v>1703.5</v>
      </c>
      <c r="K162" s="35">
        <f t="shared" si="86"/>
        <v>3588.6000000000004</v>
      </c>
      <c r="L162" s="35" t="e">
        <f t="shared" si="86"/>
        <v>#REF!</v>
      </c>
      <c r="M162" s="35" t="e">
        <f t="shared" si="86"/>
        <v>#DIV/0!</v>
      </c>
      <c r="N162" s="35">
        <f t="shared" si="86"/>
        <v>0</v>
      </c>
      <c r="O162" s="35">
        <f t="shared" si="86"/>
        <v>0</v>
      </c>
      <c r="P162" s="35" t="e">
        <f t="shared" si="86"/>
        <v>#DIV/0!</v>
      </c>
      <c r="Q162" s="46">
        <f>K162/D162*100</f>
        <v>57.7130910260534</v>
      </c>
      <c r="R162" s="35">
        <f t="shared" si="82"/>
        <v>95.56857523302266</v>
      </c>
      <c r="S162" s="32">
        <f aca="true" t="shared" si="87" ref="S162:S171">K162*100/E162</f>
        <v>51.368451188090475</v>
      </c>
      <c r="T162" s="96">
        <f>K162/F162*100</f>
        <v>95.56857523302264</v>
      </c>
    </row>
    <row r="163" spans="1:20" ht="12.75">
      <c r="A163" s="29" t="s">
        <v>23</v>
      </c>
      <c r="B163" s="29"/>
      <c r="C163" s="36" t="s">
        <v>22</v>
      </c>
      <c r="D163" s="73">
        <v>2762</v>
      </c>
      <c r="E163" s="49">
        <f>G163+H163+I163+J163</f>
        <v>2762</v>
      </c>
      <c r="F163" s="76">
        <f aca="true" t="shared" si="88" ref="F163:F174">G163+H163</f>
        <v>1312</v>
      </c>
      <c r="G163" s="73">
        <v>512</v>
      </c>
      <c r="H163" s="73">
        <v>800</v>
      </c>
      <c r="I163" s="24">
        <v>700</v>
      </c>
      <c r="J163" s="25">
        <v>750</v>
      </c>
      <c r="K163" s="25">
        <v>1245.3</v>
      </c>
      <c r="L163" s="28" t="e">
        <f>K163/#REF!*100</f>
        <v>#REF!</v>
      </c>
      <c r="M163" s="28">
        <f aca="true" t="shared" si="89" ref="M163:M170">K163/I163*100</f>
        <v>177.89999999999998</v>
      </c>
      <c r="N163" s="69"/>
      <c r="O163" s="69"/>
      <c r="P163" s="24">
        <f t="shared" si="83"/>
        <v>166.04</v>
      </c>
      <c r="Q163" s="24">
        <f aca="true" t="shared" si="90" ref="Q163:Q176">K163/D163*100</f>
        <v>45.08689355539464</v>
      </c>
      <c r="R163" s="28">
        <f>K163*100/F163</f>
        <v>94.91615853658537</v>
      </c>
      <c r="S163" s="25">
        <f t="shared" si="87"/>
        <v>45.08689355539464</v>
      </c>
      <c r="T163" s="95">
        <f aca="true" t="shared" si="91" ref="T163:T176">K163/F163*100</f>
        <v>94.91615853658536</v>
      </c>
    </row>
    <row r="164" spans="1:20" ht="12.75">
      <c r="A164" s="19" t="s">
        <v>70</v>
      </c>
      <c r="B164" s="19"/>
      <c r="C164" s="36" t="s">
        <v>71</v>
      </c>
      <c r="D164" s="73">
        <v>2899</v>
      </c>
      <c r="E164" s="49">
        <f>G164+H164+I164+J164</f>
        <v>2499</v>
      </c>
      <c r="F164" s="76">
        <f t="shared" si="88"/>
        <v>1049</v>
      </c>
      <c r="G164" s="73">
        <v>724.5</v>
      </c>
      <c r="H164" s="73">
        <v>324.5</v>
      </c>
      <c r="I164" s="24">
        <v>724.5</v>
      </c>
      <c r="J164" s="25">
        <v>725.5</v>
      </c>
      <c r="K164" s="25">
        <v>913.4</v>
      </c>
      <c r="L164" s="28"/>
      <c r="M164" s="28"/>
      <c r="N164" s="69"/>
      <c r="O164" s="69"/>
      <c r="P164" s="24"/>
      <c r="Q164" s="24">
        <f t="shared" si="90"/>
        <v>31.50741635046568</v>
      </c>
      <c r="R164" s="28">
        <f>K164*100/F164</f>
        <v>87.07340324118208</v>
      </c>
      <c r="S164" s="25">
        <f t="shared" si="87"/>
        <v>36.55062024809924</v>
      </c>
      <c r="T164" s="95">
        <f t="shared" si="91"/>
        <v>87.07340324118208</v>
      </c>
    </row>
    <row r="165" spans="1:20" ht="12.75">
      <c r="A165" s="19" t="s">
        <v>8</v>
      </c>
      <c r="B165" s="19"/>
      <c r="C165" s="36" t="s">
        <v>5</v>
      </c>
      <c r="D165" s="73">
        <v>0</v>
      </c>
      <c r="E165" s="49">
        <f>G165+H165+I165+J165</f>
        <v>38</v>
      </c>
      <c r="F165" s="76">
        <f t="shared" si="88"/>
        <v>38</v>
      </c>
      <c r="G165" s="73"/>
      <c r="H165" s="73">
        <v>38</v>
      </c>
      <c r="I165" s="24"/>
      <c r="J165" s="25"/>
      <c r="K165" s="25">
        <v>39</v>
      </c>
      <c r="L165" s="28"/>
      <c r="M165" s="28"/>
      <c r="N165" s="69"/>
      <c r="O165" s="69"/>
      <c r="P165" s="24"/>
      <c r="Q165" s="24"/>
      <c r="R165" s="28">
        <f>K165*100/F165</f>
        <v>102.63157894736842</v>
      </c>
      <c r="S165" s="25">
        <f t="shared" si="87"/>
        <v>102.63157894736842</v>
      </c>
      <c r="T165" s="95">
        <f t="shared" si="91"/>
        <v>102.63157894736842</v>
      </c>
    </row>
    <row r="166" spans="1:20" ht="12.75">
      <c r="A166" s="19" t="s">
        <v>9</v>
      </c>
      <c r="B166" s="19"/>
      <c r="C166" s="36" t="s">
        <v>6</v>
      </c>
      <c r="D166" s="73">
        <v>395</v>
      </c>
      <c r="E166" s="49">
        <f>G166+H166+I166+J166</f>
        <v>1395</v>
      </c>
      <c r="F166" s="76">
        <f t="shared" si="88"/>
        <v>1145</v>
      </c>
      <c r="G166" s="73">
        <v>45</v>
      </c>
      <c r="H166" s="73">
        <v>1100</v>
      </c>
      <c r="I166" s="24">
        <v>70</v>
      </c>
      <c r="J166" s="25">
        <v>180</v>
      </c>
      <c r="K166" s="25">
        <v>1175.2</v>
      </c>
      <c r="L166" s="28" t="e">
        <f>K166/#REF!*100</f>
        <v>#REF!</v>
      </c>
      <c r="M166" s="28">
        <f t="shared" si="89"/>
        <v>1678.8571428571431</v>
      </c>
      <c r="N166" s="69"/>
      <c r="O166" s="69"/>
      <c r="P166" s="24">
        <f t="shared" si="83"/>
        <v>652.8888888888889</v>
      </c>
      <c r="Q166" s="24">
        <f t="shared" si="90"/>
        <v>297.5189873417722</v>
      </c>
      <c r="R166" s="28">
        <f t="shared" si="82"/>
        <v>102.63755458515284</v>
      </c>
      <c r="S166" s="25">
        <f t="shared" si="87"/>
        <v>84.24372759856631</v>
      </c>
      <c r="T166" s="95">
        <f t="shared" si="91"/>
        <v>102.63755458515284</v>
      </c>
    </row>
    <row r="167" spans="1:20" ht="12.75">
      <c r="A167" s="19" t="s">
        <v>10</v>
      </c>
      <c r="B167" s="19"/>
      <c r="C167" s="36" t="s">
        <v>21</v>
      </c>
      <c r="D167" s="73">
        <v>40</v>
      </c>
      <c r="E167" s="49">
        <f aca="true" t="shared" si="92" ref="E167:E174">G167+H167+I167+J167</f>
        <v>40</v>
      </c>
      <c r="F167" s="76">
        <f t="shared" si="88"/>
        <v>20</v>
      </c>
      <c r="G167" s="73">
        <v>10</v>
      </c>
      <c r="H167" s="73">
        <v>10</v>
      </c>
      <c r="I167" s="24">
        <v>10</v>
      </c>
      <c r="J167" s="25">
        <v>10</v>
      </c>
      <c r="K167" s="25">
        <v>10.6</v>
      </c>
      <c r="L167" s="28" t="e">
        <f>K167/#REF!*100</f>
        <v>#REF!</v>
      </c>
      <c r="M167" s="28">
        <f t="shared" si="89"/>
        <v>106</v>
      </c>
      <c r="N167" s="69"/>
      <c r="O167" s="69"/>
      <c r="P167" s="24">
        <f t="shared" si="83"/>
        <v>106</v>
      </c>
      <c r="Q167" s="24">
        <f t="shared" si="90"/>
        <v>26.5</v>
      </c>
      <c r="R167" s="28">
        <f t="shared" si="82"/>
        <v>53</v>
      </c>
      <c r="S167" s="25">
        <f t="shared" si="87"/>
        <v>26.5</v>
      </c>
      <c r="T167" s="95">
        <f t="shared" si="91"/>
        <v>53</v>
      </c>
    </row>
    <row r="168" spans="1:20" ht="24">
      <c r="A168" s="20" t="s">
        <v>11</v>
      </c>
      <c r="B168" s="20"/>
      <c r="C168" s="36" t="s">
        <v>17</v>
      </c>
      <c r="D168" s="73">
        <v>52</v>
      </c>
      <c r="E168" s="49">
        <f t="shared" si="92"/>
        <v>52</v>
      </c>
      <c r="F168" s="76">
        <f t="shared" si="88"/>
        <v>24</v>
      </c>
      <c r="G168" s="73">
        <v>12</v>
      </c>
      <c r="H168" s="73">
        <v>12</v>
      </c>
      <c r="I168" s="24">
        <v>13</v>
      </c>
      <c r="J168" s="25">
        <v>15</v>
      </c>
      <c r="K168" s="25">
        <v>28.4</v>
      </c>
      <c r="L168" s="28" t="e">
        <f>K168/#REF!*100</f>
        <v>#REF!</v>
      </c>
      <c r="M168" s="28">
        <f t="shared" si="89"/>
        <v>218.46153846153845</v>
      </c>
      <c r="N168" s="69"/>
      <c r="O168" s="69"/>
      <c r="P168" s="24">
        <f t="shared" si="83"/>
        <v>189.33333333333334</v>
      </c>
      <c r="Q168" s="24">
        <f t="shared" si="90"/>
        <v>54.61538461538461</v>
      </c>
      <c r="R168" s="28">
        <f t="shared" si="82"/>
        <v>118.33333333333333</v>
      </c>
      <c r="S168" s="25">
        <f t="shared" si="87"/>
        <v>54.61538461538461</v>
      </c>
      <c r="T168" s="95">
        <f t="shared" si="91"/>
        <v>118.33333333333333</v>
      </c>
    </row>
    <row r="169" spans="1:20" ht="24">
      <c r="A169" s="38" t="s">
        <v>42</v>
      </c>
      <c r="B169" s="38"/>
      <c r="C169" s="36" t="s">
        <v>43</v>
      </c>
      <c r="D169" s="73">
        <v>70</v>
      </c>
      <c r="E169" s="49">
        <f t="shared" si="92"/>
        <v>70</v>
      </c>
      <c r="F169" s="76">
        <f t="shared" si="88"/>
        <v>37</v>
      </c>
      <c r="G169" s="73">
        <v>20</v>
      </c>
      <c r="H169" s="73">
        <v>17</v>
      </c>
      <c r="I169" s="24">
        <v>10</v>
      </c>
      <c r="J169" s="25">
        <v>23</v>
      </c>
      <c r="K169" s="25">
        <v>45.9</v>
      </c>
      <c r="L169" s="28" t="e">
        <f>K169/#REF!*100</f>
        <v>#REF!</v>
      </c>
      <c r="M169" s="28">
        <f t="shared" si="89"/>
        <v>459</v>
      </c>
      <c r="N169" s="69"/>
      <c r="O169" s="69"/>
      <c r="P169" s="24">
        <f t="shared" si="83"/>
        <v>199.56521739130434</v>
      </c>
      <c r="Q169" s="24">
        <f t="shared" si="90"/>
        <v>65.57142857142857</v>
      </c>
      <c r="R169" s="28">
        <f t="shared" si="82"/>
        <v>124.05405405405405</v>
      </c>
      <c r="S169" s="25">
        <f t="shared" si="87"/>
        <v>65.57142857142857</v>
      </c>
      <c r="T169" s="95">
        <f t="shared" si="91"/>
        <v>124.05405405405405</v>
      </c>
    </row>
    <row r="170" spans="1:20" ht="12.75">
      <c r="A170" s="37" t="s">
        <v>18</v>
      </c>
      <c r="B170" s="37"/>
      <c r="C170" s="36" t="s">
        <v>15</v>
      </c>
      <c r="D170" s="73">
        <v>0</v>
      </c>
      <c r="E170" s="49">
        <f t="shared" si="92"/>
        <v>130</v>
      </c>
      <c r="F170" s="76">
        <f t="shared" si="88"/>
        <v>130</v>
      </c>
      <c r="G170" s="73">
        <v>46</v>
      </c>
      <c r="H170" s="73">
        <v>84</v>
      </c>
      <c r="I170" s="24"/>
      <c r="J170" s="25"/>
      <c r="K170" s="25">
        <v>130.8</v>
      </c>
      <c r="L170" s="28" t="e">
        <f>K170/#REF!*100</f>
        <v>#REF!</v>
      </c>
      <c r="M170" s="28" t="e">
        <f t="shared" si="89"/>
        <v>#DIV/0!</v>
      </c>
      <c r="N170" s="69"/>
      <c r="O170" s="69"/>
      <c r="P170" s="24" t="e">
        <f t="shared" si="83"/>
        <v>#DIV/0!</v>
      </c>
      <c r="Q170" s="24"/>
      <c r="R170" s="28">
        <f t="shared" si="82"/>
        <v>100.61538461538463</v>
      </c>
      <c r="S170" s="25">
        <f t="shared" si="87"/>
        <v>100.61538461538463</v>
      </c>
      <c r="T170" s="95">
        <f t="shared" si="91"/>
        <v>100.61538461538461</v>
      </c>
    </row>
    <row r="171" spans="1:20" ht="12.75" hidden="1">
      <c r="A171" s="29" t="s">
        <v>12</v>
      </c>
      <c r="B171" s="29"/>
      <c r="C171" s="36" t="s">
        <v>7</v>
      </c>
      <c r="D171" s="73"/>
      <c r="E171" s="49">
        <f t="shared" si="92"/>
        <v>0</v>
      </c>
      <c r="F171" s="76">
        <f t="shared" si="88"/>
        <v>0</v>
      </c>
      <c r="G171" s="73"/>
      <c r="H171" s="73"/>
      <c r="I171" s="24"/>
      <c r="J171" s="25"/>
      <c r="K171" s="25"/>
      <c r="L171" s="28"/>
      <c r="M171" s="28"/>
      <c r="N171" s="69"/>
      <c r="O171" s="69"/>
      <c r="P171" s="24" t="e">
        <f t="shared" si="83"/>
        <v>#DIV/0!</v>
      </c>
      <c r="Q171" s="24" t="e">
        <f t="shared" si="90"/>
        <v>#DIV/0!</v>
      </c>
      <c r="R171" s="35" t="e">
        <f t="shared" si="82"/>
        <v>#DIV/0!</v>
      </c>
      <c r="S171" s="32" t="e">
        <f t="shared" si="87"/>
        <v>#DIV/0!</v>
      </c>
      <c r="T171" s="96" t="e">
        <f t="shared" si="91"/>
        <v>#DIV/0!</v>
      </c>
    </row>
    <row r="172" spans="1:20" ht="14.25" customHeight="1">
      <c r="A172" s="52" t="s">
        <v>39</v>
      </c>
      <c r="B172" s="40"/>
      <c r="C172" s="23" t="s">
        <v>40</v>
      </c>
      <c r="D172" s="93">
        <v>0</v>
      </c>
      <c r="E172" s="49">
        <f t="shared" si="92"/>
        <v>0</v>
      </c>
      <c r="F172" s="76">
        <f t="shared" si="88"/>
        <v>0</v>
      </c>
      <c r="G172" s="73"/>
      <c r="H172" s="73"/>
      <c r="I172" s="24"/>
      <c r="J172" s="25"/>
      <c r="K172" s="25"/>
      <c r="L172" s="28"/>
      <c r="M172" s="28"/>
      <c r="N172" s="69"/>
      <c r="O172" s="69"/>
      <c r="P172" s="24" t="e">
        <f t="shared" si="83"/>
        <v>#DIV/0!</v>
      </c>
      <c r="Q172" s="24"/>
      <c r="R172" s="35"/>
      <c r="S172" s="32"/>
      <c r="T172" s="96"/>
    </row>
    <row r="173" spans="1:20" ht="12.75">
      <c r="A173" s="33" t="s">
        <v>1</v>
      </c>
      <c r="B173" s="33"/>
      <c r="C173" s="41" t="s">
        <v>0</v>
      </c>
      <c r="D173" s="42">
        <f aca="true" t="shared" si="93" ref="D173:K173">D174+D175</f>
        <v>23994.3</v>
      </c>
      <c r="E173" s="42">
        <f t="shared" si="93"/>
        <v>24559.600000000002</v>
      </c>
      <c r="F173" s="82">
        <f t="shared" si="93"/>
        <v>12582.2</v>
      </c>
      <c r="G173" s="82">
        <f t="shared" si="93"/>
        <v>4930.6</v>
      </c>
      <c r="H173" s="82">
        <f t="shared" si="93"/>
        <v>7651.6</v>
      </c>
      <c r="I173" s="42">
        <f t="shared" si="93"/>
        <v>5980.2</v>
      </c>
      <c r="J173" s="42">
        <f t="shared" si="93"/>
        <v>5997.2</v>
      </c>
      <c r="K173" s="42">
        <f t="shared" si="93"/>
        <v>9274.9</v>
      </c>
      <c r="L173" s="35" t="e">
        <f>K173/#REF!*100</f>
        <v>#REF!</v>
      </c>
      <c r="M173" s="35">
        <f>K173/I173*100</f>
        <v>155.09347513461088</v>
      </c>
      <c r="N173" s="69"/>
      <c r="O173" s="69"/>
      <c r="P173" s="46">
        <f t="shared" si="83"/>
        <v>154.65383845794705</v>
      </c>
      <c r="Q173" s="46">
        <f t="shared" si="90"/>
        <v>38.654597133485865</v>
      </c>
      <c r="R173" s="35">
        <f t="shared" si="82"/>
        <v>73.71445375212602</v>
      </c>
      <c r="S173" s="32">
        <f>K173*100/E173</f>
        <v>37.76486587729441</v>
      </c>
      <c r="T173" s="96">
        <f t="shared" si="91"/>
        <v>73.714453752126</v>
      </c>
    </row>
    <row r="174" spans="1:20" ht="24">
      <c r="A174" s="21" t="s">
        <v>67</v>
      </c>
      <c r="B174" s="19"/>
      <c r="C174" s="43" t="s">
        <v>20</v>
      </c>
      <c r="D174" s="49">
        <v>23994.3</v>
      </c>
      <c r="E174" s="49">
        <f t="shared" si="92"/>
        <v>24559.600000000002</v>
      </c>
      <c r="F174" s="76">
        <f t="shared" si="88"/>
        <v>12582.2</v>
      </c>
      <c r="G174" s="73">
        <v>4930.6</v>
      </c>
      <c r="H174" s="73">
        <v>7651.6</v>
      </c>
      <c r="I174" s="24">
        <v>5980.2</v>
      </c>
      <c r="J174" s="25">
        <v>5997.2</v>
      </c>
      <c r="K174" s="25">
        <v>9274.9</v>
      </c>
      <c r="L174" s="28" t="e">
        <f>K174/#REF!*100</f>
        <v>#REF!</v>
      </c>
      <c r="M174" s="28">
        <f>K174/I174*100</f>
        <v>155.09347513461088</v>
      </c>
      <c r="N174" s="69"/>
      <c r="O174" s="69"/>
      <c r="P174" s="24">
        <f t="shared" si="83"/>
        <v>154.65383845794705</v>
      </c>
      <c r="Q174" s="24">
        <f t="shared" si="90"/>
        <v>38.654597133485865</v>
      </c>
      <c r="R174" s="28">
        <f t="shared" si="82"/>
        <v>73.71445375212602</v>
      </c>
      <c r="S174" s="25">
        <f>K174*100/E174</f>
        <v>37.76486587729441</v>
      </c>
      <c r="T174" s="95">
        <f t="shared" si="91"/>
        <v>73.714453752126</v>
      </c>
    </row>
    <row r="175" spans="1:20" ht="12.75" hidden="1">
      <c r="A175" s="21" t="s">
        <v>2</v>
      </c>
      <c r="B175" s="21"/>
      <c r="C175" s="44" t="s">
        <v>19</v>
      </c>
      <c r="D175" s="44"/>
      <c r="E175" s="49">
        <f>G175+H175+I175+J175</f>
        <v>0</v>
      </c>
      <c r="F175" s="73">
        <f>G175</f>
        <v>0</v>
      </c>
      <c r="G175" s="74"/>
      <c r="H175" s="74"/>
      <c r="I175" s="24"/>
      <c r="J175" s="25"/>
      <c r="K175" s="25"/>
      <c r="L175" s="28" t="e">
        <f>K175/#REF!*100</f>
        <v>#REF!</v>
      </c>
      <c r="M175" s="28"/>
      <c r="N175" s="69"/>
      <c r="O175" s="69"/>
      <c r="P175" s="24" t="e">
        <f t="shared" si="83"/>
        <v>#DIV/0!</v>
      </c>
      <c r="Q175" s="46" t="e">
        <f t="shared" si="90"/>
        <v>#DIV/0!</v>
      </c>
      <c r="R175" s="28"/>
      <c r="S175" s="25"/>
      <c r="T175" s="96" t="e">
        <f t="shared" si="91"/>
        <v>#DIV/0!</v>
      </c>
    </row>
    <row r="176" spans="1:20" ht="12.75">
      <c r="A176" s="29"/>
      <c r="B176" s="30"/>
      <c r="C176" s="31" t="s">
        <v>4</v>
      </c>
      <c r="D176" s="32">
        <f aca="true" t="shared" si="94" ref="D176:K176">D173+D162</f>
        <v>30212.3</v>
      </c>
      <c r="E176" s="32">
        <f t="shared" si="94"/>
        <v>31545.600000000002</v>
      </c>
      <c r="F176" s="32">
        <f t="shared" si="94"/>
        <v>16337.2</v>
      </c>
      <c r="G176" s="32">
        <f t="shared" si="94"/>
        <v>6300.1</v>
      </c>
      <c r="H176" s="32">
        <f t="shared" si="94"/>
        <v>10037.1</v>
      </c>
      <c r="I176" s="32">
        <f t="shared" si="94"/>
        <v>7507.7</v>
      </c>
      <c r="J176" s="32">
        <f t="shared" si="94"/>
        <v>7700.7</v>
      </c>
      <c r="K176" s="32">
        <f t="shared" si="94"/>
        <v>12863.5</v>
      </c>
      <c r="L176" s="35" t="e">
        <f>K176/#REF!*100</f>
        <v>#REF!</v>
      </c>
      <c r="M176" s="35">
        <f>K176/I176*100</f>
        <v>171.33742690837408</v>
      </c>
      <c r="N176" s="69"/>
      <c r="O176" s="70" t="e">
        <f>J176+#REF!+#REF!</f>
        <v>#REF!</v>
      </c>
      <c r="P176" s="46">
        <f t="shared" si="83"/>
        <v>167.04325580791357</v>
      </c>
      <c r="Q176" s="46">
        <f t="shared" si="90"/>
        <v>42.577029885179215</v>
      </c>
      <c r="R176" s="35">
        <f t="shared" si="82"/>
        <v>78.73748255515021</v>
      </c>
      <c r="S176" s="32">
        <f>K176*100/E176</f>
        <v>40.77747768310002</v>
      </c>
      <c r="T176" s="96">
        <f t="shared" si="91"/>
        <v>78.73748255515021</v>
      </c>
    </row>
    <row r="177" spans="1:20" ht="12.75">
      <c r="A177" s="100"/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2"/>
      <c r="N177" s="69"/>
      <c r="O177" s="69"/>
      <c r="P177" s="67"/>
      <c r="Q177" s="24"/>
      <c r="R177" s="35"/>
      <c r="S177" s="32"/>
      <c r="T177" s="97"/>
    </row>
    <row r="178" spans="1:20" ht="12.75">
      <c r="A178" s="103" t="s">
        <v>34</v>
      </c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85"/>
      <c r="R178" s="35"/>
      <c r="S178" s="32"/>
      <c r="T178" s="97"/>
    </row>
    <row r="179" spans="1:20" ht="12.75">
      <c r="A179" s="33" t="s">
        <v>3</v>
      </c>
      <c r="B179" s="33"/>
      <c r="C179" s="34" t="s">
        <v>68</v>
      </c>
      <c r="D179" s="35">
        <f aca="true" t="shared" si="95" ref="D179:K179">D180+D182+D183+D184+D185+D187+D189+D188+D186+D181</f>
        <v>21981</v>
      </c>
      <c r="E179" s="35">
        <f t="shared" si="95"/>
        <v>22398.6</v>
      </c>
      <c r="F179" s="35">
        <f t="shared" si="95"/>
        <v>10570.6</v>
      </c>
      <c r="G179" s="35">
        <f t="shared" si="95"/>
        <v>4860</v>
      </c>
      <c r="H179" s="35">
        <f t="shared" si="95"/>
        <v>5710.6</v>
      </c>
      <c r="I179" s="35">
        <f t="shared" si="95"/>
        <v>5410.5</v>
      </c>
      <c r="J179" s="35">
        <f t="shared" si="95"/>
        <v>6417.5</v>
      </c>
      <c r="K179" s="35">
        <f t="shared" si="95"/>
        <v>9028.6</v>
      </c>
      <c r="L179" s="35" t="e">
        <f>K179/#REF!*100</f>
        <v>#REF!</v>
      </c>
      <c r="M179" s="35">
        <f>K179/I179*100</f>
        <v>166.8718233065336</v>
      </c>
      <c r="N179" s="69"/>
      <c r="O179" s="69"/>
      <c r="P179" s="35">
        <f t="shared" si="83"/>
        <v>140.68718348266458</v>
      </c>
      <c r="Q179" s="46">
        <f>K179/D179*100</f>
        <v>41.07456439652427</v>
      </c>
      <c r="R179" s="35">
        <f t="shared" si="82"/>
        <v>85.41237015874216</v>
      </c>
      <c r="S179" s="32">
        <f aca="true" t="shared" si="96" ref="S179:S186">K179*100/E179</f>
        <v>40.30876929808113</v>
      </c>
      <c r="T179" s="96">
        <f>K179/F179*100</f>
        <v>85.41237015874216</v>
      </c>
    </row>
    <row r="180" spans="1:20" ht="12.75">
      <c r="A180" s="29" t="s">
        <v>23</v>
      </c>
      <c r="B180" s="29"/>
      <c r="C180" s="36" t="s">
        <v>22</v>
      </c>
      <c r="D180" s="73">
        <v>16150</v>
      </c>
      <c r="E180" s="49">
        <f>G180+H180+I180+J180</f>
        <v>16150</v>
      </c>
      <c r="F180" s="76">
        <f aca="true" t="shared" si="97" ref="F180:F191">G180+H180</f>
        <v>7728</v>
      </c>
      <c r="G180" s="49">
        <v>3619</v>
      </c>
      <c r="H180" s="49">
        <v>4109</v>
      </c>
      <c r="I180" s="24">
        <v>4209</v>
      </c>
      <c r="J180" s="25">
        <v>4213</v>
      </c>
      <c r="K180" s="25">
        <v>6646.1</v>
      </c>
      <c r="L180" s="28" t="e">
        <f>K180/#REF!*100</f>
        <v>#REF!</v>
      </c>
      <c r="M180" s="28">
        <f>K180/I180*100</f>
        <v>157.90211451651223</v>
      </c>
      <c r="N180" s="69"/>
      <c r="O180" s="69"/>
      <c r="P180" s="24">
        <f t="shared" si="83"/>
        <v>157.75219558509374</v>
      </c>
      <c r="Q180" s="24">
        <f aca="true" t="shared" si="98" ref="Q180:Q192">K180/D180*100</f>
        <v>41.15232198142415</v>
      </c>
      <c r="R180" s="28">
        <f t="shared" si="82"/>
        <v>86.00025879917185</v>
      </c>
      <c r="S180" s="25">
        <f t="shared" si="96"/>
        <v>41.15232198142415</v>
      </c>
      <c r="T180" s="95">
        <f aca="true" t="shared" si="99" ref="T180:T192">K180/F180*100</f>
        <v>86.00025879917185</v>
      </c>
    </row>
    <row r="181" spans="1:20" ht="12.75">
      <c r="A181" s="19" t="s">
        <v>70</v>
      </c>
      <c r="B181" s="19"/>
      <c r="C181" s="36" t="s">
        <v>71</v>
      </c>
      <c r="D181" s="73">
        <v>3484</v>
      </c>
      <c r="E181" s="49">
        <f>G181+H181+I181+J181</f>
        <v>3484</v>
      </c>
      <c r="F181" s="76">
        <f t="shared" si="97"/>
        <v>1692</v>
      </c>
      <c r="G181" s="49">
        <v>846</v>
      </c>
      <c r="H181" s="49">
        <v>846</v>
      </c>
      <c r="I181" s="24">
        <v>846</v>
      </c>
      <c r="J181" s="25">
        <v>946</v>
      </c>
      <c r="K181" s="25">
        <v>1097.6</v>
      </c>
      <c r="L181" s="28"/>
      <c r="M181" s="28"/>
      <c r="N181" s="69"/>
      <c r="O181" s="69"/>
      <c r="P181" s="24"/>
      <c r="Q181" s="24">
        <f t="shared" si="98"/>
        <v>31.504018369690005</v>
      </c>
      <c r="R181" s="28">
        <f>K181*100/F181</f>
        <v>64.86997635933805</v>
      </c>
      <c r="S181" s="25">
        <f t="shared" si="96"/>
        <v>31.50401836969001</v>
      </c>
      <c r="T181" s="95">
        <f t="shared" si="99"/>
        <v>64.86997635933805</v>
      </c>
    </row>
    <row r="182" spans="1:20" ht="13.5" customHeight="1" hidden="1">
      <c r="A182" s="19" t="s">
        <v>8</v>
      </c>
      <c r="B182" s="19"/>
      <c r="C182" s="36" t="s">
        <v>5</v>
      </c>
      <c r="D182" s="73"/>
      <c r="E182" s="49">
        <f aca="true" t="shared" si="100" ref="E182:E191">G182+H182+I182+J182</f>
        <v>0</v>
      </c>
      <c r="F182" s="76">
        <f t="shared" si="97"/>
        <v>0</v>
      </c>
      <c r="G182" s="49"/>
      <c r="H182" s="49"/>
      <c r="I182" s="24"/>
      <c r="J182" s="25"/>
      <c r="K182" s="25"/>
      <c r="L182" s="28"/>
      <c r="M182" s="28"/>
      <c r="N182" s="69"/>
      <c r="O182" s="69"/>
      <c r="P182" s="24" t="e">
        <f t="shared" si="83"/>
        <v>#DIV/0!</v>
      </c>
      <c r="Q182" s="24" t="e">
        <f t="shared" si="98"/>
        <v>#DIV/0!</v>
      </c>
      <c r="R182" s="28" t="e">
        <f>K182*100/F182</f>
        <v>#DIV/0!</v>
      </c>
      <c r="S182" s="25" t="e">
        <f t="shared" si="96"/>
        <v>#DIV/0!</v>
      </c>
      <c r="T182" s="95" t="e">
        <f t="shared" si="99"/>
        <v>#DIV/0!</v>
      </c>
    </row>
    <row r="183" spans="1:20" ht="12.75">
      <c r="A183" s="19" t="s">
        <v>9</v>
      </c>
      <c r="B183" s="19"/>
      <c r="C183" s="36" t="s">
        <v>6</v>
      </c>
      <c r="D183" s="73">
        <v>1780</v>
      </c>
      <c r="E183" s="49">
        <f t="shared" si="100"/>
        <v>1780</v>
      </c>
      <c r="F183" s="76">
        <f t="shared" si="97"/>
        <v>480</v>
      </c>
      <c r="G183" s="49">
        <v>240</v>
      </c>
      <c r="H183" s="49">
        <v>240</v>
      </c>
      <c r="I183" s="24">
        <v>240</v>
      </c>
      <c r="J183" s="25">
        <v>1060</v>
      </c>
      <c r="K183" s="25">
        <v>679.8</v>
      </c>
      <c r="L183" s="28" t="e">
        <f>K183/#REF!*100</f>
        <v>#REF!</v>
      </c>
      <c r="M183" s="28">
        <f aca="true" t="shared" si="101" ref="M183:M189">K183/I183*100</f>
        <v>283.25</v>
      </c>
      <c r="N183" s="69"/>
      <c r="O183" s="69"/>
      <c r="P183" s="24">
        <f t="shared" si="83"/>
        <v>64.13207547169812</v>
      </c>
      <c r="Q183" s="24">
        <f t="shared" si="98"/>
        <v>38.19101123595505</v>
      </c>
      <c r="R183" s="28">
        <f t="shared" si="82"/>
        <v>141.625</v>
      </c>
      <c r="S183" s="25">
        <f t="shared" si="96"/>
        <v>38.19101123595506</v>
      </c>
      <c r="T183" s="95">
        <f t="shared" si="99"/>
        <v>141.625</v>
      </c>
    </row>
    <row r="184" spans="1:20" ht="12.75">
      <c r="A184" s="19" t="s">
        <v>10</v>
      </c>
      <c r="B184" s="19"/>
      <c r="C184" s="36" t="s">
        <v>21</v>
      </c>
      <c r="D184" s="73">
        <v>116</v>
      </c>
      <c r="E184" s="49">
        <f t="shared" si="100"/>
        <v>133.6</v>
      </c>
      <c r="F184" s="76">
        <f t="shared" si="97"/>
        <v>71.6</v>
      </c>
      <c r="G184" s="49">
        <f>27+16</f>
        <v>43</v>
      </c>
      <c r="H184" s="49">
        <v>28.6</v>
      </c>
      <c r="I184" s="24">
        <v>27</v>
      </c>
      <c r="J184" s="25">
        <v>35</v>
      </c>
      <c r="K184" s="25">
        <v>64.9</v>
      </c>
      <c r="L184" s="28" t="e">
        <f>K184/#REF!*100</f>
        <v>#REF!</v>
      </c>
      <c r="M184" s="28">
        <f t="shared" si="101"/>
        <v>240.37037037037038</v>
      </c>
      <c r="N184" s="69"/>
      <c r="O184" s="69"/>
      <c r="P184" s="24">
        <f t="shared" si="83"/>
        <v>185.42857142857144</v>
      </c>
      <c r="Q184" s="24">
        <f t="shared" si="98"/>
        <v>55.948275862068975</v>
      </c>
      <c r="R184" s="28">
        <f t="shared" si="82"/>
        <v>90.64245810055868</v>
      </c>
      <c r="S184" s="25">
        <f t="shared" si="96"/>
        <v>48.577844311377255</v>
      </c>
      <c r="T184" s="95">
        <f t="shared" si="99"/>
        <v>90.64245810055867</v>
      </c>
    </row>
    <row r="185" spans="1:20" ht="24">
      <c r="A185" s="20" t="s">
        <v>11</v>
      </c>
      <c r="B185" s="20"/>
      <c r="C185" s="36" t="s">
        <v>17</v>
      </c>
      <c r="D185" s="73">
        <v>341</v>
      </c>
      <c r="E185" s="49">
        <f t="shared" si="100"/>
        <v>341</v>
      </c>
      <c r="F185" s="76">
        <f t="shared" si="97"/>
        <v>149</v>
      </c>
      <c r="G185" s="49">
        <v>82</v>
      </c>
      <c r="H185" s="49">
        <v>67</v>
      </c>
      <c r="I185" s="24">
        <v>78.5</v>
      </c>
      <c r="J185" s="25">
        <v>113.5</v>
      </c>
      <c r="K185" s="25">
        <v>75.1</v>
      </c>
      <c r="L185" s="28" t="e">
        <f>K185/#REF!*100</f>
        <v>#REF!</v>
      </c>
      <c r="M185" s="28">
        <f t="shared" si="101"/>
        <v>95.66878980891718</v>
      </c>
      <c r="N185" s="69"/>
      <c r="O185" s="69"/>
      <c r="P185" s="24">
        <f t="shared" si="83"/>
        <v>66.16740088105726</v>
      </c>
      <c r="Q185" s="24">
        <f t="shared" si="98"/>
        <v>22.023460410557185</v>
      </c>
      <c r="R185" s="28">
        <f t="shared" si="82"/>
        <v>50.402684563758385</v>
      </c>
      <c r="S185" s="25">
        <f t="shared" si="96"/>
        <v>22.02346041055718</v>
      </c>
      <c r="T185" s="95">
        <f t="shared" si="99"/>
        <v>50.402684563758385</v>
      </c>
    </row>
    <row r="186" spans="1:20" ht="24">
      <c r="A186" s="37" t="s">
        <v>42</v>
      </c>
      <c r="B186" s="38"/>
      <c r="C186" s="36" t="s">
        <v>43</v>
      </c>
      <c r="D186" s="73">
        <v>110</v>
      </c>
      <c r="E186" s="49">
        <f t="shared" si="100"/>
        <v>110</v>
      </c>
      <c r="F186" s="76">
        <f t="shared" si="97"/>
        <v>50</v>
      </c>
      <c r="G186" s="49">
        <v>30</v>
      </c>
      <c r="H186" s="49">
        <v>20</v>
      </c>
      <c r="I186" s="24">
        <v>10</v>
      </c>
      <c r="J186" s="25">
        <v>50</v>
      </c>
      <c r="K186" s="25">
        <v>60.9</v>
      </c>
      <c r="L186" s="28" t="e">
        <f>K186/#REF!*100</f>
        <v>#REF!</v>
      </c>
      <c r="M186" s="28">
        <f t="shared" si="101"/>
        <v>609</v>
      </c>
      <c r="N186" s="69"/>
      <c r="O186" s="69"/>
      <c r="P186" s="24">
        <f t="shared" si="83"/>
        <v>121.8</v>
      </c>
      <c r="Q186" s="24">
        <f t="shared" si="98"/>
        <v>55.36363636363636</v>
      </c>
      <c r="R186" s="28">
        <f t="shared" si="82"/>
        <v>121.8</v>
      </c>
      <c r="S186" s="25">
        <f t="shared" si="96"/>
        <v>55.36363636363637</v>
      </c>
      <c r="T186" s="95">
        <f t="shared" si="99"/>
        <v>121.8</v>
      </c>
    </row>
    <row r="187" spans="1:20" ht="12.75">
      <c r="A187" s="37" t="s">
        <v>18</v>
      </c>
      <c r="B187" s="38"/>
      <c r="C187" s="36" t="s">
        <v>15</v>
      </c>
      <c r="D187" s="73">
        <v>0</v>
      </c>
      <c r="E187" s="49">
        <f t="shared" si="100"/>
        <v>0</v>
      </c>
      <c r="F187" s="76">
        <f t="shared" si="97"/>
        <v>0</v>
      </c>
      <c r="G187" s="49"/>
      <c r="H187" s="49"/>
      <c r="I187" s="24"/>
      <c r="J187" s="25"/>
      <c r="K187" s="25"/>
      <c r="L187" s="28" t="e">
        <f>K187/#REF!*100</f>
        <v>#REF!</v>
      </c>
      <c r="M187" s="28" t="e">
        <f t="shared" si="101"/>
        <v>#DIV/0!</v>
      </c>
      <c r="N187" s="69"/>
      <c r="O187" s="69"/>
      <c r="P187" s="24" t="e">
        <f t="shared" si="83"/>
        <v>#DIV/0!</v>
      </c>
      <c r="Q187" s="46"/>
      <c r="R187" s="28"/>
      <c r="S187" s="25"/>
      <c r="T187" s="95"/>
    </row>
    <row r="188" spans="1:20" ht="16.5" customHeight="1">
      <c r="A188" s="29" t="s">
        <v>12</v>
      </c>
      <c r="B188" s="29"/>
      <c r="C188" s="36" t="s">
        <v>7</v>
      </c>
      <c r="D188" s="73">
        <v>0</v>
      </c>
      <c r="E188" s="49">
        <f t="shared" si="100"/>
        <v>400</v>
      </c>
      <c r="F188" s="76">
        <f t="shared" si="97"/>
        <v>400</v>
      </c>
      <c r="G188" s="49"/>
      <c r="H188" s="49">
        <v>400</v>
      </c>
      <c r="I188" s="24"/>
      <c r="J188" s="25"/>
      <c r="K188" s="25">
        <v>400.8</v>
      </c>
      <c r="L188" s="28" t="e">
        <f>K188/#REF!*100</f>
        <v>#REF!</v>
      </c>
      <c r="M188" s="28" t="e">
        <f t="shared" si="101"/>
        <v>#DIV/0!</v>
      </c>
      <c r="N188" s="69"/>
      <c r="O188" s="69"/>
      <c r="P188" s="24" t="e">
        <f t="shared" si="83"/>
        <v>#DIV/0!</v>
      </c>
      <c r="Q188" s="46"/>
      <c r="R188" s="28"/>
      <c r="S188" s="25"/>
      <c r="T188" s="95">
        <f t="shared" si="99"/>
        <v>100.2</v>
      </c>
    </row>
    <row r="189" spans="1:20" ht="15" customHeight="1">
      <c r="A189" s="52" t="s">
        <v>39</v>
      </c>
      <c r="B189" s="40"/>
      <c r="C189" s="23" t="s">
        <v>40</v>
      </c>
      <c r="D189" s="93">
        <v>0</v>
      </c>
      <c r="E189" s="49">
        <f t="shared" si="100"/>
        <v>0</v>
      </c>
      <c r="F189" s="76">
        <f t="shared" si="97"/>
        <v>0</v>
      </c>
      <c r="G189" s="81"/>
      <c r="H189" s="81"/>
      <c r="I189" s="24"/>
      <c r="J189" s="25"/>
      <c r="K189" s="25">
        <v>3.4</v>
      </c>
      <c r="L189" s="28" t="e">
        <f>K189/#REF!*100</f>
        <v>#REF!</v>
      </c>
      <c r="M189" s="28" t="e">
        <f t="shared" si="101"/>
        <v>#DIV/0!</v>
      </c>
      <c r="N189" s="69"/>
      <c r="O189" s="69"/>
      <c r="P189" s="24" t="e">
        <f t="shared" si="83"/>
        <v>#DIV/0!</v>
      </c>
      <c r="Q189" s="46"/>
      <c r="R189" s="35"/>
      <c r="S189" s="32"/>
      <c r="T189" s="95"/>
    </row>
    <row r="190" spans="1:20" ht="12.75">
      <c r="A190" s="45" t="s">
        <v>1</v>
      </c>
      <c r="B190" s="33"/>
      <c r="C190" s="41" t="s">
        <v>0</v>
      </c>
      <c r="D190" s="46">
        <f aca="true" t="shared" si="102" ref="D190:K190">D191</f>
        <v>29025.6</v>
      </c>
      <c r="E190" s="46">
        <f t="shared" si="102"/>
        <v>30546.2</v>
      </c>
      <c r="F190" s="46">
        <f t="shared" si="102"/>
        <v>15053.8</v>
      </c>
      <c r="G190" s="46">
        <f t="shared" si="102"/>
        <v>6861.8</v>
      </c>
      <c r="H190" s="46">
        <f t="shared" si="102"/>
        <v>8192</v>
      </c>
      <c r="I190" s="46">
        <f t="shared" si="102"/>
        <v>9377.6</v>
      </c>
      <c r="J190" s="46">
        <f t="shared" si="102"/>
        <v>6114.8</v>
      </c>
      <c r="K190" s="46">
        <f t="shared" si="102"/>
        <v>10534.3</v>
      </c>
      <c r="L190" s="35" t="e">
        <f>K190/#REF!*100</f>
        <v>#REF!</v>
      </c>
      <c r="M190" s="35">
        <f>K190/I190*100</f>
        <v>112.33471250639822</v>
      </c>
      <c r="N190" s="69"/>
      <c r="O190" s="69"/>
      <c r="P190" s="46">
        <f t="shared" si="83"/>
        <v>172.2754628115392</v>
      </c>
      <c r="Q190" s="46">
        <f t="shared" si="98"/>
        <v>36.29313433658564</v>
      </c>
      <c r="R190" s="35">
        <f t="shared" si="82"/>
        <v>69.97768005420559</v>
      </c>
      <c r="S190" s="32">
        <f>K190*100/E190</f>
        <v>34.48645003306467</v>
      </c>
      <c r="T190" s="96">
        <f t="shared" si="99"/>
        <v>69.97768005420558</v>
      </c>
    </row>
    <row r="191" spans="1:20" ht="24">
      <c r="A191" s="84" t="s">
        <v>67</v>
      </c>
      <c r="B191" s="19"/>
      <c r="C191" s="43" t="s">
        <v>20</v>
      </c>
      <c r="D191" s="49">
        <v>29025.6</v>
      </c>
      <c r="E191" s="49">
        <f t="shared" si="100"/>
        <v>30546.2</v>
      </c>
      <c r="F191" s="76">
        <f t="shared" si="97"/>
        <v>15053.8</v>
      </c>
      <c r="G191" s="49">
        <v>6861.8</v>
      </c>
      <c r="H191" s="49">
        <v>8192</v>
      </c>
      <c r="I191" s="24">
        <v>9377.6</v>
      </c>
      <c r="J191" s="25">
        <v>6114.8</v>
      </c>
      <c r="K191" s="25">
        <v>10534.3</v>
      </c>
      <c r="L191" s="28" t="e">
        <f>K191/#REF!*100</f>
        <v>#REF!</v>
      </c>
      <c r="M191" s="28">
        <f>K191/I191*100</f>
        <v>112.33471250639822</v>
      </c>
      <c r="N191" s="69"/>
      <c r="O191" s="69"/>
      <c r="P191" s="24">
        <f t="shared" si="83"/>
        <v>172.2754628115392</v>
      </c>
      <c r="Q191" s="24">
        <f t="shared" si="98"/>
        <v>36.29313433658564</v>
      </c>
      <c r="R191" s="28">
        <f t="shared" si="82"/>
        <v>69.97768005420559</v>
      </c>
      <c r="S191" s="25">
        <f>K191*100/E191</f>
        <v>34.48645003306467</v>
      </c>
      <c r="T191" s="95">
        <f t="shared" si="99"/>
        <v>69.97768005420558</v>
      </c>
    </row>
    <row r="192" spans="1:20" ht="12.75">
      <c r="A192" s="29"/>
      <c r="B192" s="30"/>
      <c r="C192" s="31" t="s">
        <v>4</v>
      </c>
      <c r="D192" s="32">
        <f aca="true" t="shared" si="103" ref="D192:K192">D190+D179</f>
        <v>51006.6</v>
      </c>
      <c r="E192" s="32">
        <f t="shared" si="103"/>
        <v>52944.8</v>
      </c>
      <c r="F192" s="32">
        <f t="shared" si="103"/>
        <v>25624.4</v>
      </c>
      <c r="G192" s="32">
        <f t="shared" si="103"/>
        <v>11721.8</v>
      </c>
      <c r="H192" s="32">
        <f t="shared" si="103"/>
        <v>13902.6</v>
      </c>
      <c r="I192" s="32">
        <f t="shared" si="103"/>
        <v>14788.1</v>
      </c>
      <c r="J192" s="32">
        <f t="shared" si="103"/>
        <v>12532.3</v>
      </c>
      <c r="K192" s="32">
        <f t="shared" si="103"/>
        <v>19562.9</v>
      </c>
      <c r="L192" s="35" t="e">
        <f>K192/#REF!*100</f>
        <v>#REF!</v>
      </c>
      <c r="M192" s="35">
        <f>K192/I192*100</f>
        <v>132.28812355880743</v>
      </c>
      <c r="N192" s="69"/>
      <c r="O192" s="70" t="e">
        <f>J192+#REF!+#REF!</f>
        <v>#REF!</v>
      </c>
      <c r="P192" s="46">
        <f t="shared" si="83"/>
        <v>156.09983801856006</v>
      </c>
      <c r="Q192" s="46">
        <f t="shared" si="98"/>
        <v>38.35366403563461</v>
      </c>
      <c r="R192" s="35">
        <f t="shared" si="82"/>
        <v>76.3448119760853</v>
      </c>
      <c r="S192" s="32">
        <f>K192*100/E192</f>
        <v>36.94961544854264</v>
      </c>
      <c r="T192" s="96">
        <f t="shared" si="99"/>
        <v>76.3448119760853</v>
      </c>
    </row>
    <row r="193" spans="1:20" ht="12.75">
      <c r="A193" s="100"/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2"/>
      <c r="N193" s="69"/>
      <c r="O193" s="69"/>
      <c r="P193" s="67"/>
      <c r="Q193" s="24"/>
      <c r="R193" s="35"/>
      <c r="S193" s="32"/>
      <c r="T193" s="97"/>
    </row>
    <row r="194" spans="1:20" ht="12.75">
      <c r="A194" s="103" t="s">
        <v>35</v>
      </c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85"/>
      <c r="R194" s="35"/>
      <c r="S194" s="32"/>
      <c r="T194" s="97"/>
    </row>
    <row r="195" spans="1:20" ht="12.75">
      <c r="A195" s="33" t="s">
        <v>3</v>
      </c>
      <c r="B195" s="33"/>
      <c r="C195" s="34" t="s">
        <v>68</v>
      </c>
      <c r="D195" s="35">
        <f>D196+D199+D201+D202+D200+D203+D204+D198+D197</f>
        <v>5234.5</v>
      </c>
      <c r="E195" s="35">
        <f>E196+E199+E201+E202+E200+E203+E204+E198+E197</f>
        <v>5234.5</v>
      </c>
      <c r="F195" s="35">
        <f>F196+F199+F201+F202+F200+F203+F204+F198+F197</f>
        <v>2042</v>
      </c>
      <c r="G195" s="35">
        <f aca="true" t="shared" si="104" ref="G195:P195">G196+G199+G201+G202+G200+G203+G204+G198+G197</f>
        <v>702.4000000000001</v>
      </c>
      <c r="H195" s="35">
        <f t="shared" si="104"/>
        <v>1339.6</v>
      </c>
      <c r="I195" s="35">
        <f t="shared" si="104"/>
        <v>1269.1</v>
      </c>
      <c r="J195" s="35">
        <f t="shared" si="104"/>
        <v>1923.4</v>
      </c>
      <c r="K195" s="35">
        <f t="shared" si="104"/>
        <v>1720.1</v>
      </c>
      <c r="L195" s="35" t="e">
        <f t="shared" si="104"/>
        <v>#REF!</v>
      </c>
      <c r="M195" s="35" t="e">
        <f t="shared" si="104"/>
        <v>#DIV/0!</v>
      </c>
      <c r="N195" s="35">
        <f t="shared" si="104"/>
        <v>0</v>
      </c>
      <c r="O195" s="35">
        <f t="shared" si="104"/>
        <v>0</v>
      </c>
      <c r="P195" s="35" t="e">
        <f t="shared" si="104"/>
        <v>#DIV/0!</v>
      </c>
      <c r="Q195" s="46">
        <f>K195/D195*100</f>
        <v>32.86082720412647</v>
      </c>
      <c r="R195" s="35">
        <f t="shared" si="82"/>
        <v>84.2360430950049</v>
      </c>
      <c r="S195" s="32">
        <f aca="true" t="shared" si="105" ref="S195:S201">K195*100/E195</f>
        <v>32.860827204126466</v>
      </c>
      <c r="T195" s="96">
        <f>K195/F195*100</f>
        <v>84.2360430950049</v>
      </c>
    </row>
    <row r="196" spans="1:20" ht="12.75">
      <c r="A196" s="29" t="s">
        <v>23</v>
      </c>
      <c r="B196" s="29"/>
      <c r="C196" s="36" t="s">
        <v>22</v>
      </c>
      <c r="D196" s="86">
        <v>1155</v>
      </c>
      <c r="E196" s="49">
        <f>G196+H196+I196+J196</f>
        <v>1155</v>
      </c>
      <c r="F196" s="76">
        <f aca="true" t="shared" si="106" ref="F196:F206">G196+H196</f>
        <v>520</v>
      </c>
      <c r="G196" s="49">
        <v>190</v>
      </c>
      <c r="H196" s="49">
        <v>330</v>
      </c>
      <c r="I196" s="24">
        <v>270</v>
      </c>
      <c r="J196" s="24">
        <v>365</v>
      </c>
      <c r="K196" s="25">
        <v>349.1</v>
      </c>
      <c r="L196" s="28" t="e">
        <f>K196/#REF!*100</f>
        <v>#REF!</v>
      </c>
      <c r="M196" s="28">
        <f aca="true" t="shared" si="107" ref="M196:M202">K196/I196*100</f>
        <v>129.2962962962963</v>
      </c>
      <c r="N196" s="69"/>
      <c r="O196" s="69"/>
      <c r="P196" s="24">
        <f t="shared" si="83"/>
        <v>95.64383561643835</v>
      </c>
      <c r="Q196" s="24">
        <f aca="true" t="shared" si="108" ref="Q196:Q207">K196/D196*100</f>
        <v>30.225108225108226</v>
      </c>
      <c r="R196" s="28">
        <f t="shared" si="82"/>
        <v>67.13461538461539</v>
      </c>
      <c r="S196" s="25">
        <f t="shared" si="105"/>
        <v>30.225108225108226</v>
      </c>
      <c r="T196" s="95">
        <f aca="true" t="shared" si="109" ref="T196:T207">K196/F196*100</f>
        <v>67.13461538461539</v>
      </c>
    </row>
    <row r="197" spans="1:20" ht="12.75">
      <c r="A197" s="19" t="s">
        <v>70</v>
      </c>
      <c r="B197" s="19"/>
      <c r="C197" s="36" t="s">
        <v>71</v>
      </c>
      <c r="D197" s="73">
        <v>3813</v>
      </c>
      <c r="E197" s="49">
        <f>G197+H197+I197+J197</f>
        <v>3813</v>
      </c>
      <c r="F197" s="76">
        <f t="shared" si="106"/>
        <v>1431.5</v>
      </c>
      <c r="G197" s="49">
        <v>478.3</v>
      </c>
      <c r="H197" s="49">
        <v>953.2</v>
      </c>
      <c r="I197" s="24">
        <v>953.3</v>
      </c>
      <c r="J197" s="24">
        <v>1428.2</v>
      </c>
      <c r="K197" s="25">
        <v>1201.3</v>
      </c>
      <c r="L197" s="28"/>
      <c r="M197" s="28"/>
      <c r="N197" s="69"/>
      <c r="O197" s="69"/>
      <c r="P197" s="24"/>
      <c r="Q197" s="24">
        <f t="shared" si="108"/>
        <v>31.505376344086024</v>
      </c>
      <c r="R197" s="28">
        <f>K197*100/F197</f>
        <v>83.91896611945512</v>
      </c>
      <c r="S197" s="25">
        <f t="shared" si="105"/>
        <v>31.50537634408602</v>
      </c>
      <c r="T197" s="95">
        <f t="shared" si="109"/>
        <v>83.91896611945512</v>
      </c>
    </row>
    <row r="198" spans="1:20" ht="12.75">
      <c r="A198" s="19" t="s">
        <v>8</v>
      </c>
      <c r="B198" s="58" t="s">
        <v>55</v>
      </c>
      <c r="C198" s="36" t="s">
        <v>5</v>
      </c>
      <c r="D198" s="73">
        <v>4.5</v>
      </c>
      <c r="E198" s="49">
        <f aca="true" t="shared" si="110" ref="E198:E206">G198+H198+I198+J198</f>
        <v>15.8</v>
      </c>
      <c r="F198" s="76">
        <f t="shared" si="106"/>
        <v>15.8</v>
      </c>
      <c r="G198" s="49">
        <v>11.3</v>
      </c>
      <c r="H198" s="49">
        <v>4.5</v>
      </c>
      <c r="I198" s="24"/>
      <c r="J198" s="24"/>
      <c r="K198" s="25">
        <v>15.8</v>
      </c>
      <c r="L198" s="28" t="e">
        <f>K198/#REF!*100</f>
        <v>#REF!</v>
      </c>
      <c r="M198" s="28"/>
      <c r="N198" s="69"/>
      <c r="O198" s="69"/>
      <c r="P198" s="24" t="e">
        <f t="shared" si="83"/>
        <v>#DIV/0!</v>
      </c>
      <c r="Q198" s="24">
        <f t="shared" si="108"/>
        <v>351.1111111111111</v>
      </c>
      <c r="R198" s="28">
        <f>K198*100/F198</f>
        <v>100</v>
      </c>
      <c r="S198" s="25">
        <f t="shared" si="105"/>
        <v>100</v>
      </c>
      <c r="T198" s="95">
        <f t="shared" si="109"/>
        <v>100</v>
      </c>
    </row>
    <row r="199" spans="1:20" ht="12.75">
      <c r="A199" s="19" t="s">
        <v>9</v>
      </c>
      <c r="B199" s="19"/>
      <c r="C199" s="36" t="s">
        <v>6</v>
      </c>
      <c r="D199" s="73">
        <v>162</v>
      </c>
      <c r="E199" s="49">
        <f t="shared" si="110"/>
        <v>162</v>
      </c>
      <c r="F199" s="76">
        <f t="shared" si="106"/>
        <v>35</v>
      </c>
      <c r="G199" s="49">
        <v>5</v>
      </c>
      <c r="H199" s="49">
        <v>30</v>
      </c>
      <c r="I199" s="24">
        <v>28</v>
      </c>
      <c r="J199" s="24">
        <v>99</v>
      </c>
      <c r="K199" s="25">
        <v>118.5</v>
      </c>
      <c r="L199" s="28" t="e">
        <f>K199/#REF!*100</f>
        <v>#REF!</v>
      </c>
      <c r="M199" s="28">
        <f t="shared" si="107"/>
        <v>423.21428571428567</v>
      </c>
      <c r="N199" s="69"/>
      <c r="O199" s="69"/>
      <c r="P199" s="24">
        <f t="shared" si="83"/>
        <v>119.6969696969697</v>
      </c>
      <c r="Q199" s="24">
        <f t="shared" si="108"/>
        <v>73.14814814814815</v>
      </c>
      <c r="R199" s="28">
        <f t="shared" si="82"/>
        <v>338.57142857142856</v>
      </c>
      <c r="S199" s="25">
        <f t="shared" si="105"/>
        <v>73.14814814814815</v>
      </c>
      <c r="T199" s="95">
        <f t="shared" si="109"/>
        <v>338.57142857142856</v>
      </c>
    </row>
    <row r="200" spans="1:20" ht="12.75">
      <c r="A200" s="19" t="s">
        <v>10</v>
      </c>
      <c r="B200" s="19"/>
      <c r="C200" s="36" t="s">
        <v>21</v>
      </c>
      <c r="D200" s="73">
        <v>35</v>
      </c>
      <c r="E200" s="49">
        <f t="shared" si="110"/>
        <v>23.699999999999996</v>
      </c>
      <c r="F200" s="76">
        <f t="shared" si="106"/>
        <v>11.7</v>
      </c>
      <c r="G200" s="49">
        <v>2</v>
      </c>
      <c r="H200" s="49">
        <v>9.7</v>
      </c>
      <c r="I200" s="24">
        <v>5.6</v>
      </c>
      <c r="J200" s="24">
        <v>6.4</v>
      </c>
      <c r="K200" s="25">
        <v>5.2</v>
      </c>
      <c r="L200" s="28" t="e">
        <f>K200/#REF!*100</f>
        <v>#REF!</v>
      </c>
      <c r="M200" s="28">
        <f t="shared" si="107"/>
        <v>92.85714285714288</v>
      </c>
      <c r="N200" s="69"/>
      <c r="O200" s="69"/>
      <c r="P200" s="24">
        <f t="shared" si="83"/>
        <v>81.25</v>
      </c>
      <c r="Q200" s="24">
        <f t="shared" si="108"/>
        <v>14.857142857142858</v>
      </c>
      <c r="R200" s="28">
        <f t="shared" si="82"/>
        <v>44.44444444444445</v>
      </c>
      <c r="S200" s="25">
        <f t="shared" si="105"/>
        <v>21.9409282700422</v>
      </c>
      <c r="T200" s="95">
        <f t="shared" si="109"/>
        <v>44.44444444444445</v>
      </c>
    </row>
    <row r="201" spans="1:20" ht="24">
      <c r="A201" s="20" t="s">
        <v>11</v>
      </c>
      <c r="B201" s="20"/>
      <c r="C201" s="36" t="s">
        <v>17</v>
      </c>
      <c r="D201" s="73">
        <v>65</v>
      </c>
      <c r="E201" s="49">
        <f t="shared" si="110"/>
        <v>65</v>
      </c>
      <c r="F201" s="76">
        <f t="shared" si="106"/>
        <v>28</v>
      </c>
      <c r="G201" s="49">
        <v>15.8</v>
      </c>
      <c r="H201" s="49">
        <v>12.2</v>
      </c>
      <c r="I201" s="24">
        <v>12.2</v>
      </c>
      <c r="J201" s="24">
        <v>24.8</v>
      </c>
      <c r="K201" s="25">
        <v>30.2</v>
      </c>
      <c r="L201" s="28" t="e">
        <f>K201/#REF!*100</f>
        <v>#REF!</v>
      </c>
      <c r="M201" s="28">
        <f t="shared" si="107"/>
        <v>247.5409836065574</v>
      </c>
      <c r="N201" s="69"/>
      <c r="O201" s="69"/>
      <c r="P201" s="24">
        <f t="shared" si="83"/>
        <v>121.77419354838709</v>
      </c>
      <c r="Q201" s="24">
        <f t="shared" si="108"/>
        <v>46.46153846153846</v>
      </c>
      <c r="R201" s="28">
        <f t="shared" si="82"/>
        <v>107.85714285714286</v>
      </c>
      <c r="S201" s="25">
        <f t="shared" si="105"/>
        <v>46.46153846153846</v>
      </c>
      <c r="T201" s="95">
        <f t="shared" si="109"/>
        <v>107.85714285714285</v>
      </c>
    </row>
    <row r="202" spans="1:20" ht="12.75" hidden="1">
      <c r="A202" s="37" t="s">
        <v>18</v>
      </c>
      <c r="B202" s="37"/>
      <c r="C202" s="36" t="s">
        <v>15</v>
      </c>
      <c r="D202" s="73"/>
      <c r="E202" s="49">
        <f t="shared" si="110"/>
        <v>0</v>
      </c>
      <c r="F202" s="76">
        <f t="shared" si="106"/>
        <v>0</v>
      </c>
      <c r="G202" s="49"/>
      <c r="H202" s="49"/>
      <c r="I202" s="24"/>
      <c r="J202" s="24"/>
      <c r="K202" s="25"/>
      <c r="L202" s="28" t="e">
        <f>K202/#REF!*100</f>
        <v>#REF!</v>
      </c>
      <c r="M202" s="28" t="e">
        <f t="shared" si="107"/>
        <v>#DIV/0!</v>
      </c>
      <c r="N202" s="69"/>
      <c r="O202" s="69"/>
      <c r="P202" s="24" t="e">
        <f t="shared" si="83"/>
        <v>#DIV/0!</v>
      </c>
      <c r="Q202" s="46" t="e">
        <f t="shared" si="108"/>
        <v>#DIV/0!</v>
      </c>
      <c r="R202" s="28"/>
      <c r="S202" s="25"/>
      <c r="T202" s="96" t="e">
        <f t="shared" si="109"/>
        <v>#DIV/0!</v>
      </c>
    </row>
    <row r="203" spans="1:20" ht="15.75" customHeight="1" hidden="1">
      <c r="A203" s="37" t="s">
        <v>12</v>
      </c>
      <c r="B203" s="57"/>
      <c r="C203" s="36" t="s">
        <v>7</v>
      </c>
      <c r="D203" s="73"/>
      <c r="E203" s="49">
        <f t="shared" si="110"/>
        <v>0</v>
      </c>
      <c r="F203" s="76">
        <f t="shared" si="106"/>
        <v>0</v>
      </c>
      <c r="G203" s="49"/>
      <c r="H203" s="49"/>
      <c r="I203" s="24"/>
      <c r="J203" s="24"/>
      <c r="K203" s="25"/>
      <c r="L203" s="28" t="e">
        <f>K203/#REF!*100</f>
        <v>#REF!</v>
      </c>
      <c r="M203" s="28"/>
      <c r="N203" s="69"/>
      <c r="O203" s="69"/>
      <c r="P203" s="24" t="e">
        <f t="shared" si="83"/>
        <v>#DIV/0!</v>
      </c>
      <c r="Q203" s="46" t="e">
        <f t="shared" si="108"/>
        <v>#DIV/0!</v>
      </c>
      <c r="R203" s="28"/>
      <c r="S203" s="25"/>
      <c r="T203" s="96" t="e">
        <f t="shared" si="109"/>
        <v>#DIV/0!</v>
      </c>
    </row>
    <row r="204" spans="1:20" ht="13.5" customHeight="1">
      <c r="A204" s="52" t="s">
        <v>39</v>
      </c>
      <c r="B204" s="40"/>
      <c r="C204" s="23" t="s">
        <v>40</v>
      </c>
      <c r="D204" s="93">
        <v>0</v>
      </c>
      <c r="E204" s="49">
        <f t="shared" si="110"/>
        <v>0</v>
      </c>
      <c r="F204" s="76">
        <f t="shared" si="106"/>
        <v>0</v>
      </c>
      <c r="G204" s="49"/>
      <c r="H204" s="49"/>
      <c r="I204" s="24"/>
      <c r="J204" s="24"/>
      <c r="K204" s="25"/>
      <c r="L204" s="28" t="e">
        <f>K204/#REF!*100</f>
        <v>#REF!</v>
      </c>
      <c r="M204" s="28"/>
      <c r="N204" s="69"/>
      <c r="O204" s="69"/>
      <c r="P204" s="24"/>
      <c r="Q204" s="46"/>
      <c r="R204" s="28"/>
      <c r="S204" s="25"/>
      <c r="T204" s="96"/>
    </row>
    <row r="205" spans="1:20" ht="12.75">
      <c r="A205" s="33" t="s">
        <v>1</v>
      </c>
      <c r="B205" s="33"/>
      <c r="C205" s="41" t="s">
        <v>0</v>
      </c>
      <c r="D205" s="42">
        <f aca="true" t="shared" si="111" ref="D205:K205">D206</f>
        <v>19499.2</v>
      </c>
      <c r="E205" s="42">
        <f t="shared" si="111"/>
        <v>20466.8</v>
      </c>
      <c r="F205" s="42">
        <f t="shared" si="111"/>
        <v>10794.7</v>
      </c>
      <c r="G205" s="42">
        <f t="shared" si="111"/>
        <v>4409.9</v>
      </c>
      <c r="H205" s="42">
        <f t="shared" si="111"/>
        <v>6384.8</v>
      </c>
      <c r="I205" s="42">
        <f t="shared" si="111"/>
        <v>5173.4</v>
      </c>
      <c r="J205" s="42">
        <f t="shared" si="111"/>
        <v>4498.7</v>
      </c>
      <c r="K205" s="42">
        <f t="shared" si="111"/>
        <v>7239</v>
      </c>
      <c r="L205" s="35" t="e">
        <f>K205/#REF!*100</f>
        <v>#REF!</v>
      </c>
      <c r="M205" s="35">
        <f>K205/I205*100</f>
        <v>139.92732052422005</v>
      </c>
      <c r="N205" s="69"/>
      <c r="O205" s="69"/>
      <c r="P205" s="46">
        <f t="shared" si="83"/>
        <v>160.91315268855448</v>
      </c>
      <c r="Q205" s="46">
        <f t="shared" si="108"/>
        <v>37.12459998358907</v>
      </c>
      <c r="R205" s="35">
        <f t="shared" si="82"/>
        <v>67.06068718908352</v>
      </c>
      <c r="S205" s="32">
        <f>K205*100/E205</f>
        <v>35.36947642034905</v>
      </c>
      <c r="T205" s="96">
        <f t="shared" si="109"/>
        <v>67.06068718908352</v>
      </c>
    </row>
    <row r="206" spans="1:20" ht="24">
      <c r="A206" s="21" t="s">
        <v>67</v>
      </c>
      <c r="B206" s="19"/>
      <c r="C206" s="43" t="s">
        <v>20</v>
      </c>
      <c r="D206" s="49">
        <v>19499.2</v>
      </c>
      <c r="E206" s="49">
        <f t="shared" si="110"/>
        <v>20466.8</v>
      </c>
      <c r="F206" s="76">
        <f t="shared" si="106"/>
        <v>10794.7</v>
      </c>
      <c r="G206" s="49">
        <f>4271.5+138.4</f>
        <v>4409.9</v>
      </c>
      <c r="H206" s="49">
        <f>6326+58.8</f>
        <v>6384.8</v>
      </c>
      <c r="I206" s="24">
        <v>5173.4</v>
      </c>
      <c r="J206" s="24">
        <v>4498.7</v>
      </c>
      <c r="K206" s="25">
        <v>7239</v>
      </c>
      <c r="L206" s="28" t="e">
        <f>K206/#REF!*100</f>
        <v>#REF!</v>
      </c>
      <c r="M206" s="28">
        <f>K206/I206*100</f>
        <v>139.92732052422005</v>
      </c>
      <c r="N206" s="69"/>
      <c r="O206" s="69"/>
      <c r="P206" s="24">
        <f t="shared" si="83"/>
        <v>160.91315268855448</v>
      </c>
      <c r="Q206" s="24">
        <f t="shared" si="108"/>
        <v>37.12459998358907</v>
      </c>
      <c r="R206" s="28">
        <f t="shared" si="82"/>
        <v>67.06068718908352</v>
      </c>
      <c r="S206" s="25">
        <f>K206*100/E206</f>
        <v>35.36947642034905</v>
      </c>
      <c r="T206" s="95">
        <f t="shared" si="109"/>
        <v>67.06068718908352</v>
      </c>
    </row>
    <row r="207" spans="1:20" ht="12.75">
      <c r="A207" s="29"/>
      <c r="B207" s="30"/>
      <c r="C207" s="31" t="s">
        <v>4</v>
      </c>
      <c r="D207" s="32">
        <f aca="true" t="shared" si="112" ref="D207:K207">D205+D195</f>
        <v>24733.7</v>
      </c>
      <c r="E207" s="32">
        <f t="shared" si="112"/>
        <v>25701.3</v>
      </c>
      <c r="F207" s="32">
        <f t="shared" si="112"/>
        <v>12836.7</v>
      </c>
      <c r="G207" s="46">
        <f t="shared" si="112"/>
        <v>5112.299999999999</v>
      </c>
      <c r="H207" s="46">
        <f t="shared" si="112"/>
        <v>7724.4</v>
      </c>
      <c r="I207" s="46">
        <f t="shared" si="112"/>
        <v>6442.5</v>
      </c>
      <c r="J207" s="46">
        <f t="shared" si="112"/>
        <v>6422.1</v>
      </c>
      <c r="K207" s="32">
        <f t="shared" si="112"/>
        <v>8959.1</v>
      </c>
      <c r="L207" s="35" t="e">
        <f>K207/#REF!*100</f>
        <v>#REF!</v>
      </c>
      <c r="M207" s="35">
        <f>K207/I207*100</f>
        <v>139.06247574699265</v>
      </c>
      <c r="N207" s="69"/>
      <c r="O207" s="70" t="e">
        <f>J207+#REF!+#REF!</f>
        <v>#REF!</v>
      </c>
      <c r="P207" s="46">
        <f t="shared" si="83"/>
        <v>139.50421201787577</v>
      </c>
      <c r="Q207" s="46">
        <f t="shared" si="108"/>
        <v>36.22223929294849</v>
      </c>
      <c r="R207" s="35">
        <f t="shared" si="82"/>
        <v>69.7928595355504</v>
      </c>
      <c r="S207" s="32">
        <f>K207*100/E207</f>
        <v>34.858548011190095</v>
      </c>
      <c r="T207" s="96">
        <f t="shared" si="109"/>
        <v>69.7928595355504</v>
      </c>
    </row>
    <row r="208" spans="1:20" ht="12.75">
      <c r="A208" s="100"/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2"/>
      <c r="N208" s="69"/>
      <c r="O208" s="69"/>
      <c r="P208" s="67"/>
      <c r="Q208" s="92"/>
      <c r="R208" s="35"/>
      <c r="S208" s="32"/>
      <c r="T208" s="97"/>
    </row>
    <row r="209" spans="1:20" ht="12.75">
      <c r="A209" s="117" t="s">
        <v>36</v>
      </c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9"/>
      <c r="T209" s="97"/>
    </row>
    <row r="210" spans="1:20" ht="12.75">
      <c r="A210" s="33" t="s">
        <v>3</v>
      </c>
      <c r="B210" s="59"/>
      <c r="C210" s="34" t="s">
        <v>68</v>
      </c>
      <c r="D210" s="35">
        <f aca="true" t="shared" si="113" ref="D210:K210">D211+D213+D214+D215+D217+D218+D220+D222+D219+D216+D223+D221+D212</f>
        <v>905046.1</v>
      </c>
      <c r="E210" s="35">
        <f t="shared" si="113"/>
        <v>936276.4</v>
      </c>
      <c r="F210" s="35">
        <f t="shared" si="113"/>
        <v>497801.99999999994</v>
      </c>
      <c r="G210" s="35">
        <f t="shared" si="113"/>
        <v>250819.8</v>
      </c>
      <c r="H210" s="35">
        <f t="shared" si="113"/>
        <v>246982.2</v>
      </c>
      <c r="I210" s="35">
        <f t="shared" si="113"/>
        <v>206617.3</v>
      </c>
      <c r="J210" s="35">
        <f t="shared" si="113"/>
        <v>231857.09999999998</v>
      </c>
      <c r="K210" s="35">
        <f t="shared" si="113"/>
        <v>403690.1</v>
      </c>
      <c r="L210" s="35" t="e">
        <f>K210/#REF!*100</f>
        <v>#REF!</v>
      </c>
      <c r="M210" s="35">
        <f aca="true" t="shared" si="114" ref="M210:M221">K210/I210*100</f>
        <v>195.3805901054752</v>
      </c>
      <c r="N210" s="69"/>
      <c r="O210" s="69"/>
      <c r="P210" s="35">
        <f t="shared" si="83"/>
        <v>174.1115971863704</v>
      </c>
      <c r="Q210" s="46">
        <f>K210/D210*100</f>
        <v>44.604368771933274</v>
      </c>
      <c r="R210" s="35">
        <f t="shared" si="82"/>
        <v>81.09451147243283</v>
      </c>
      <c r="S210" s="32">
        <f aca="true" t="shared" si="115" ref="S210:S215">K210*100/E210</f>
        <v>43.11655190710777</v>
      </c>
      <c r="T210" s="96">
        <f>K210/F210*100</f>
        <v>81.09451147243281</v>
      </c>
    </row>
    <row r="211" spans="1:20" ht="12.75">
      <c r="A211" s="29" t="s">
        <v>23</v>
      </c>
      <c r="B211" s="60" t="s">
        <v>54</v>
      </c>
      <c r="C211" s="36" t="s">
        <v>22</v>
      </c>
      <c r="D211" s="25">
        <f>D9+D31+D46+D63+D80+D98+D114+D130+D146+D163+D180+D196</f>
        <v>642590.8</v>
      </c>
      <c r="E211" s="49">
        <f>G211+H211+I211+J211</f>
        <v>642590.7999999999</v>
      </c>
      <c r="F211" s="76">
        <f aca="true" t="shared" si="116" ref="F211:F227">G211+H211</f>
        <v>330097.1</v>
      </c>
      <c r="G211" s="25">
        <f>G9+G31+G46+G63+G80+G98+G114+G130+G146+G163+G180+G196</f>
        <v>154855.09999999998</v>
      </c>
      <c r="H211" s="25">
        <f>H9+H31+H46+H63+H80+H98+H114+H130+H146+H163+H180+H196</f>
        <v>175242</v>
      </c>
      <c r="I211" s="25">
        <f>I9+I31+I46+I63+I80+I98+I114+I130+I146+I163+I180+I196</f>
        <v>145870.1</v>
      </c>
      <c r="J211" s="25">
        <f>J9+J31+J46+J63+J80+J98+J114+J130+J146+J163+J180+J196</f>
        <v>166623.59999999998</v>
      </c>
      <c r="K211" s="25">
        <f>K9+K31+K46+K63+K80+K98+K114+K130+K146+K163+K180+K196-0.1</f>
        <v>280963.79999999993</v>
      </c>
      <c r="L211" s="28" t="e">
        <f>K211/#REF!*100</f>
        <v>#REF!</v>
      </c>
      <c r="M211" s="28">
        <f t="shared" si="114"/>
        <v>192.61233110829423</v>
      </c>
      <c r="N211" s="69"/>
      <c r="O211" s="69"/>
      <c r="P211" s="24">
        <f t="shared" si="83"/>
        <v>168.62185188652745</v>
      </c>
      <c r="Q211" s="24">
        <f aca="true" t="shared" si="117" ref="Q211:Q228">K211/D211*100</f>
        <v>43.72359517129718</v>
      </c>
      <c r="R211" s="28">
        <f t="shared" si="82"/>
        <v>85.11550086323084</v>
      </c>
      <c r="S211" s="25">
        <f t="shared" si="115"/>
        <v>43.723595171297184</v>
      </c>
      <c r="T211" s="95">
        <f aca="true" t="shared" si="118" ref="T211:T228">K211/F211*100</f>
        <v>85.11550086323084</v>
      </c>
    </row>
    <row r="212" spans="1:20" ht="12.75">
      <c r="A212" s="19" t="s">
        <v>70</v>
      </c>
      <c r="B212" s="19"/>
      <c r="C212" s="36" t="s">
        <v>71</v>
      </c>
      <c r="D212" s="25">
        <f>D10+D32+D47+D64+D81+D99+D116+D131+D147+D164+D181+D197</f>
        <v>51911.1</v>
      </c>
      <c r="E212" s="49">
        <f aca="true" t="shared" si="119" ref="E212:E227">G212+H212+I212+J212</f>
        <v>51511.1</v>
      </c>
      <c r="F212" s="76">
        <f t="shared" si="116"/>
        <v>24713.199999999997</v>
      </c>
      <c r="G212" s="25">
        <f>G10+G32+G47+G64+G81+G99+G116+G131+G147+G164+G181+G197</f>
        <v>11844.099999999999</v>
      </c>
      <c r="H212" s="25">
        <f>H10+H32+H47+H64+H81+H99+H116+H131+H147+H164+H181+H197</f>
        <v>12869.1</v>
      </c>
      <c r="I212" s="25">
        <f>I10+I32+I47+I64+I81+I99+I116+I131+I147+I164+I181+I197</f>
        <v>13252.9</v>
      </c>
      <c r="J212" s="25">
        <f>J10+J32+J47+J64+J81+J99+J116+J131+J147+J164+J181+J197</f>
        <v>13545</v>
      </c>
      <c r="K212" s="25">
        <f>K10+K32+K47+K64+K81+K99+K116+K131+K147+K164+K181+K197-0.1</f>
        <v>16355.099999999999</v>
      </c>
      <c r="L212" s="25">
        <f>L10</f>
        <v>0</v>
      </c>
      <c r="M212" s="25">
        <f>M10</f>
        <v>0</v>
      </c>
      <c r="N212" s="25">
        <f>N10</f>
        <v>0</v>
      </c>
      <c r="O212" s="25">
        <f>O10</f>
        <v>0</v>
      </c>
      <c r="P212" s="25">
        <f>P10</f>
        <v>0</v>
      </c>
      <c r="Q212" s="24">
        <f t="shared" si="117"/>
        <v>31.505978490149506</v>
      </c>
      <c r="R212" s="28">
        <f t="shared" si="82"/>
        <v>66.17961251476943</v>
      </c>
      <c r="S212" s="25">
        <f t="shared" si="115"/>
        <v>31.750632387970743</v>
      </c>
      <c r="T212" s="95">
        <f t="shared" si="118"/>
        <v>66.17961251476943</v>
      </c>
    </row>
    <row r="213" spans="1:20" ht="12.75">
      <c r="A213" s="19" t="s">
        <v>8</v>
      </c>
      <c r="B213" s="58" t="s">
        <v>55</v>
      </c>
      <c r="C213" s="36" t="s">
        <v>5</v>
      </c>
      <c r="D213" s="25">
        <f>D11+D48+D65+D198+D148+D115+D182+D82+D100+D165</f>
        <v>36219</v>
      </c>
      <c r="E213" s="49">
        <f t="shared" si="119"/>
        <v>36369.8</v>
      </c>
      <c r="F213" s="76">
        <f t="shared" si="116"/>
        <v>20431.5</v>
      </c>
      <c r="G213" s="25">
        <f>G11+G48+G65+G198+G148+G115+G182+G82+G100+G165</f>
        <v>10205.5</v>
      </c>
      <c r="H213" s="25">
        <f>H11+H48+H65+H198+H148+H115+H182+H82+H100+H165</f>
        <v>10226</v>
      </c>
      <c r="I213" s="25">
        <f>I11+I48+I65+I198+I148+I115+I182+I82+I100+I165</f>
        <v>8124.2</v>
      </c>
      <c r="J213" s="25">
        <f>J11+J48+J65+J198+J148+J115+J182+J82+J100+J165</f>
        <v>7814.099999999999</v>
      </c>
      <c r="K213" s="25">
        <f>K11+K48+K65+K198+K148+K115+K182+K82+K100+K165</f>
        <v>20886.7</v>
      </c>
      <c r="L213" s="28" t="e">
        <f>K213/#REF!*100</f>
        <v>#REF!</v>
      </c>
      <c r="M213" s="28">
        <f t="shared" si="114"/>
        <v>257.09239063538564</v>
      </c>
      <c r="N213" s="69"/>
      <c r="O213" s="69"/>
      <c r="P213" s="24">
        <f t="shared" si="83"/>
        <v>267.29501798031765</v>
      </c>
      <c r="Q213" s="24">
        <f t="shared" si="117"/>
        <v>57.667798669206775</v>
      </c>
      <c r="R213" s="28">
        <f t="shared" si="82"/>
        <v>102.2279323593471</v>
      </c>
      <c r="S213" s="25">
        <f t="shared" si="115"/>
        <v>57.428690836903144</v>
      </c>
      <c r="T213" s="95">
        <f t="shared" si="118"/>
        <v>102.22793235934708</v>
      </c>
    </row>
    <row r="214" spans="1:20" ht="12.75">
      <c r="A214" s="19" t="s">
        <v>9</v>
      </c>
      <c r="B214" s="58" t="s">
        <v>56</v>
      </c>
      <c r="C214" s="36" t="s">
        <v>6</v>
      </c>
      <c r="D214" s="25">
        <f>D12+D33+D49+D66+D83+D101+D117+D132+D149+D166+D183+D199</f>
        <v>19478</v>
      </c>
      <c r="E214" s="49">
        <f t="shared" si="119"/>
        <v>20528</v>
      </c>
      <c r="F214" s="76">
        <f t="shared" si="116"/>
        <v>8932.4</v>
      </c>
      <c r="G214" s="25">
        <f>G12+G33+G49+G66+G83+G101+G117+G132+G149+G166+G183+G199</f>
        <v>4064.5</v>
      </c>
      <c r="H214" s="25">
        <f>H12+H33+H49+H66+H83+H101+H117+H132+H149+H166+H183+H199</f>
        <v>4867.9</v>
      </c>
      <c r="I214" s="25">
        <f>I12+I33+I49+I66+I83+I101+I117+I132+I149+I166+I183+I199</f>
        <v>3573</v>
      </c>
      <c r="J214" s="25">
        <f>J12+J33+J49+J66+J83+J101+J117+J132+J149+J166+J183+J199</f>
        <v>8022.6</v>
      </c>
      <c r="K214" s="25">
        <f>K12+K33+K49+K66+K83+K101+K117+K132+K149+K166+K183+K199-0.1</f>
        <v>13944.199999999999</v>
      </c>
      <c r="L214" s="28" t="e">
        <f>K214/#REF!*100</f>
        <v>#REF!</v>
      </c>
      <c r="M214" s="28">
        <f t="shared" si="114"/>
        <v>390.2658830114749</v>
      </c>
      <c r="N214" s="69"/>
      <c r="O214" s="69"/>
      <c r="P214" s="24">
        <f t="shared" si="83"/>
        <v>173.811482561763</v>
      </c>
      <c r="Q214" s="24">
        <f t="shared" si="117"/>
        <v>71.5894855734675</v>
      </c>
      <c r="R214" s="28">
        <f t="shared" si="82"/>
        <v>156.10810084635708</v>
      </c>
      <c r="S214" s="25">
        <f t="shared" si="115"/>
        <v>67.92770849571318</v>
      </c>
      <c r="T214" s="95">
        <f t="shared" si="118"/>
        <v>156.10810084635708</v>
      </c>
    </row>
    <row r="215" spans="1:20" ht="12.75">
      <c r="A215" s="19" t="s">
        <v>10</v>
      </c>
      <c r="B215" s="58" t="s">
        <v>49</v>
      </c>
      <c r="C215" s="36" t="s">
        <v>21</v>
      </c>
      <c r="D215" s="25">
        <f>D13+D34+D50+D67+D84+D102+D118+D133+D150+D167+D184+D200</f>
        <v>3776</v>
      </c>
      <c r="E215" s="49">
        <f t="shared" si="119"/>
        <v>3782.3</v>
      </c>
      <c r="F215" s="76">
        <f t="shared" si="116"/>
        <v>1891.8000000000002</v>
      </c>
      <c r="G215" s="25">
        <f>G13+G34+G67+G84+G102+G118+G133+G150+G167+G184+G200</f>
        <v>948</v>
      </c>
      <c r="H215" s="25">
        <f>H13+H34+H67+H84+H102+H118+H133+H150+H167+H184+H200</f>
        <v>943.8000000000001</v>
      </c>
      <c r="I215" s="25">
        <f>I13+I34+I67+I84+I102+I118+I133+I150+I167+I184+I200</f>
        <v>935.3000000000001</v>
      </c>
      <c r="J215" s="25">
        <f>J13+J34+J67+J84+J102+J118+J133+J150+J167+J184+J200</f>
        <v>955.1999999999999</v>
      </c>
      <c r="K215" s="25">
        <f>K13+K34+K50+K67+K84+K102+K118+K133+K150+K167+K184+K200-0.1</f>
        <v>1759.8999999999999</v>
      </c>
      <c r="L215" s="28" t="e">
        <f>K215/#REF!*100</f>
        <v>#REF!</v>
      </c>
      <c r="M215" s="28">
        <f t="shared" si="114"/>
        <v>188.16422538223028</v>
      </c>
      <c r="N215" s="69"/>
      <c r="O215" s="69"/>
      <c r="P215" s="24">
        <f t="shared" si="83"/>
        <v>184.24413735343384</v>
      </c>
      <c r="Q215" s="24">
        <f t="shared" si="117"/>
        <v>46.60752118644068</v>
      </c>
      <c r="R215" s="28">
        <f t="shared" si="82"/>
        <v>93.02780420763294</v>
      </c>
      <c r="S215" s="25">
        <f t="shared" si="115"/>
        <v>46.52988922084446</v>
      </c>
      <c r="T215" s="95">
        <f t="shared" si="118"/>
        <v>93.02780420763293</v>
      </c>
    </row>
    <row r="216" spans="1:20" ht="24" hidden="1">
      <c r="A216" s="19" t="s">
        <v>37</v>
      </c>
      <c r="B216" s="58" t="s">
        <v>57</v>
      </c>
      <c r="C216" s="36" t="s">
        <v>38</v>
      </c>
      <c r="D216" s="36"/>
      <c r="E216" s="49">
        <f t="shared" si="119"/>
        <v>0</v>
      </c>
      <c r="F216" s="76">
        <f t="shared" si="116"/>
        <v>0</v>
      </c>
      <c r="G216" s="61">
        <f>G14</f>
        <v>0</v>
      </c>
      <c r="H216" s="61">
        <f>H14</f>
        <v>0</v>
      </c>
      <c r="I216" s="61">
        <f>I14</f>
        <v>0</v>
      </c>
      <c r="J216" s="61">
        <f>J14</f>
        <v>0</v>
      </c>
      <c r="K216" s="61">
        <f>K14</f>
        <v>0</v>
      </c>
      <c r="L216" s="28" t="e">
        <f>K216/#REF!*100</f>
        <v>#REF!</v>
      </c>
      <c r="M216" s="28"/>
      <c r="N216" s="69"/>
      <c r="O216" s="69"/>
      <c r="P216" s="24" t="e">
        <f t="shared" si="83"/>
        <v>#DIV/0!</v>
      </c>
      <c r="Q216" s="24" t="e">
        <f t="shared" si="117"/>
        <v>#DIV/0!</v>
      </c>
      <c r="R216" s="28"/>
      <c r="S216" s="25"/>
      <c r="T216" s="95" t="e">
        <f t="shared" si="118"/>
        <v>#DIV/0!</v>
      </c>
    </row>
    <row r="217" spans="1:20" ht="24">
      <c r="A217" s="20" t="s">
        <v>11</v>
      </c>
      <c r="B217" s="62" t="s">
        <v>48</v>
      </c>
      <c r="C217" s="36" t="s">
        <v>17</v>
      </c>
      <c r="D217" s="25">
        <f>D15+D35+D51+D68+D85+D103+D119+D134+D151+D168+D185+D201</f>
        <v>100788.6</v>
      </c>
      <c r="E217" s="49">
        <f t="shared" si="119"/>
        <v>101226.7</v>
      </c>
      <c r="F217" s="76">
        <f t="shared" si="116"/>
        <v>50581.399999999994</v>
      </c>
      <c r="G217" s="25">
        <f>G15+G35+G51+G68+G85+G103+G119+G134+G151+G168+G185+G201</f>
        <v>25227.799999999992</v>
      </c>
      <c r="H217" s="25">
        <f>H15+H35+H51+H68+H85+H103+H119+H134+H151+H168+H185+H201</f>
        <v>25353.600000000002</v>
      </c>
      <c r="I217" s="25">
        <f>I15+I35+I51+I68+I85+I103+I119+I134+I151+I168+I185+I201</f>
        <v>25518.8</v>
      </c>
      <c r="J217" s="25">
        <f>J15+J35+J51+J68+J85+J103+J119+J134+J151+J168+J185+J201</f>
        <v>25126.5</v>
      </c>
      <c r="K217" s="25">
        <f>K15+K35+K51+K68+K85+K103+K119+K134+K151+K168+K185+K201</f>
        <v>37000.899999999994</v>
      </c>
      <c r="L217" s="28" t="e">
        <f>K217/#REF!*100</f>
        <v>#REF!</v>
      </c>
      <c r="M217" s="28">
        <f t="shared" si="114"/>
        <v>144.99467059579604</v>
      </c>
      <c r="N217" s="69"/>
      <c r="O217" s="69"/>
      <c r="P217" s="24">
        <f t="shared" si="83"/>
        <v>147.25847213101704</v>
      </c>
      <c r="Q217" s="24">
        <f t="shared" si="117"/>
        <v>36.71139394733134</v>
      </c>
      <c r="R217" s="28">
        <f aca="true" t="shared" si="120" ref="R217:R228">K217*100/F217</f>
        <v>73.15119787115422</v>
      </c>
      <c r="S217" s="25">
        <f aca="true" t="shared" si="121" ref="S217:S222">K217*100/E217</f>
        <v>36.55251035546945</v>
      </c>
      <c r="T217" s="95">
        <f t="shared" si="118"/>
        <v>73.15119787115421</v>
      </c>
    </row>
    <row r="218" spans="1:20" ht="12.75">
      <c r="A218" s="37" t="s">
        <v>14</v>
      </c>
      <c r="B218" s="63" t="s">
        <v>47</v>
      </c>
      <c r="C218" s="36" t="s">
        <v>13</v>
      </c>
      <c r="D218" s="25">
        <f>D16</f>
        <v>12245.1</v>
      </c>
      <c r="E218" s="49">
        <f t="shared" si="119"/>
        <v>7888.4</v>
      </c>
      <c r="F218" s="76">
        <f t="shared" si="116"/>
        <v>4256.5</v>
      </c>
      <c r="G218" s="25">
        <f>G16</f>
        <v>1658.6</v>
      </c>
      <c r="H218" s="25">
        <f>H16</f>
        <v>2597.9</v>
      </c>
      <c r="I218" s="25">
        <f>I16</f>
        <v>1816</v>
      </c>
      <c r="J218" s="25">
        <f>J16</f>
        <v>1815.9</v>
      </c>
      <c r="K218" s="25">
        <f>K16</f>
        <v>2565.4</v>
      </c>
      <c r="L218" s="28" t="e">
        <f>K218/#REF!*100</f>
        <v>#REF!</v>
      </c>
      <c r="M218" s="28">
        <f t="shared" si="114"/>
        <v>141.26651982378854</v>
      </c>
      <c r="N218" s="69"/>
      <c r="O218" s="69"/>
      <c r="P218" s="24">
        <f t="shared" si="83"/>
        <v>141.27429924555315</v>
      </c>
      <c r="Q218" s="24">
        <f t="shared" si="117"/>
        <v>20.95042098472042</v>
      </c>
      <c r="R218" s="28">
        <f t="shared" si="120"/>
        <v>60.27017502643017</v>
      </c>
      <c r="S218" s="25">
        <f t="shared" si="121"/>
        <v>32.52117032604838</v>
      </c>
      <c r="T218" s="95">
        <f t="shared" si="118"/>
        <v>60.270175026430174</v>
      </c>
    </row>
    <row r="219" spans="1:20" ht="24">
      <c r="A219" s="38" t="s">
        <v>42</v>
      </c>
      <c r="B219" s="64" t="s">
        <v>58</v>
      </c>
      <c r="C219" s="36" t="s">
        <v>43</v>
      </c>
      <c r="D219" s="65">
        <f>D17+D86+D104+D135+D152+D169+D186+D120+D69+D36</f>
        <v>11283</v>
      </c>
      <c r="E219" s="49">
        <f t="shared" si="119"/>
        <v>12455</v>
      </c>
      <c r="F219" s="76">
        <f t="shared" si="116"/>
        <v>6666.7</v>
      </c>
      <c r="G219" s="65">
        <f>G17+G86+G104+G135+G152+G169+G186+G120+G69+G36</f>
        <v>3800.5</v>
      </c>
      <c r="H219" s="65">
        <f>H17+H86+H104+H135+H152+H169+H186+H120+H69+H36</f>
        <v>2866.2</v>
      </c>
      <c r="I219" s="65">
        <f>I17+I86+I104+I135+I152+I169+I186+I120+I69+I36</f>
        <v>2685.7999999999997</v>
      </c>
      <c r="J219" s="65">
        <f>J17+J86+J104+J135+J152+J169+J186+J120+J69+J36</f>
        <v>3102.5</v>
      </c>
      <c r="K219" s="65">
        <f>K17+K86+K104+K135+K152+K169+K186+K120+K69+K36</f>
        <v>6151.799999999998</v>
      </c>
      <c r="L219" s="28" t="e">
        <f>K219/#REF!*100</f>
        <v>#REF!</v>
      </c>
      <c r="M219" s="28">
        <f t="shared" si="114"/>
        <v>229.04907290192864</v>
      </c>
      <c r="N219" s="69"/>
      <c r="O219" s="69"/>
      <c r="P219" s="24">
        <f t="shared" si="83"/>
        <v>198.2852538275584</v>
      </c>
      <c r="Q219" s="24">
        <f t="shared" si="117"/>
        <v>54.52273331560754</v>
      </c>
      <c r="R219" s="28">
        <f t="shared" si="120"/>
        <v>92.2765386173069</v>
      </c>
      <c r="S219" s="25">
        <f t="shared" si="121"/>
        <v>49.392211963067034</v>
      </c>
      <c r="T219" s="95">
        <f t="shared" si="118"/>
        <v>92.2765386173069</v>
      </c>
    </row>
    <row r="220" spans="1:20" ht="12.75">
      <c r="A220" s="38" t="s">
        <v>18</v>
      </c>
      <c r="B220" s="64" t="s">
        <v>53</v>
      </c>
      <c r="C220" s="36" t="s">
        <v>15</v>
      </c>
      <c r="D220" s="25">
        <f>D18+D37+D52+D70+D87+D105+D121+D153+D170+D187+D202+D136</f>
        <v>22707</v>
      </c>
      <c r="E220" s="49">
        <f t="shared" si="119"/>
        <v>47465.8</v>
      </c>
      <c r="F220" s="76">
        <f t="shared" si="116"/>
        <v>39421.3</v>
      </c>
      <c r="G220" s="25">
        <f>G18+G37+G52+G70+G87+G105+G121+G153+G170+G187+G202+G136</f>
        <v>30345.1</v>
      </c>
      <c r="H220" s="25">
        <f>H18+H37+H52+H70+H87+H105+H121+H153+H170+H187+H202+H136</f>
        <v>9076.2</v>
      </c>
      <c r="I220" s="25">
        <f>I18+I37+I52+I70+I87+I105+I121+I153+I170+I187+I202+I136</f>
        <v>4021.6000000000004</v>
      </c>
      <c r="J220" s="25">
        <f>J18+J37+J52+J70+J87+J105+J121+J153+J170+J187+J202+J136</f>
        <v>4022.8999999999996</v>
      </c>
      <c r="K220" s="25">
        <f>K18+K37+K52+K70+K87+K105+K121+K153+K170+K187+K202+K136+0.1</f>
        <v>11622.8</v>
      </c>
      <c r="L220" s="28" t="e">
        <f>K220/#REF!*100</f>
        <v>#REF!</v>
      </c>
      <c r="M220" s="28">
        <f t="shared" si="114"/>
        <v>289.00934951263173</v>
      </c>
      <c r="N220" s="69"/>
      <c r="O220" s="69"/>
      <c r="P220" s="24">
        <f aca="true" t="shared" si="122" ref="P220:P228">K220*100/J220</f>
        <v>288.91595615103535</v>
      </c>
      <c r="Q220" s="24">
        <f t="shared" si="117"/>
        <v>51.18597789227991</v>
      </c>
      <c r="R220" s="28">
        <f t="shared" si="120"/>
        <v>29.483553307475905</v>
      </c>
      <c r="S220" s="25">
        <f t="shared" si="121"/>
        <v>24.48668304337017</v>
      </c>
      <c r="T220" s="95">
        <f t="shared" si="118"/>
        <v>29.4835533074759</v>
      </c>
    </row>
    <row r="221" spans="1:20" ht="12.75">
      <c r="A221" s="38" t="s">
        <v>60</v>
      </c>
      <c r="B221" s="38"/>
      <c r="C221" s="36" t="s">
        <v>61</v>
      </c>
      <c r="D221" s="25">
        <f>D19</f>
        <v>5</v>
      </c>
      <c r="E221" s="49">
        <f t="shared" si="119"/>
        <v>5.2</v>
      </c>
      <c r="F221" s="76">
        <f t="shared" si="116"/>
        <v>5.2</v>
      </c>
      <c r="G221" s="25">
        <f>G19</f>
        <v>4.2</v>
      </c>
      <c r="H221" s="25">
        <f>H19</f>
        <v>1</v>
      </c>
      <c r="I221" s="25">
        <f>I19</f>
        <v>0</v>
      </c>
      <c r="J221" s="25">
        <f>J19</f>
        <v>0</v>
      </c>
      <c r="K221" s="25">
        <f>K19</f>
        <v>5.2</v>
      </c>
      <c r="L221" s="28" t="e">
        <f>K221/#REF!*100</f>
        <v>#REF!</v>
      </c>
      <c r="M221" s="28" t="e">
        <f t="shared" si="114"/>
        <v>#DIV/0!</v>
      </c>
      <c r="N221" s="69"/>
      <c r="O221" s="69"/>
      <c r="P221" s="24" t="e">
        <f t="shared" si="122"/>
        <v>#DIV/0!</v>
      </c>
      <c r="Q221" s="24">
        <f t="shared" si="117"/>
        <v>104</v>
      </c>
      <c r="R221" s="28">
        <f t="shared" si="120"/>
        <v>100</v>
      </c>
      <c r="S221" s="25">
        <f t="shared" si="121"/>
        <v>100</v>
      </c>
      <c r="T221" s="95">
        <f t="shared" si="118"/>
        <v>100</v>
      </c>
    </row>
    <row r="222" spans="1:20" ht="12.75">
      <c r="A222" s="29" t="s">
        <v>12</v>
      </c>
      <c r="B222" s="60" t="s">
        <v>50</v>
      </c>
      <c r="C222" s="36" t="s">
        <v>7</v>
      </c>
      <c r="D222" s="25">
        <f>D20+D188+D203+D71+D137+D53+D154+D88</f>
        <v>4042.5</v>
      </c>
      <c r="E222" s="49">
        <f t="shared" si="119"/>
        <v>12451.499999999998</v>
      </c>
      <c r="F222" s="76">
        <f t="shared" si="116"/>
        <v>10803.099999999999</v>
      </c>
      <c r="G222" s="25">
        <f aca="true" t="shared" si="123" ref="G222:P222">G20+G188+G203+G71+G137+G53+G154+G88</f>
        <v>7866.4</v>
      </c>
      <c r="H222" s="25">
        <f t="shared" si="123"/>
        <v>2936.7</v>
      </c>
      <c r="I222" s="25">
        <f t="shared" si="123"/>
        <v>819.6</v>
      </c>
      <c r="J222" s="25">
        <f t="shared" si="123"/>
        <v>828.8</v>
      </c>
      <c r="K222" s="25">
        <f>K20+K188+K203+K71+K137+K53+K154+K88+0.1</f>
        <v>12138.699999999999</v>
      </c>
      <c r="L222" s="25" t="e">
        <f t="shared" si="123"/>
        <v>#REF!</v>
      </c>
      <c r="M222" s="25" t="e">
        <f t="shared" si="123"/>
        <v>#DIV/0!</v>
      </c>
      <c r="N222" s="25">
        <f t="shared" si="123"/>
        <v>0</v>
      </c>
      <c r="O222" s="25">
        <f t="shared" si="123"/>
        <v>0</v>
      </c>
      <c r="P222" s="25" t="e">
        <f t="shared" si="123"/>
        <v>#DIV/0!</v>
      </c>
      <c r="Q222" s="24">
        <f t="shared" si="117"/>
        <v>300.27705627705626</v>
      </c>
      <c r="R222" s="28">
        <f t="shared" si="120"/>
        <v>112.36311799390917</v>
      </c>
      <c r="S222" s="25">
        <f t="shared" si="121"/>
        <v>97.48785286913225</v>
      </c>
      <c r="T222" s="95">
        <f t="shared" si="118"/>
        <v>112.36311799390917</v>
      </c>
    </row>
    <row r="223" spans="1:20" ht="12.75">
      <c r="A223" s="39" t="s">
        <v>39</v>
      </c>
      <c r="B223" s="66" t="s">
        <v>57</v>
      </c>
      <c r="C223" s="23" t="s">
        <v>40</v>
      </c>
      <c r="D223" s="25">
        <f>D21+D38+D54+D72+D89+D106+D123+D138+D155+D172+D189+D204</f>
        <v>0</v>
      </c>
      <c r="E223" s="49">
        <f t="shared" si="119"/>
        <v>1.8</v>
      </c>
      <c r="F223" s="76">
        <f t="shared" si="116"/>
        <v>1.8</v>
      </c>
      <c r="G223" s="25">
        <f>G21+G38+G54+G72+G89+G106+G123+G138+G155+G172+G189+G204</f>
        <v>0</v>
      </c>
      <c r="H223" s="25">
        <f>H21+H38+H54+H72+H89+H106+H123+H138+H155+H172+H189+H204</f>
        <v>1.8</v>
      </c>
      <c r="I223" s="25">
        <f>I21+I38+I54+I72+I89+I106+I123+I138+I155+I172+I189+I204</f>
        <v>0</v>
      </c>
      <c r="J223" s="25">
        <f>J21+J38+J54+J72+J89+J106+J123+J138+J155+J172+J189+J204</f>
        <v>0</v>
      </c>
      <c r="K223" s="25">
        <f>K21+K38+K54+K72+K89+K106+K123+K138+K155+K172+K189+K204+0.1</f>
        <v>295.59999999999997</v>
      </c>
      <c r="L223" s="28"/>
      <c r="M223" s="28"/>
      <c r="N223" s="69"/>
      <c r="O223" s="69"/>
      <c r="P223" s="24" t="e">
        <f t="shared" si="122"/>
        <v>#DIV/0!</v>
      </c>
      <c r="Q223" s="24"/>
      <c r="R223" s="28"/>
      <c r="S223" s="25"/>
      <c r="T223" s="95">
        <f t="shared" si="118"/>
        <v>16422.22222222222</v>
      </c>
    </row>
    <row r="224" spans="1:20" ht="12.75">
      <c r="A224" s="33" t="s">
        <v>1</v>
      </c>
      <c r="B224" s="59"/>
      <c r="C224" s="41" t="s">
        <v>0</v>
      </c>
      <c r="D224" s="42">
        <f aca="true" t="shared" si="124" ref="D224:J224">D225+D226+D227</f>
        <v>2614355.8</v>
      </c>
      <c r="E224" s="42">
        <f t="shared" si="124"/>
        <v>2776155.4</v>
      </c>
      <c r="F224" s="42">
        <f t="shared" si="124"/>
        <v>1505819.8</v>
      </c>
      <c r="G224" s="42">
        <f t="shared" si="124"/>
        <v>637162.2000000001</v>
      </c>
      <c r="H224" s="42">
        <f t="shared" si="124"/>
        <v>868657.6</v>
      </c>
      <c r="I224" s="42">
        <f t="shared" si="124"/>
        <v>684358.5</v>
      </c>
      <c r="J224" s="42">
        <f t="shared" si="124"/>
        <v>585977.1</v>
      </c>
      <c r="K224" s="42">
        <f>K225+K226+K227-0.1</f>
        <v>921751.5</v>
      </c>
      <c r="L224" s="35" t="e">
        <f>K224/#REF!*100</f>
        <v>#REF!</v>
      </c>
      <c r="M224" s="35">
        <f>K224/I224*100</f>
        <v>134.6883979668551</v>
      </c>
      <c r="N224" s="69"/>
      <c r="O224" s="69"/>
      <c r="P224" s="46">
        <f t="shared" si="122"/>
        <v>157.30162492698094</v>
      </c>
      <c r="Q224" s="46">
        <f t="shared" si="117"/>
        <v>35.257308894221666</v>
      </c>
      <c r="R224" s="35">
        <f t="shared" si="120"/>
        <v>61.212603261027645</v>
      </c>
      <c r="S224" s="32">
        <f>K224*100/E224</f>
        <v>33.20244608785229</v>
      </c>
      <c r="T224" s="96">
        <f t="shared" si="118"/>
        <v>61.212603261027645</v>
      </c>
    </row>
    <row r="225" spans="1:20" ht="24">
      <c r="A225" s="21" t="s">
        <v>67</v>
      </c>
      <c r="B225" s="58" t="s">
        <v>51</v>
      </c>
      <c r="C225" s="43" t="s">
        <v>20</v>
      </c>
      <c r="D225" s="24">
        <f>D23</f>
        <v>2594355.8</v>
      </c>
      <c r="E225" s="49">
        <f t="shared" si="119"/>
        <v>2734283.2</v>
      </c>
      <c r="F225" s="76">
        <f t="shared" si="116"/>
        <v>1493947.6</v>
      </c>
      <c r="G225" s="24">
        <f>G23</f>
        <v>663793.4</v>
      </c>
      <c r="H225" s="24">
        <f>H23</f>
        <v>830154.2</v>
      </c>
      <c r="I225" s="24">
        <f>I23</f>
        <v>659358.5</v>
      </c>
      <c r="J225" s="24">
        <f>J23-76.3-153.1-18.7</f>
        <v>580977.1</v>
      </c>
      <c r="K225" s="24">
        <f>K23-11.3</f>
        <v>944536.1</v>
      </c>
      <c r="L225" s="28" t="e">
        <f>K225/#REF!*100</f>
        <v>#REF!</v>
      </c>
      <c r="M225" s="28">
        <f>K225/I225*100</f>
        <v>143.2507657063646</v>
      </c>
      <c r="N225" s="69"/>
      <c r="O225" s="69"/>
      <c r="P225" s="24">
        <f t="shared" si="122"/>
        <v>162.57716526176333</v>
      </c>
      <c r="Q225" s="24">
        <f t="shared" si="117"/>
        <v>36.40734628611851</v>
      </c>
      <c r="R225" s="28">
        <f t="shared" si="120"/>
        <v>63.2241786793593</v>
      </c>
      <c r="S225" s="25">
        <f>K225*100/E225</f>
        <v>34.54419425171467</v>
      </c>
      <c r="T225" s="95">
        <f t="shared" si="118"/>
        <v>63.2241786793593</v>
      </c>
    </row>
    <row r="226" spans="1:22" ht="12.75">
      <c r="A226" s="21" t="s">
        <v>2</v>
      </c>
      <c r="B226" s="21" t="s">
        <v>52</v>
      </c>
      <c r="C226" s="44" t="s">
        <v>19</v>
      </c>
      <c r="D226" s="25">
        <f>D24+D93+D109+D175+D141+D57+D41+D158+D75</f>
        <v>20000</v>
      </c>
      <c r="E226" s="49">
        <f t="shared" si="119"/>
        <v>45201.9</v>
      </c>
      <c r="F226" s="76">
        <f t="shared" si="116"/>
        <v>35201.9</v>
      </c>
      <c r="G226" s="25">
        <f>G24+G93+G109+G175+G141+G57+G41+G158+G935</f>
        <v>20005</v>
      </c>
      <c r="H226" s="25">
        <f>H24+H93+H109+H175+H141+H57+H41+H158</f>
        <v>15196.9</v>
      </c>
      <c r="I226" s="25">
        <f>I24+I93+I109+I175+I141+I57+I41+I158</f>
        <v>5000</v>
      </c>
      <c r="J226" s="25">
        <f>J24+J93+J109+J175+J141+J57+J41+J158</f>
        <v>5000</v>
      </c>
      <c r="K226" s="25">
        <f>K24+K93+K109+K175+K141+K57+K41+K158+K75</f>
        <v>9684.9</v>
      </c>
      <c r="L226" s="28" t="e">
        <f>K226/#REF!*100</f>
        <v>#REF!</v>
      </c>
      <c r="M226" s="28">
        <f>K226/I226*100</f>
        <v>193.69799999999998</v>
      </c>
      <c r="N226" s="69"/>
      <c r="O226" s="69"/>
      <c r="P226" s="24">
        <f t="shared" si="122"/>
        <v>193.698</v>
      </c>
      <c r="Q226" s="24">
        <f t="shared" si="117"/>
        <v>48.424499999999995</v>
      </c>
      <c r="R226" s="28">
        <f t="shared" si="120"/>
        <v>27.512435408316026</v>
      </c>
      <c r="S226" s="25">
        <f>K226*100/E226</f>
        <v>21.425869266557378</v>
      </c>
      <c r="T226" s="95">
        <f t="shared" si="118"/>
        <v>27.512435408316026</v>
      </c>
      <c r="V226" s="2"/>
    </row>
    <row r="227" spans="1:20" ht="24">
      <c r="A227" s="21" t="s">
        <v>66</v>
      </c>
      <c r="B227" s="22"/>
      <c r="C227" s="27" t="s">
        <v>63</v>
      </c>
      <c r="D227" s="25">
        <f>D26</f>
        <v>0</v>
      </c>
      <c r="E227" s="49">
        <f t="shared" si="119"/>
        <v>-3329.699999999997</v>
      </c>
      <c r="F227" s="76">
        <f t="shared" si="116"/>
        <v>-23329.699999999997</v>
      </c>
      <c r="G227" s="25">
        <f>G26</f>
        <v>-46636.2</v>
      </c>
      <c r="H227" s="25">
        <f>H26</f>
        <v>23306.5</v>
      </c>
      <c r="I227" s="25">
        <f>I26</f>
        <v>20000</v>
      </c>
      <c r="J227" s="25">
        <f>J26</f>
        <v>0</v>
      </c>
      <c r="K227" s="25">
        <f>K26</f>
        <v>-32469.4</v>
      </c>
      <c r="L227" s="28" t="e">
        <f>K227/#REF!*100</f>
        <v>#REF!</v>
      </c>
      <c r="M227" s="28"/>
      <c r="N227" s="69"/>
      <c r="O227" s="69"/>
      <c r="P227" s="24" t="e">
        <f t="shared" si="122"/>
        <v>#DIV/0!</v>
      </c>
      <c r="Q227" s="46"/>
      <c r="R227" s="28">
        <f>K227*100/F227</f>
        <v>139.17624315786318</v>
      </c>
      <c r="S227" s="25">
        <f>K227*100/E227</f>
        <v>975.1449079496659</v>
      </c>
      <c r="T227" s="95">
        <f t="shared" si="118"/>
        <v>139.17624315786315</v>
      </c>
    </row>
    <row r="228" spans="1:20" ht="12.75">
      <c r="A228" s="29"/>
      <c r="B228" s="30"/>
      <c r="C228" s="31" t="s">
        <v>4</v>
      </c>
      <c r="D228" s="32">
        <f aca="true" t="shared" si="125" ref="D228:K228">D224+D210</f>
        <v>3519401.9</v>
      </c>
      <c r="E228" s="32">
        <f t="shared" si="125"/>
        <v>3712431.8</v>
      </c>
      <c r="F228" s="32">
        <f t="shared" si="125"/>
        <v>2003621.8</v>
      </c>
      <c r="G228" s="32">
        <f t="shared" si="125"/>
        <v>887982</v>
      </c>
      <c r="H228" s="32">
        <f t="shared" si="125"/>
        <v>1115639.8</v>
      </c>
      <c r="I228" s="32">
        <f t="shared" si="125"/>
        <v>890975.8</v>
      </c>
      <c r="J228" s="32">
        <f t="shared" si="125"/>
        <v>817834.2</v>
      </c>
      <c r="K228" s="32">
        <f t="shared" si="125"/>
        <v>1325441.6</v>
      </c>
      <c r="L228" s="35" t="e">
        <f>K228/#REF!*100</f>
        <v>#REF!</v>
      </c>
      <c r="M228" s="35">
        <f>K228/I228*100</f>
        <v>148.76291813986418</v>
      </c>
      <c r="N228" s="69"/>
      <c r="O228" s="70" t="e">
        <f>J228+#REF!+#REF!</f>
        <v>#REF!</v>
      </c>
      <c r="P228" s="46">
        <f t="shared" si="122"/>
        <v>162.06727476058109</v>
      </c>
      <c r="Q228" s="46">
        <f t="shared" si="117"/>
        <v>37.66099006765894</v>
      </c>
      <c r="R228" s="35">
        <f t="shared" si="120"/>
        <v>66.15228482740605</v>
      </c>
      <c r="S228" s="32">
        <f>K228*100/E228</f>
        <v>35.702786513142144</v>
      </c>
      <c r="T228" s="96">
        <f t="shared" si="118"/>
        <v>66.15228482740605</v>
      </c>
    </row>
    <row r="229" spans="3:9" ht="12.75">
      <c r="C229" s="8"/>
      <c r="D229" s="8"/>
      <c r="E229" s="8"/>
      <c r="F229" s="8"/>
      <c r="G229" s="8"/>
      <c r="H229" s="8"/>
      <c r="I229" s="2"/>
    </row>
    <row r="230" spans="3:12" ht="12.75">
      <c r="C230" s="9" t="s">
        <v>59</v>
      </c>
      <c r="E230" s="9"/>
      <c r="F230" s="9"/>
      <c r="G230" s="9"/>
      <c r="H230" s="9"/>
      <c r="I230" s="3"/>
      <c r="J230" s="3"/>
      <c r="K230" s="5"/>
      <c r="L230" s="5"/>
    </row>
    <row r="231" spans="3:13" ht="12.75" hidden="1">
      <c r="C231" s="9"/>
      <c r="D231" s="9"/>
      <c r="E231" s="9"/>
      <c r="F231" s="9"/>
      <c r="G231" s="9"/>
      <c r="H231" s="9"/>
      <c r="I231" s="3" t="s">
        <v>62</v>
      </c>
      <c r="J231" s="3">
        <f>J230-J210</f>
        <v>-231857.09999999998</v>
      </c>
      <c r="K231" s="4"/>
      <c r="L231" s="5"/>
      <c r="M231" s="2" t="e">
        <f>O27+O42+O59+O76+O94+O110+O126+O142+O159+O176+O192+O207-#REF!-#REF!-#REF!-#REF!-#REF!-#REF!-#REF!-#REF!-#REF!-#REF!-#REF!-#REF!-5301.3-7951.9-535.1-7243.1</f>
        <v>#REF!</v>
      </c>
    </row>
    <row r="232" spans="1:13" ht="12.75" hidden="1">
      <c r="A232" s="2"/>
      <c r="C232" s="9"/>
      <c r="D232" s="9"/>
      <c r="E232" s="9"/>
      <c r="F232" s="9"/>
      <c r="G232" s="9"/>
      <c r="H232" s="9"/>
      <c r="I232" s="6"/>
      <c r="J232" s="3"/>
      <c r="K232" s="5"/>
      <c r="L232" s="5"/>
      <c r="M232" s="2" t="e">
        <f>O228-M231</f>
        <v>#REF!</v>
      </c>
    </row>
    <row r="233" spans="3:12" ht="12.75" hidden="1">
      <c r="C233" s="10"/>
      <c r="D233" s="10"/>
      <c r="E233" s="10"/>
      <c r="F233" s="10"/>
      <c r="G233" s="10"/>
      <c r="H233" s="10"/>
      <c r="I233" s="3"/>
      <c r="J233" s="3">
        <f>J232-J224</f>
        <v>-585977.1</v>
      </c>
      <c r="K233" s="5"/>
      <c r="L233" s="5"/>
    </row>
    <row r="234" spans="3:12" ht="12.75" hidden="1">
      <c r="C234" s="10"/>
      <c r="D234" s="10"/>
      <c r="E234" s="10"/>
      <c r="F234" s="10"/>
      <c r="G234" s="10"/>
      <c r="H234" s="10"/>
      <c r="I234" s="6"/>
      <c r="J234" s="3" t="e">
        <f>#REF!+#REF!+#REF!+#REF!+#REF!+#REF!+#REF!+#REF!+#REF!+#REF!</f>
        <v>#REF!</v>
      </c>
      <c r="K234" s="5"/>
      <c r="L234" s="5"/>
    </row>
    <row r="235" spans="1:12" ht="12.75" hidden="1">
      <c r="A235" s="2">
        <f>J210+J224</f>
        <v>817834.2</v>
      </c>
      <c r="C235" s="18"/>
      <c r="D235" s="18"/>
      <c r="E235" s="18"/>
      <c r="F235" s="18"/>
      <c r="G235" s="18"/>
      <c r="H235" s="18"/>
      <c r="I235" s="6"/>
      <c r="J235" s="3" t="e">
        <f>J234-#REF!</f>
        <v>#REF!</v>
      </c>
      <c r="K235" s="5"/>
      <c r="L235" s="5"/>
    </row>
    <row r="236" spans="1:12" ht="12.75" hidden="1">
      <c r="A236" s="2" t="e">
        <f>#REF!+#REF!</f>
        <v>#REF!</v>
      </c>
      <c r="C236" s="10"/>
      <c r="D236" s="10"/>
      <c r="E236" s="10"/>
      <c r="F236" s="10"/>
      <c r="G236" s="10"/>
      <c r="H236" s="10"/>
      <c r="I236" s="6"/>
      <c r="J236" s="3" t="e">
        <f>J230+J232+J234</f>
        <v>#REF!</v>
      </c>
      <c r="K236" s="5"/>
      <c r="L236" s="5"/>
    </row>
    <row r="237" spans="1:12" ht="12.75" hidden="1">
      <c r="A237" s="2" t="e">
        <f>J210+#REF!</f>
        <v>#REF!</v>
      </c>
      <c r="C237" s="9"/>
      <c r="D237" s="9"/>
      <c r="E237" s="9"/>
      <c r="F237" s="9"/>
      <c r="G237" s="9"/>
      <c r="H237" s="9"/>
      <c r="I237" s="6"/>
      <c r="J237" s="3">
        <f>J27+J42+J59+J76+J94+J110+J126+J142+J159+J176+J192+J207-J205-J190-J173-J156-J139-J124-J107-J91-J73-J39-J55</f>
        <v>818082.2999999997</v>
      </c>
      <c r="K237" s="5"/>
      <c r="L237" s="5"/>
    </row>
    <row r="238" spans="1:12" ht="12.75" hidden="1">
      <c r="A238" s="2" t="e">
        <f>J224+#REF!</f>
        <v>#REF!</v>
      </c>
      <c r="C238" s="9"/>
      <c r="D238" s="9"/>
      <c r="E238" s="9"/>
      <c r="F238" s="9"/>
      <c r="G238" s="9"/>
      <c r="H238" s="9"/>
      <c r="I238" s="6"/>
      <c r="J238" s="3">
        <f>J237-J228</f>
        <v>248.0999999997439</v>
      </c>
      <c r="K238" s="5"/>
      <c r="L238" s="5"/>
    </row>
    <row r="239" spans="3:12" ht="12.75" hidden="1">
      <c r="C239" s="9"/>
      <c r="D239" s="9"/>
      <c r="E239" s="9"/>
      <c r="F239" s="9"/>
      <c r="G239" s="9"/>
      <c r="H239" s="9"/>
      <c r="I239" s="6"/>
      <c r="J239" s="3"/>
      <c r="K239" s="5"/>
      <c r="L239" s="5"/>
    </row>
    <row r="240" spans="3:12" ht="12.75" hidden="1">
      <c r="C240" s="8"/>
      <c r="D240" s="8"/>
      <c r="E240" s="8"/>
      <c r="F240" s="8"/>
      <c r="G240" s="8"/>
      <c r="H240" s="8"/>
      <c r="I240" s="5"/>
      <c r="J240" s="4"/>
      <c r="K240" s="5"/>
      <c r="L240" s="5"/>
    </row>
    <row r="241" spans="3:12" ht="12.75">
      <c r="C241" s="8"/>
      <c r="D241" s="8"/>
      <c r="E241" s="8"/>
      <c r="F241" s="8"/>
      <c r="G241" s="83">
        <f>G8+G30+G45+G62+G79+G97+G113+G129+G145+G162+G179+G195</f>
        <v>250819.79999999996</v>
      </c>
      <c r="H241" s="83">
        <f>H8+H30+H45+H62+H79+H97+H113+H129+H145+H162+H179+H195</f>
        <v>246982.20000000004</v>
      </c>
      <c r="I241" s="83">
        <f>I8+I30+I45+I62+I79+I97+I113+I129+I145+I162+I179+I195</f>
        <v>206617.29999999996</v>
      </c>
      <c r="J241" s="83">
        <f>J8+J30+J45+J62+J79+J97+J113+J129+J145+J162+J179+J195</f>
        <v>231857.09999999998</v>
      </c>
      <c r="K241" s="83"/>
      <c r="L241" s="5"/>
    </row>
    <row r="242" spans="3:12" ht="12.75">
      <c r="C242" s="8"/>
      <c r="D242" s="8"/>
      <c r="E242" s="8"/>
      <c r="F242" s="8"/>
      <c r="G242" s="8"/>
      <c r="H242" s="8"/>
      <c r="I242" s="5"/>
      <c r="J242" s="4"/>
      <c r="K242" s="5"/>
      <c r="L242" s="5"/>
    </row>
    <row r="243" spans="3:12" ht="12.75">
      <c r="C243" s="8"/>
      <c r="D243" s="98">
        <f>D59+D76+D94+D110+D126+D142+D159+D176+D192+D207</f>
        <v>453763.3</v>
      </c>
      <c r="E243" s="8"/>
      <c r="F243" s="8"/>
      <c r="G243" s="83">
        <f>G205+G190+G173+G156+G139+G124+G107+G91+G73+G55+G39</f>
        <v>82569.50000000001</v>
      </c>
      <c r="H243" s="83">
        <f>H205+H190+H173+H156+H139+H124+H107+H91+H73+H55+H39</f>
        <v>101867.2</v>
      </c>
      <c r="I243" s="83">
        <f>I205+I190+I173+I156+I139+I124+I107+I91+I73+I55+I39</f>
        <v>87710.40000000001</v>
      </c>
      <c r="J243" s="83">
        <f>J205+J190+J173+J156+J139+J124+J107+J91+J73+J55+J39</f>
        <v>70568.09999999999</v>
      </c>
      <c r="K243" s="83"/>
      <c r="L243" s="5"/>
    </row>
    <row r="244" spans="9:12" ht="12.75">
      <c r="I244" s="5"/>
      <c r="J244" s="4"/>
      <c r="K244" s="5"/>
      <c r="L244" s="5"/>
    </row>
    <row r="245" spans="9:12" ht="12.75">
      <c r="I245" s="5"/>
      <c r="J245" s="4"/>
      <c r="K245" s="5"/>
      <c r="L245" s="5"/>
    </row>
    <row r="246" spans="9:12" ht="12.75">
      <c r="I246" s="5"/>
      <c r="J246" s="4"/>
      <c r="K246" s="5"/>
      <c r="L246" s="5"/>
    </row>
    <row r="247" spans="3:12" ht="12.75">
      <c r="C247" s="8"/>
      <c r="D247" s="8"/>
      <c r="E247" s="8"/>
      <c r="F247" s="8"/>
      <c r="G247" s="8"/>
      <c r="H247" s="8"/>
      <c r="I247" s="5"/>
      <c r="J247" s="4"/>
      <c r="K247" s="5"/>
      <c r="L247" s="5"/>
    </row>
    <row r="248" spans="3:12" ht="12.75">
      <c r="C248" s="8"/>
      <c r="D248" s="8"/>
      <c r="E248" s="8"/>
      <c r="F248" s="8"/>
      <c r="G248" s="8"/>
      <c r="H248" s="8"/>
      <c r="I248" s="5"/>
      <c r="J248" s="4"/>
      <c r="K248" s="5"/>
      <c r="L248" s="5"/>
    </row>
    <row r="249" spans="3:12" ht="12.75">
      <c r="C249" s="8"/>
      <c r="D249" s="8"/>
      <c r="E249" s="8"/>
      <c r="F249" s="8"/>
      <c r="G249" s="8"/>
      <c r="H249" s="8"/>
      <c r="I249" s="5"/>
      <c r="J249" s="4"/>
      <c r="K249" s="5"/>
      <c r="L249" s="5"/>
    </row>
    <row r="250" spans="3:12" ht="12.75">
      <c r="C250" s="8"/>
      <c r="D250" s="8"/>
      <c r="E250" s="8"/>
      <c r="F250" s="8"/>
      <c r="G250" s="8"/>
      <c r="H250" s="8"/>
      <c r="I250" s="5"/>
      <c r="J250" s="4"/>
      <c r="K250" s="5"/>
      <c r="L250" s="5"/>
    </row>
    <row r="251" spans="3:12" ht="12.75">
      <c r="C251" s="8"/>
      <c r="D251" s="8"/>
      <c r="E251" s="8"/>
      <c r="F251" s="8"/>
      <c r="G251" s="8"/>
      <c r="H251" s="8"/>
      <c r="I251" s="4"/>
      <c r="J251" s="4"/>
      <c r="K251" s="4"/>
      <c r="L251" s="5"/>
    </row>
    <row r="252" spans="3:12" ht="12.75">
      <c r="C252" s="8"/>
      <c r="D252" s="8"/>
      <c r="E252" s="8"/>
      <c r="F252" s="8"/>
      <c r="G252" s="8"/>
      <c r="H252" s="8"/>
      <c r="I252" s="5"/>
      <c r="J252" s="5"/>
      <c r="K252" s="5"/>
      <c r="L252" s="5"/>
    </row>
    <row r="253" spans="3:12" ht="12.75">
      <c r="C253" s="8"/>
      <c r="D253" s="8"/>
      <c r="E253" s="8"/>
      <c r="F253" s="8"/>
      <c r="G253" s="8"/>
      <c r="H253" s="8"/>
      <c r="I253" s="7"/>
      <c r="J253" s="4"/>
      <c r="K253" s="5"/>
      <c r="L253" s="5"/>
    </row>
  </sheetData>
  <sheetProtection/>
  <mergeCells count="44">
    <mergeCell ref="T4:T6"/>
    <mergeCell ref="A1:S1"/>
    <mergeCell ref="A209:S209"/>
    <mergeCell ref="R4:R6"/>
    <mergeCell ref="K4:K6"/>
    <mergeCell ref="L4:L6"/>
    <mergeCell ref="M4:M6"/>
    <mergeCell ref="N4:N6"/>
    <mergeCell ref="O4:O6"/>
    <mergeCell ref="P4:P6"/>
    <mergeCell ref="S4:S6"/>
    <mergeCell ref="A161:P161"/>
    <mergeCell ref="A28:M28"/>
    <mergeCell ref="A60:M60"/>
    <mergeCell ref="Q4:Q6"/>
    <mergeCell ref="E4:E6"/>
    <mergeCell ref="F4:F6"/>
    <mergeCell ref="G4:G6"/>
    <mergeCell ref="H4:H6"/>
    <mergeCell ref="A144:P144"/>
    <mergeCell ref="A143:M143"/>
    <mergeCell ref="A127:M127"/>
    <mergeCell ref="I4:I6"/>
    <mergeCell ref="J4:J6"/>
    <mergeCell ref="A78:P78"/>
    <mergeCell ref="A96:P96"/>
    <mergeCell ref="A112:P112"/>
    <mergeCell ref="A128:P128"/>
    <mergeCell ref="A208:M208"/>
    <mergeCell ref="A193:M193"/>
    <mergeCell ref="A160:M160"/>
    <mergeCell ref="A177:M177"/>
    <mergeCell ref="A178:P178"/>
    <mergeCell ref="A194:P194"/>
    <mergeCell ref="A2:M2"/>
    <mergeCell ref="A95:M95"/>
    <mergeCell ref="A111:M111"/>
    <mergeCell ref="A29:P29"/>
    <mergeCell ref="A44:P44"/>
    <mergeCell ref="D4:D6"/>
    <mergeCell ref="A7:P7"/>
    <mergeCell ref="A77:M77"/>
    <mergeCell ref="C43:M43"/>
    <mergeCell ref="A61:P61"/>
  </mergeCells>
  <printOptions/>
  <pageMargins left="0" right="0" top="0.15748031496062992" bottom="0.15748031496062992" header="0.15748031496062992" footer="0.1968503937007874"/>
  <pageSetup fitToHeight="7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PageLayoutView="0" workbookViewId="0" topLeftCell="B58">
      <selection activeCell="E27" sqref="E27"/>
    </sheetView>
  </sheetViews>
  <sheetFormatPr defaultColWidth="9.00390625" defaultRowHeight="12.75"/>
  <cols>
    <col min="2" max="2" width="65.00390625" style="0" customWidth="1"/>
    <col min="3" max="3" width="15.25390625" style="0" customWidth="1"/>
    <col min="4" max="4" width="13.125" style="0" customWidth="1"/>
    <col min="5" max="5" width="8.875" style="0" customWidth="1"/>
    <col min="6" max="7" width="13.125" style="0" customWidth="1"/>
    <col min="8" max="8" width="8.75390625" style="0" customWidth="1"/>
    <col min="9" max="9" width="15.00390625" style="0" customWidth="1"/>
    <col min="10" max="10" width="15.25390625" style="0" customWidth="1"/>
  </cols>
  <sheetData>
    <row r="1" spans="1:11" ht="15.75">
      <c r="A1" s="120" t="s">
        <v>90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3.5" thickBot="1">
      <c r="A2" s="121"/>
      <c r="B2" s="122"/>
      <c r="C2" s="123"/>
      <c r="D2" s="124"/>
      <c r="E2" s="125"/>
      <c r="F2" s="126"/>
      <c r="G2" s="127"/>
      <c r="H2" s="127"/>
      <c r="I2" s="128"/>
      <c r="J2" s="129"/>
      <c r="K2" s="129"/>
    </row>
    <row r="3" spans="1:11" ht="15">
      <c r="A3" s="130" t="s">
        <v>91</v>
      </c>
      <c r="B3" s="131" t="s">
        <v>92</v>
      </c>
      <c r="C3" s="132" t="s">
        <v>93</v>
      </c>
      <c r="D3" s="132"/>
      <c r="E3" s="132"/>
      <c r="F3" s="133" t="s">
        <v>94</v>
      </c>
      <c r="G3" s="133"/>
      <c r="H3" s="133"/>
      <c r="I3" s="134" t="s">
        <v>95</v>
      </c>
      <c r="J3" s="134"/>
      <c r="K3" s="135"/>
    </row>
    <row r="4" spans="1:11" ht="12.75">
      <c r="A4" s="136"/>
      <c r="B4" s="137"/>
      <c r="C4" s="138" t="s">
        <v>96</v>
      </c>
      <c r="D4" s="138" t="s">
        <v>97</v>
      </c>
      <c r="E4" s="138" t="s">
        <v>98</v>
      </c>
      <c r="F4" s="138" t="s">
        <v>96</v>
      </c>
      <c r="G4" s="139" t="s">
        <v>97</v>
      </c>
      <c r="H4" s="139" t="s">
        <v>98</v>
      </c>
      <c r="I4" s="140" t="s">
        <v>96</v>
      </c>
      <c r="J4" s="141" t="s">
        <v>99</v>
      </c>
      <c r="K4" s="142" t="s">
        <v>98</v>
      </c>
    </row>
    <row r="5" spans="1:11" ht="12.75">
      <c r="A5" s="136"/>
      <c r="B5" s="137"/>
      <c r="C5" s="143"/>
      <c r="D5" s="138"/>
      <c r="E5" s="144"/>
      <c r="F5" s="143"/>
      <c r="G5" s="139"/>
      <c r="H5" s="143"/>
      <c r="I5" s="145"/>
      <c r="J5" s="141"/>
      <c r="K5" s="146"/>
    </row>
    <row r="6" spans="1:11" ht="12.75">
      <c r="A6" s="136"/>
      <c r="B6" s="147" t="s">
        <v>100</v>
      </c>
      <c r="C6" s="147"/>
      <c r="D6" s="147"/>
      <c r="E6" s="147"/>
      <c r="F6" s="147"/>
      <c r="G6" s="147"/>
      <c r="H6" s="147"/>
      <c r="I6" s="147"/>
      <c r="J6" s="147"/>
      <c r="K6" s="148"/>
    </row>
    <row r="7" spans="1:11" ht="12.75">
      <c r="A7" s="136"/>
      <c r="B7" s="147"/>
      <c r="C7" s="147"/>
      <c r="D7" s="147"/>
      <c r="E7" s="147"/>
      <c r="F7" s="147"/>
      <c r="G7" s="147"/>
      <c r="H7" s="147"/>
      <c r="I7" s="147"/>
      <c r="J7" s="147"/>
      <c r="K7" s="148"/>
    </row>
    <row r="8" spans="1:11" ht="12.75">
      <c r="A8" s="136"/>
      <c r="B8" s="147"/>
      <c r="C8" s="147"/>
      <c r="D8" s="147"/>
      <c r="E8" s="147"/>
      <c r="F8" s="147"/>
      <c r="G8" s="147"/>
      <c r="H8" s="147"/>
      <c r="I8" s="147"/>
      <c r="J8" s="147"/>
      <c r="K8" s="148"/>
    </row>
    <row r="9" spans="1:11" ht="15">
      <c r="A9" s="149" t="s">
        <v>101</v>
      </c>
      <c r="B9" s="150" t="s">
        <v>102</v>
      </c>
      <c r="C9" s="151">
        <f>SUM(C10:C16)</f>
        <v>247102.6</v>
      </c>
      <c r="D9" s="151">
        <f>SUM(D10:D16)</f>
        <v>109776.8</v>
      </c>
      <c r="E9" s="151">
        <f>D9/C9*100</f>
        <v>44.42559487435583</v>
      </c>
      <c r="F9" s="151">
        <f>F10+F11+F12+F13+F14+F15+F16</f>
        <v>189732.3</v>
      </c>
      <c r="G9" s="151">
        <f>SUM(G10:G16)</f>
        <v>80510.20000000001</v>
      </c>
      <c r="H9" s="152">
        <f>G9/F9*100</f>
        <v>42.433576149132236</v>
      </c>
      <c r="I9" s="151">
        <f>SUM(I10:I16)</f>
        <v>436516.80000000005</v>
      </c>
      <c r="J9" s="151">
        <f>SUM(J10:J16)</f>
        <v>190205.7</v>
      </c>
      <c r="K9" s="153">
        <f>J9/I9*100</f>
        <v>43.57351194730649</v>
      </c>
    </row>
    <row r="10" spans="1:11" ht="15">
      <c r="A10" s="154" t="s">
        <v>103</v>
      </c>
      <c r="B10" s="155" t="s">
        <v>104</v>
      </c>
      <c r="C10" s="156">
        <v>3920</v>
      </c>
      <c r="D10" s="156">
        <v>2150</v>
      </c>
      <c r="E10" s="156">
        <f>D10/C10*100</f>
        <v>54.8469387755102</v>
      </c>
      <c r="F10" s="157">
        <v>39809.4</v>
      </c>
      <c r="G10" s="157">
        <v>17065.7</v>
      </c>
      <c r="H10" s="157">
        <f>G10/F10*100</f>
        <v>42.86851849060775</v>
      </c>
      <c r="I10" s="158">
        <f aca="true" t="shared" si="0" ref="I10:J75">C10+F10</f>
        <v>43729.4</v>
      </c>
      <c r="J10" s="159">
        <f t="shared" si="0"/>
        <v>19215.7</v>
      </c>
      <c r="K10" s="160">
        <f aca="true" t="shared" si="1" ref="K10:K78">J10/I10*100</f>
        <v>43.94229054137491</v>
      </c>
    </row>
    <row r="11" spans="1:11" ht="30">
      <c r="A11" s="154" t="s">
        <v>105</v>
      </c>
      <c r="B11" s="155" t="s">
        <v>106</v>
      </c>
      <c r="C11" s="156">
        <v>7231</v>
      </c>
      <c r="D11" s="156">
        <v>3610.3</v>
      </c>
      <c r="E11" s="156">
        <f aca="true" t="shared" si="2" ref="E11:E18">D11/C11*100</f>
        <v>49.928087401465916</v>
      </c>
      <c r="F11" s="157">
        <v>0</v>
      </c>
      <c r="G11" s="157"/>
      <c r="H11" s="157">
        <v>0</v>
      </c>
      <c r="I11" s="158">
        <f t="shared" si="0"/>
        <v>7231</v>
      </c>
      <c r="J11" s="159">
        <f t="shared" si="0"/>
        <v>3610.3</v>
      </c>
      <c r="K11" s="160">
        <f t="shared" si="1"/>
        <v>49.928087401465916</v>
      </c>
    </row>
    <row r="12" spans="1:11" ht="15">
      <c r="A12" s="154" t="s">
        <v>107</v>
      </c>
      <c r="B12" s="155" t="s">
        <v>108</v>
      </c>
      <c r="C12" s="156">
        <v>128781.2</v>
      </c>
      <c r="D12" s="156">
        <v>63826.2</v>
      </c>
      <c r="E12" s="156">
        <f t="shared" si="2"/>
        <v>49.561737272210536</v>
      </c>
      <c r="F12" s="157">
        <v>119635.3</v>
      </c>
      <c r="G12" s="157">
        <v>51310.4</v>
      </c>
      <c r="H12" s="157">
        <f aca="true" t="shared" si="3" ref="H12:H18">G12/F12*100</f>
        <v>42.88901352694397</v>
      </c>
      <c r="I12" s="158">
        <f t="shared" si="0"/>
        <v>248416.5</v>
      </c>
      <c r="J12" s="159">
        <f t="shared" si="0"/>
        <v>115136.6</v>
      </c>
      <c r="K12" s="160">
        <f t="shared" si="1"/>
        <v>46.348209559348916</v>
      </c>
    </row>
    <row r="13" spans="1:11" ht="15">
      <c r="A13" s="154" t="s">
        <v>109</v>
      </c>
      <c r="B13" s="155" t="s">
        <v>110</v>
      </c>
      <c r="C13" s="156">
        <v>2</v>
      </c>
      <c r="D13" s="156"/>
      <c r="E13" s="156">
        <f t="shared" si="2"/>
        <v>0</v>
      </c>
      <c r="F13" s="157">
        <v>0</v>
      </c>
      <c r="G13" s="157"/>
      <c r="H13" s="157">
        <v>0</v>
      </c>
      <c r="I13" s="158">
        <f t="shared" si="0"/>
        <v>2</v>
      </c>
      <c r="J13" s="159">
        <f t="shared" si="0"/>
        <v>0</v>
      </c>
      <c r="K13" s="161"/>
    </row>
    <row r="14" spans="1:11" ht="15">
      <c r="A14" s="154" t="s">
        <v>111</v>
      </c>
      <c r="B14" s="155" t="s">
        <v>112</v>
      </c>
      <c r="C14" s="156">
        <v>28795.4</v>
      </c>
      <c r="D14" s="156">
        <v>14781.6</v>
      </c>
      <c r="E14" s="156">
        <f t="shared" si="2"/>
        <v>51.333199052626455</v>
      </c>
      <c r="F14" s="157">
        <v>0</v>
      </c>
      <c r="G14" s="157"/>
      <c r="H14" s="157">
        <v>0</v>
      </c>
      <c r="I14" s="158">
        <f>C14+F14</f>
        <v>28795.4</v>
      </c>
      <c r="J14" s="159">
        <f>D14+G14</f>
        <v>14781.6</v>
      </c>
      <c r="K14" s="160">
        <f t="shared" si="1"/>
        <v>51.333199052626455</v>
      </c>
    </row>
    <row r="15" spans="1:11" ht="15">
      <c r="A15" s="162" t="s">
        <v>113</v>
      </c>
      <c r="B15" s="155" t="s">
        <v>114</v>
      </c>
      <c r="C15" s="156">
        <v>4036</v>
      </c>
      <c r="D15" s="156"/>
      <c r="E15" s="156">
        <f t="shared" si="2"/>
        <v>0</v>
      </c>
      <c r="F15" s="157">
        <v>939.8</v>
      </c>
      <c r="G15" s="157"/>
      <c r="H15" s="157">
        <f t="shared" si="3"/>
        <v>0</v>
      </c>
      <c r="I15" s="158">
        <f t="shared" si="0"/>
        <v>4975.8</v>
      </c>
      <c r="J15" s="159">
        <f t="shared" si="0"/>
        <v>0</v>
      </c>
      <c r="K15" s="160">
        <f t="shared" si="1"/>
        <v>0</v>
      </c>
    </row>
    <row r="16" spans="1:11" ht="15">
      <c r="A16" s="154" t="s">
        <v>115</v>
      </c>
      <c r="B16" s="155" t="s">
        <v>116</v>
      </c>
      <c r="C16" s="156">
        <v>74337</v>
      </c>
      <c r="D16" s="156">
        <v>25408.7</v>
      </c>
      <c r="E16" s="156">
        <f t="shared" si="2"/>
        <v>34.18042159355368</v>
      </c>
      <c r="F16" s="157">
        <v>29347.8</v>
      </c>
      <c r="G16" s="157">
        <v>12134.1</v>
      </c>
      <c r="H16" s="157">
        <f>G16/F16*100</f>
        <v>41.34585897409686</v>
      </c>
      <c r="I16" s="158">
        <f>C16+F16-70-248.1</f>
        <v>103366.7</v>
      </c>
      <c r="J16" s="159">
        <f>D16+G16-70-11.3</f>
        <v>37461.5</v>
      </c>
      <c r="K16" s="160">
        <f t="shared" si="1"/>
        <v>36.24136206341114</v>
      </c>
    </row>
    <row r="17" spans="1:11" ht="15">
      <c r="A17" s="149" t="s">
        <v>117</v>
      </c>
      <c r="B17" s="150" t="s">
        <v>118</v>
      </c>
      <c r="C17" s="151">
        <f aca="true" t="shared" si="4" ref="C17:J17">C18</f>
        <v>3043.8</v>
      </c>
      <c r="D17" s="151">
        <f t="shared" si="4"/>
        <v>1644.9</v>
      </c>
      <c r="E17" s="151">
        <f t="shared" si="4"/>
        <v>54.04100137985412</v>
      </c>
      <c r="F17" s="151">
        <f t="shared" si="4"/>
        <v>3043.8</v>
      </c>
      <c r="G17" s="151">
        <f t="shared" si="4"/>
        <v>876.8</v>
      </c>
      <c r="H17" s="163">
        <f t="shared" si="4"/>
        <v>28.80609764110651</v>
      </c>
      <c r="I17" s="151">
        <f t="shared" si="4"/>
        <v>3043.8</v>
      </c>
      <c r="J17" s="151">
        <f t="shared" si="4"/>
        <v>876.7999999999997</v>
      </c>
      <c r="K17" s="164">
        <f t="shared" si="1"/>
        <v>28.806097641106497</v>
      </c>
    </row>
    <row r="18" spans="1:11" ht="15">
      <c r="A18" s="154" t="s">
        <v>119</v>
      </c>
      <c r="B18" s="155" t="s">
        <v>120</v>
      </c>
      <c r="C18" s="156">
        <v>3043.8</v>
      </c>
      <c r="D18" s="156">
        <v>1644.9</v>
      </c>
      <c r="E18" s="156">
        <f t="shared" si="2"/>
        <v>54.04100137985412</v>
      </c>
      <c r="F18" s="157">
        <v>3043.8</v>
      </c>
      <c r="G18" s="157">
        <v>876.8</v>
      </c>
      <c r="H18" s="157">
        <f t="shared" si="3"/>
        <v>28.80609764110651</v>
      </c>
      <c r="I18" s="158">
        <f>C18+F18-3043.8</f>
        <v>3043.8</v>
      </c>
      <c r="J18" s="159">
        <f>D18+G18-1644.9</f>
        <v>876.7999999999997</v>
      </c>
      <c r="K18" s="160">
        <f t="shared" si="1"/>
        <v>28.806097641106497</v>
      </c>
    </row>
    <row r="19" spans="1:11" ht="12.75">
      <c r="A19" s="165" t="s">
        <v>121</v>
      </c>
      <c r="B19" s="166" t="s">
        <v>122</v>
      </c>
      <c r="C19" s="167">
        <f>C22+C23+C21</f>
        <v>15545.8</v>
      </c>
      <c r="D19" s="167">
        <f>D22+D23+D21</f>
        <v>2099.5</v>
      </c>
      <c r="E19" s="167">
        <f>D19/C19*100</f>
        <v>13.505255438768026</v>
      </c>
      <c r="F19" s="167">
        <f>F22+F23+F21</f>
        <v>8024.7</v>
      </c>
      <c r="G19" s="167">
        <f>G22+G23+G21</f>
        <v>1965.5</v>
      </c>
      <c r="H19" s="167">
        <f>G19/F19*100</f>
        <v>24.493127468939647</v>
      </c>
      <c r="I19" s="167">
        <f>I22+I23+I21</f>
        <v>20910.999999999996</v>
      </c>
      <c r="J19" s="167">
        <f>SUM(J21:J23)</f>
        <v>3631.1</v>
      </c>
      <c r="K19" s="167">
        <f>J19/I19*100</f>
        <v>17.36454497632825</v>
      </c>
    </row>
    <row r="20" spans="1:11" ht="12.75">
      <c r="A20" s="165"/>
      <c r="B20" s="166"/>
      <c r="C20" s="167"/>
      <c r="D20" s="167"/>
      <c r="E20" s="167"/>
      <c r="F20" s="167"/>
      <c r="G20" s="167"/>
      <c r="H20" s="167"/>
      <c r="I20" s="167"/>
      <c r="J20" s="167"/>
      <c r="K20" s="167"/>
    </row>
    <row r="21" spans="1:11" ht="15">
      <c r="A21" s="162" t="s">
        <v>123</v>
      </c>
      <c r="B21" s="155" t="s">
        <v>124</v>
      </c>
      <c r="C21" s="156">
        <v>6151.7</v>
      </c>
      <c r="D21" s="156">
        <v>1854.6</v>
      </c>
      <c r="E21" s="156">
        <f aca="true" t="shared" si="5" ref="E21:E89">D21/C21*100</f>
        <v>30.147764032706405</v>
      </c>
      <c r="F21" s="157">
        <v>761</v>
      </c>
      <c r="G21" s="157">
        <v>182</v>
      </c>
      <c r="H21" s="157">
        <f>G21/F21*100</f>
        <v>23.915900131406044</v>
      </c>
      <c r="I21" s="158">
        <f>C21+F21-761</f>
        <v>6151.7</v>
      </c>
      <c r="J21" s="159">
        <f>D21+G21-253.9</f>
        <v>1782.6999999999998</v>
      </c>
      <c r="K21" s="160">
        <f>J21/I21*100</f>
        <v>28.978981419770143</v>
      </c>
    </row>
    <row r="22" spans="1:11" ht="15">
      <c r="A22" s="154" t="s">
        <v>125</v>
      </c>
      <c r="B22" s="155" t="s">
        <v>126</v>
      </c>
      <c r="C22" s="156">
        <v>7460.4</v>
      </c>
      <c r="D22" s="156">
        <v>244.9</v>
      </c>
      <c r="E22" s="156">
        <f t="shared" si="5"/>
        <v>3.2826658088038174</v>
      </c>
      <c r="F22" s="157">
        <v>6931.7</v>
      </c>
      <c r="G22" s="157">
        <v>1783.5</v>
      </c>
      <c r="H22" s="157">
        <f>G22/F22*100</f>
        <v>25.7296189967829</v>
      </c>
      <c r="I22" s="158">
        <f>C22+F22-1666.2</f>
        <v>12725.899999999998</v>
      </c>
      <c r="J22" s="159">
        <f>D22+G22-180</f>
        <v>1848.4</v>
      </c>
      <c r="K22" s="160">
        <f>J22/I22*100</f>
        <v>14.524709450805053</v>
      </c>
    </row>
    <row r="23" spans="1:11" ht="30">
      <c r="A23" s="162" t="s">
        <v>127</v>
      </c>
      <c r="B23" s="155" t="s">
        <v>128</v>
      </c>
      <c r="C23" s="156">
        <v>1933.7</v>
      </c>
      <c r="D23" s="156">
        <v>0</v>
      </c>
      <c r="E23" s="156">
        <f t="shared" si="5"/>
        <v>0</v>
      </c>
      <c r="F23" s="157">
        <v>332</v>
      </c>
      <c r="G23" s="157">
        <v>0</v>
      </c>
      <c r="H23" s="157">
        <f>G23/F23*100</f>
        <v>0</v>
      </c>
      <c r="I23" s="158">
        <f>C23+F23-232.3</f>
        <v>2033.3999999999999</v>
      </c>
      <c r="J23" s="158">
        <f>D23+G23</f>
        <v>0</v>
      </c>
      <c r="K23" s="160">
        <f>J23/I23*100</f>
        <v>0</v>
      </c>
    </row>
    <row r="24" spans="1:11" ht="15">
      <c r="A24" s="149" t="s">
        <v>129</v>
      </c>
      <c r="B24" s="150" t="s">
        <v>130</v>
      </c>
      <c r="C24" s="151">
        <f>SUM(C25:C43)</f>
        <v>268348.5</v>
      </c>
      <c r="D24" s="151">
        <f>SUM(D25:D43)</f>
        <v>53626.39999999999</v>
      </c>
      <c r="E24" s="151">
        <f>D24/C24*100</f>
        <v>19.983864266057008</v>
      </c>
      <c r="F24" s="151">
        <f>SUM(F25:F43)</f>
        <v>98777.4</v>
      </c>
      <c r="G24" s="151">
        <f>SUM(G25:G43)</f>
        <v>20386.2</v>
      </c>
      <c r="H24" s="152">
        <f>G24/F24*100</f>
        <v>20.63852662653603</v>
      </c>
      <c r="I24" s="151">
        <f>SUM(I25:I43)</f>
        <v>340954.30000000005</v>
      </c>
      <c r="J24" s="151">
        <f>SUM(J25:J43)</f>
        <v>71322</v>
      </c>
      <c r="K24" s="153">
        <f t="shared" si="1"/>
        <v>20.918345948415958</v>
      </c>
    </row>
    <row r="25" spans="1:11" ht="30">
      <c r="A25" s="162" t="s">
        <v>131</v>
      </c>
      <c r="B25" s="168" t="s">
        <v>132</v>
      </c>
      <c r="C25" s="156">
        <v>14209.9</v>
      </c>
      <c r="D25" s="156">
        <v>2925.5</v>
      </c>
      <c r="E25" s="156">
        <f t="shared" si="5"/>
        <v>20.58775923827754</v>
      </c>
      <c r="F25" s="156">
        <v>7943.2</v>
      </c>
      <c r="G25" s="157">
        <v>4361.5</v>
      </c>
      <c r="H25" s="157">
        <f>G25/F25*100</f>
        <v>54.90860106757982</v>
      </c>
      <c r="I25" s="158">
        <f>C25+F25-3077.4</f>
        <v>19075.699999999997</v>
      </c>
      <c r="J25" s="158">
        <f>D25+G25-2690.6</f>
        <v>4596.4</v>
      </c>
      <c r="K25" s="160">
        <f t="shared" si="1"/>
        <v>24.09557709546701</v>
      </c>
    </row>
    <row r="26" spans="1:11" ht="15">
      <c r="A26" s="154" t="s">
        <v>133</v>
      </c>
      <c r="B26" s="155" t="s">
        <v>134</v>
      </c>
      <c r="C26" s="156">
        <v>33035</v>
      </c>
      <c r="D26" s="156">
        <v>29698.8</v>
      </c>
      <c r="E26" s="156">
        <f t="shared" si="5"/>
        <v>89.90101407598003</v>
      </c>
      <c r="F26" s="157">
        <v>0</v>
      </c>
      <c r="G26" s="157">
        <v>0</v>
      </c>
      <c r="H26" s="157">
        <v>0</v>
      </c>
      <c r="I26" s="158">
        <f t="shared" si="0"/>
        <v>33035</v>
      </c>
      <c r="J26" s="159">
        <f t="shared" si="0"/>
        <v>29698.8</v>
      </c>
      <c r="K26" s="160">
        <f t="shared" si="1"/>
        <v>89.90101407598003</v>
      </c>
    </row>
    <row r="27" spans="1:11" ht="15">
      <c r="A27" s="154" t="s">
        <v>135</v>
      </c>
      <c r="B27" s="155" t="s">
        <v>136</v>
      </c>
      <c r="C27" s="156">
        <v>10150</v>
      </c>
      <c r="D27" s="156">
        <v>146.8</v>
      </c>
      <c r="E27" s="156">
        <f t="shared" si="5"/>
        <v>1.446305418719212</v>
      </c>
      <c r="F27" s="157">
        <v>0</v>
      </c>
      <c r="G27" s="157">
        <v>0</v>
      </c>
      <c r="H27" s="157">
        <v>0</v>
      </c>
      <c r="I27" s="158">
        <f t="shared" si="0"/>
        <v>10150</v>
      </c>
      <c r="J27" s="159">
        <f t="shared" si="0"/>
        <v>146.8</v>
      </c>
      <c r="K27" s="160">
        <f t="shared" si="1"/>
        <v>1.446305418719212</v>
      </c>
    </row>
    <row r="28" spans="1:11" ht="30">
      <c r="A28" s="154" t="s">
        <v>135</v>
      </c>
      <c r="B28" s="155" t="s">
        <v>137</v>
      </c>
      <c r="C28" s="156">
        <v>17096</v>
      </c>
      <c r="D28" s="156">
        <v>10741.5</v>
      </c>
      <c r="E28" s="156">
        <f t="shared" si="5"/>
        <v>62.83048666354703</v>
      </c>
      <c r="F28" s="157">
        <v>13487.4</v>
      </c>
      <c r="G28" s="157">
        <v>3597.4</v>
      </c>
      <c r="H28" s="157">
        <f>G28/F28*100</f>
        <v>26.6723015555259</v>
      </c>
      <c r="I28" s="158">
        <f t="shared" si="0"/>
        <v>30583.4</v>
      </c>
      <c r="J28" s="159">
        <f t="shared" si="0"/>
        <v>14338.9</v>
      </c>
      <c r="K28" s="160">
        <f t="shared" si="1"/>
        <v>46.88458444777231</v>
      </c>
    </row>
    <row r="29" spans="1:11" ht="15">
      <c r="A29" s="154" t="s">
        <v>135</v>
      </c>
      <c r="B29" s="155" t="s">
        <v>138</v>
      </c>
      <c r="C29" s="156">
        <v>12931</v>
      </c>
      <c r="D29" s="156"/>
      <c r="E29" s="156">
        <f t="shared" si="5"/>
        <v>0</v>
      </c>
      <c r="F29" s="157">
        <v>0</v>
      </c>
      <c r="G29" s="157">
        <v>0</v>
      </c>
      <c r="H29" s="157">
        <v>0</v>
      </c>
      <c r="I29" s="158">
        <f t="shared" si="0"/>
        <v>12931</v>
      </c>
      <c r="J29" s="159">
        <f t="shared" si="0"/>
        <v>0</v>
      </c>
      <c r="K29" s="160">
        <f t="shared" si="1"/>
        <v>0</v>
      </c>
    </row>
    <row r="30" spans="1:11" ht="45">
      <c r="A30" s="154" t="s">
        <v>139</v>
      </c>
      <c r="B30" s="169" t="s">
        <v>140</v>
      </c>
      <c r="C30" s="156">
        <v>5611.2</v>
      </c>
      <c r="D30" s="156"/>
      <c r="E30" s="156">
        <f t="shared" si="5"/>
        <v>0</v>
      </c>
      <c r="F30" s="157">
        <v>556.3</v>
      </c>
      <c r="G30" s="157"/>
      <c r="H30" s="157">
        <f aca="true" t="shared" si="6" ref="H30:H36">G30/F30*100</f>
        <v>0</v>
      </c>
      <c r="I30" s="158">
        <f t="shared" si="0"/>
        <v>6167.5</v>
      </c>
      <c r="J30" s="159">
        <f t="shared" si="0"/>
        <v>0</v>
      </c>
      <c r="K30" s="160">
        <f t="shared" si="1"/>
        <v>0</v>
      </c>
    </row>
    <row r="31" spans="1:11" ht="45">
      <c r="A31" s="162" t="s">
        <v>139</v>
      </c>
      <c r="B31" s="169" t="s">
        <v>141</v>
      </c>
      <c r="C31" s="156">
        <v>108491.4</v>
      </c>
      <c r="D31" s="156"/>
      <c r="E31" s="156">
        <f t="shared" si="5"/>
        <v>0</v>
      </c>
      <c r="F31" s="157">
        <v>10552.3</v>
      </c>
      <c r="G31" s="157"/>
      <c r="H31" s="157">
        <f t="shared" si="6"/>
        <v>0</v>
      </c>
      <c r="I31" s="158">
        <f>C31+F31-10552.3</f>
        <v>108491.4</v>
      </c>
      <c r="J31" s="159">
        <f>D31+G31</f>
        <v>0</v>
      </c>
      <c r="K31" s="160">
        <f>J31/I31*100</f>
        <v>0</v>
      </c>
    </row>
    <row r="32" spans="1:11" ht="75">
      <c r="A32" s="162" t="s">
        <v>139</v>
      </c>
      <c r="B32" s="155" t="s">
        <v>142</v>
      </c>
      <c r="C32" s="156">
        <v>4000</v>
      </c>
      <c r="D32" s="156"/>
      <c r="E32" s="156">
        <f t="shared" si="5"/>
        <v>0</v>
      </c>
      <c r="F32" s="157">
        <v>4000</v>
      </c>
      <c r="G32" s="157"/>
      <c r="H32" s="157">
        <f t="shared" si="6"/>
        <v>0</v>
      </c>
      <c r="I32" s="158">
        <f>C32+F32-4000</f>
        <v>4000</v>
      </c>
      <c r="J32" s="159">
        <f>D32+G32</f>
        <v>0</v>
      </c>
      <c r="K32" s="160">
        <f>J32/I32*100</f>
        <v>0</v>
      </c>
    </row>
    <row r="33" spans="1:11" ht="30">
      <c r="A33" s="162" t="s">
        <v>139</v>
      </c>
      <c r="B33" s="155" t="s">
        <v>143</v>
      </c>
      <c r="C33" s="156">
        <v>9021.9</v>
      </c>
      <c r="D33" s="156">
        <v>1264.2</v>
      </c>
      <c r="E33" s="156">
        <f t="shared" si="5"/>
        <v>14.012569414424899</v>
      </c>
      <c r="F33" s="157">
        <v>6706.9</v>
      </c>
      <c r="G33" s="157"/>
      <c r="H33" s="157">
        <f t="shared" si="6"/>
        <v>0</v>
      </c>
      <c r="I33" s="158">
        <f>C33+F33-6706.9</f>
        <v>9021.9</v>
      </c>
      <c r="J33" s="159">
        <f>D33+G33</f>
        <v>1264.2</v>
      </c>
      <c r="K33" s="160">
        <f>J33/I33*100</f>
        <v>14.012569414424899</v>
      </c>
    </row>
    <row r="34" spans="1:11" ht="30">
      <c r="A34" s="162" t="s">
        <v>139</v>
      </c>
      <c r="B34" s="155" t="s">
        <v>144</v>
      </c>
      <c r="C34" s="156"/>
      <c r="D34" s="156"/>
      <c r="E34" s="156"/>
      <c r="F34" s="157">
        <f>46371.4+3460.2</f>
        <v>49831.6</v>
      </c>
      <c r="G34" s="157">
        <v>10702.2</v>
      </c>
      <c r="H34" s="157">
        <f t="shared" si="6"/>
        <v>21.476733638895805</v>
      </c>
      <c r="I34" s="158">
        <f>C34+F34</f>
        <v>49831.6</v>
      </c>
      <c r="J34" s="159">
        <f t="shared" si="0"/>
        <v>10702.2</v>
      </c>
      <c r="K34" s="160">
        <f t="shared" si="1"/>
        <v>21.476733638895805</v>
      </c>
    </row>
    <row r="35" spans="1:11" ht="15">
      <c r="A35" s="154" t="s">
        <v>145</v>
      </c>
      <c r="B35" s="155" t="s">
        <v>146</v>
      </c>
      <c r="C35" s="156">
        <v>3923</v>
      </c>
      <c r="D35" s="156">
        <v>1172.7</v>
      </c>
      <c r="E35" s="170">
        <f t="shared" si="5"/>
        <v>29.892939077236807</v>
      </c>
      <c r="F35" s="157">
        <v>3864.7</v>
      </c>
      <c r="G35" s="157">
        <v>1685.2</v>
      </c>
      <c r="H35" s="171">
        <f t="shared" si="6"/>
        <v>43.604936993815826</v>
      </c>
      <c r="I35" s="158">
        <f t="shared" si="0"/>
        <v>7787.7</v>
      </c>
      <c r="J35" s="159">
        <f t="shared" si="0"/>
        <v>2857.9</v>
      </c>
      <c r="K35" s="160">
        <f t="shared" si="1"/>
        <v>36.69761290239737</v>
      </c>
    </row>
    <row r="36" spans="1:11" ht="45">
      <c r="A36" s="154" t="s">
        <v>147</v>
      </c>
      <c r="B36" s="169" t="s">
        <v>148</v>
      </c>
      <c r="C36" s="170">
        <v>3500</v>
      </c>
      <c r="D36" s="156">
        <v>297</v>
      </c>
      <c r="E36" s="170">
        <f t="shared" si="5"/>
        <v>8.485714285714286</v>
      </c>
      <c r="F36" s="157">
        <v>1235</v>
      </c>
      <c r="G36" s="157">
        <v>39.9</v>
      </c>
      <c r="H36" s="171">
        <f t="shared" si="6"/>
        <v>3.230769230769231</v>
      </c>
      <c r="I36" s="158">
        <f>C36+F36-1235</f>
        <v>3500</v>
      </c>
      <c r="J36" s="159">
        <f>D36+G36</f>
        <v>336.9</v>
      </c>
      <c r="K36" s="160">
        <f t="shared" si="1"/>
        <v>9.625714285714285</v>
      </c>
    </row>
    <row r="37" spans="1:11" ht="45">
      <c r="A37" s="154" t="s">
        <v>147</v>
      </c>
      <c r="B37" s="169" t="s">
        <v>149</v>
      </c>
      <c r="C37" s="170">
        <v>4500</v>
      </c>
      <c r="D37" s="157"/>
      <c r="E37" s="170">
        <f t="shared" si="5"/>
        <v>0</v>
      </c>
      <c r="F37" s="157">
        <v>0</v>
      </c>
      <c r="G37" s="157">
        <v>0</v>
      </c>
      <c r="H37" s="171">
        <v>0</v>
      </c>
      <c r="I37" s="158">
        <f t="shared" si="0"/>
        <v>4500</v>
      </c>
      <c r="J37" s="159">
        <f t="shared" si="0"/>
        <v>0</v>
      </c>
      <c r="K37" s="160">
        <f t="shared" si="1"/>
        <v>0</v>
      </c>
    </row>
    <row r="38" spans="1:11" ht="90">
      <c r="A38" s="154" t="s">
        <v>147</v>
      </c>
      <c r="B38" s="169" t="s">
        <v>150</v>
      </c>
      <c r="C38" s="170">
        <f>16874.2+958.7</f>
        <v>17832.9</v>
      </c>
      <c r="D38" s="157">
        <v>6965.2</v>
      </c>
      <c r="E38" s="170">
        <f t="shared" si="5"/>
        <v>39.05814533811102</v>
      </c>
      <c r="F38" s="157"/>
      <c r="G38" s="157"/>
      <c r="H38" s="171"/>
      <c r="I38" s="158">
        <f t="shared" si="0"/>
        <v>17832.9</v>
      </c>
      <c r="J38" s="159">
        <f t="shared" si="0"/>
        <v>6965.2</v>
      </c>
      <c r="K38" s="160">
        <f t="shared" si="1"/>
        <v>39.05814533811102</v>
      </c>
    </row>
    <row r="39" spans="1:11" ht="60">
      <c r="A39" s="162" t="s">
        <v>147</v>
      </c>
      <c r="B39" s="169" t="s">
        <v>151</v>
      </c>
      <c r="C39" s="170">
        <f>17547.9+1463.8</f>
        <v>19011.7</v>
      </c>
      <c r="D39" s="157">
        <v>34</v>
      </c>
      <c r="E39" s="170">
        <f t="shared" si="5"/>
        <v>0.17883724232972326</v>
      </c>
      <c r="F39" s="157"/>
      <c r="G39" s="157"/>
      <c r="H39" s="171"/>
      <c r="I39" s="158">
        <f t="shared" si="0"/>
        <v>19011.7</v>
      </c>
      <c r="J39" s="159">
        <f t="shared" si="0"/>
        <v>34</v>
      </c>
      <c r="K39" s="160">
        <f t="shared" si="1"/>
        <v>0.17883724232972326</v>
      </c>
    </row>
    <row r="40" spans="1:11" ht="60">
      <c r="A40" s="162" t="s">
        <v>147</v>
      </c>
      <c r="B40" s="169" t="s">
        <v>152</v>
      </c>
      <c r="C40" s="170">
        <v>2800</v>
      </c>
      <c r="D40" s="157"/>
      <c r="E40" s="170">
        <f t="shared" si="5"/>
        <v>0</v>
      </c>
      <c r="F40" s="157"/>
      <c r="G40" s="157"/>
      <c r="H40" s="171"/>
      <c r="I40" s="158">
        <f t="shared" si="0"/>
        <v>2800</v>
      </c>
      <c r="J40" s="159">
        <f t="shared" si="0"/>
        <v>0</v>
      </c>
      <c r="K40" s="160">
        <f t="shared" si="1"/>
        <v>0</v>
      </c>
    </row>
    <row r="41" spans="1:11" ht="30">
      <c r="A41" s="162" t="s">
        <v>147</v>
      </c>
      <c r="B41" s="169" t="s">
        <v>153</v>
      </c>
      <c r="C41" s="170">
        <v>1604</v>
      </c>
      <c r="D41" s="157">
        <v>380.7</v>
      </c>
      <c r="E41" s="170">
        <f t="shared" si="5"/>
        <v>23.73441396508728</v>
      </c>
      <c r="F41" s="157">
        <v>0</v>
      </c>
      <c r="G41" s="157">
        <v>0</v>
      </c>
      <c r="H41" s="171">
        <v>0</v>
      </c>
      <c r="I41" s="158">
        <f t="shared" si="0"/>
        <v>1604</v>
      </c>
      <c r="J41" s="159">
        <f t="shared" si="0"/>
        <v>380.7</v>
      </c>
      <c r="K41" s="160">
        <f t="shared" si="1"/>
        <v>23.73441396508728</v>
      </c>
    </row>
    <row r="42" spans="1:11" ht="30">
      <c r="A42" s="162" t="s">
        <v>147</v>
      </c>
      <c r="B42" s="169" t="s">
        <v>154</v>
      </c>
      <c r="C42" s="170">
        <v>30.5</v>
      </c>
      <c r="D42" s="157"/>
      <c r="E42" s="170">
        <f t="shared" si="5"/>
        <v>0</v>
      </c>
      <c r="F42" s="157"/>
      <c r="G42" s="157"/>
      <c r="H42" s="171">
        <v>0</v>
      </c>
      <c r="I42" s="158">
        <f t="shared" si="0"/>
        <v>30.5</v>
      </c>
      <c r="J42" s="159">
        <f t="shared" si="0"/>
        <v>0</v>
      </c>
      <c r="K42" s="160">
        <f t="shared" si="1"/>
        <v>0</v>
      </c>
    </row>
    <row r="43" spans="1:11" ht="60">
      <c r="A43" s="162" t="s">
        <v>147</v>
      </c>
      <c r="B43" s="169" t="s">
        <v>155</v>
      </c>
      <c r="C43" s="170">
        <v>600</v>
      </c>
      <c r="D43" s="157"/>
      <c r="E43" s="170">
        <f t="shared" si="5"/>
        <v>0</v>
      </c>
      <c r="F43" s="157">
        <v>600</v>
      </c>
      <c r="G43" s="157"/>
      <c r="H43" s="171">
        <f>G43/F43*100</f>
        <v>0</v>
      </c>
      <c r="I43" s="158">
        <f>C43+F43-600</f>
        <v>600</v>
      </c>
      <c r="J43" s="159">
        <f>D43+G43</f>
        <v>0</v>
      </c>
      <c r="K43" s="161">
        <f t="shared" si="1"/>
        <v>0</v>
      </c>
    </row>
    <row r="44" spans="1:11" ht="14.25">
      <c r="A44" s="149" t="s">
        <v>156</v>
      </c>
      <c r="B44" s="150" t="s">
        <v>157</v>
      </c>
      <c r="C44" s="172">
        <f>SUM(C45:C64)</f>
        <v>172982.00000000003</v>
      </c>
      <c r="D44" s="172">
        <f>SUM(D45:D64)</f>
        <v>86055.19999999998</v>
      </c>
      <c r="E44" s="151">
        <f t="shared" si="5"/>
        <v>49.74806627279137</v>
      </c>
      <c r="F44" s="173">
        <f>SUM(F45:F64)</f>
        <v>128509.2</v>
      </c>
      <c r="G44" s="173">
        <f>SUM(G45:G64)</f>
        <v>28254.9</v>
      </c>
      <c r="H44" s="173">
        <f>G44/F44*100</f>
        <v>21.98667488397718</v>
      </c>
      <c r="I44" s="172">
        <f>SUM(I45:I64)</f>
        <v>271163.80000000005</v>
      </c>
      <c r="J44" s="172">
        <f>SUM(J45:J64)</f>
        <v>114153.89999999998</v>
      </c>
      <c r="K44" s="153">
        <f t="shared" si="1"/>
        <v>42.09776526217731</v>
      </c>
    </row>
    <row r="45" spans="1:11" ht="75">
      <c r="A45" s="154" t="s">
        <v>158</v>
      </c>
      <c r="B45" s="155" t="s">
        <v>159</v>
      </c>
      <c r="C45" s="156">
        <f>41578+17527.3</f>
        <v>59105.3</v>
      </c>
      <c r="D45" s="156">
        <v>59020.8</v>
      </c>
      <c r="E45" s="170">
        <f t="shared" si="5"/>
        <v>99.8570348175206</v>
      </c>
      <c r="F45" s="157">
        <v>0</v>
      </c>
      <c r="G45" s="157">
        <v>0</v>
      </c>
      <c r="H45" s="157">
        <v>0</v>
      </c>
      <c r="I45" s="158">
        <f t="shared" si="0"/>
        <v>59105.3</v>
      </c>
      <c r="J45" s="159">
        <f t="shared" si="0"/>
        <v>59020.8</v>
      </c>
      <c r="K45" s="160">
        <f t="shared" si="1"/>
        <v>99.8570348175206</v>
      </c>
    </row>
    <row r="46" spans="1:11" ht="15">
      <c r="A46" s="162" t="s">
        <v>158</v>
      </c>
      <c r="B46" s="169" t="s">
        <v>160</v>
      </c>
      <c r="C46" s="156">
        <v>206.8</v>
      </c>
      <c r="D46" s="156"/>
      <c r="E46" s="170">
        <f t="shared" si="5"/>
        <v>0</v>
      </c>
      <c r="F46" s="157"/>
      <c r="G46" s="157"/>
      <c r="H46" s="157"/>
      <c r="I46" s="158">
        <f>C46+F46</f>
        <v>206.8</v>
      </c>
      <c r="J46" s="159">
        <f>D46+G46</f>
        <v>0</v>
      </c>
      <c r="K46" s="161">
        <f t="shared" si="1"/>
        <v>0</v>
      </c>
    </row>
    <row r="47" spans="1:11" ht="30">
      <c r="A47" s="162" t="s">
        <v>158</v>
      </c>
      <c r="B47" s="155" t="s">
        <v>161</v>
      </c>
      <c r="C47" s="156"/>
      <c r="D47" s="156"/>
      <c r="E47" s="170"/>
      <c r="F47" s="157">
        <v>31526.2</v>
      </c>
      <c r="G47" s="157">
        <v>6137.1</v>
      </c>
      <c r="H47" s="157">
        <f>G47/F47*100</f>
        <v>19.46666582080936</v>
      </c>
      <c r="I47" s="158">
        <f t="shared" si="0"/>
        <v>31526.2</v>
      </c>
      <c r="J47" s="159">
        <f t="shared" si="0"/>
        <v>6137.1</v>
      </c>
      <c r="K47" s="160">
        <f t="shared" si="1"/>
        <v>19.46666582080936</v>
      </c>
    </row>
    <row r="48" spans="1:11" ht="105">
      <c r="A48" s="154" t="s">
        <v>162</v>
      </c>
      <c r="B48" s="155" t="s">
        <v>163</v>
      </c>
      <c r="C48" s="156">
        <v>4443.4</v>
      </c>
      <c r="D48" s="156">
        <v>1890.3</v>
      </c>
      <c r="E48" s="170">
        <f t="shared" si="5"/>
        <v>42.541747310618</v>
      </c>
      <c r="F48" s="157"/>
      <c r="G48" s="157"/>
      <c r="H48" s="157"/>
      <c r="I48" s="158">
        <f t="shared" si="0"/>
        <v>4443.4</v>
      </c>
      <c r="J48" s="159">
        <f t="shared" si="0"/>
        <v>1890.3</v>
      </c>
      <c r="K48" s="160">
        <f t="shared" si="1"/>
        <v>42.541747310618</v>
      </c>
    </row>
    <row r="49" spans="1:11" ht="105">
      <c r="A49" s="154" t="s">
        <v>162</v>
      </c>
      <c r="B49" s="155" t="s">
        <v>164</v>
      </c>
      <c r="C49" s="156">
        <v>10165.9</v>
      </c>
      <c r="D49" s="174">
        <v>3163.3</v>
      </c>
      <c r="E49" s="170">
        <f t="shared" si="5"/>
        <v>31.11677274023943</v>
      </c>
      <c r="F49" s="157"/>
      <c r="G49" s="157"/>
      <c r="H49" s="157"/>
      <c r="I49" s="158">
        <f t="shared" si="0"/>
        <v>10165.9</v>
      </c>
      <c r="J49" s="159">
        <f t="shared" si="0"/>
        <v>3163.3</v>
      </c>
      <c r="K49" s="160">
        <f t="shared" si="1"/>
        <v>31.11677274023943</v>
      </c>
    </row>
    <row r="50" spans="1:11" ht="105">
      <c r="A50" s="162" t="s">
        <v>162</v>
      </c>
      <c r="B50" s="155" t="s">
        <v>165</v>
      </c>
      <c r="C50" s="170">
        <v>6250.4</v>
      </c>
      <c r="D50" s="174">
        <v>2583.4</v>
      </c>
      <c r="E50" s="170">
        <f t="shared" si="5"/>
        <v>41.331754767694875</v>
      </c>
      <c r="F50" s="157"/>
      <c r="G50" s="157"/>
      <c r="H50" s="157"/>
      <c r="I50" s="158">
        <f t="shared" si="0"/>
        <v>6250.4</v>
      </c>
      <c r="J50" s="159">
        <f t="shared" si="0"/>
        <v>2583.4</v>
      </c>
      <c r="K50" s="160">
        <f t="shared" si="1"/>
        <v>41.331754767694875</v>
      </c>
    </row>
    <row r="51" spans="1:11" ht="105">
      <c r="A51" s="162" t="s">
        <v>162</v>
      </c>
      <c r="B51" s="155" t="s">
        <v>166</v>
      </c>
      <c r="C51" s="156">
        <v>9375.6</v>
      </c>
      <c r="D51" s="174">
        <v>2635.9</v>
      </c>
      <c r="E51" s="170">
        <f t="shared" si="5"/>
        <v>28.11446734075686</v>
      </c>
      <c r="F51" s="157"/>
      <c r="G51" s="157"/>
      <c r="H51" s="157"/>
      <c r="I51" s="158">
        <f t="shared" si="0"/>
        <v>9375.6</v>
      </c>
      <c r="J51" s="159">
        <f t="shared" si="0"/>
        <v>2635.9</v>
      </c>
      <c r="K51" s="160">
        <f t="shared" si="1"/>
        <v>28.11446734075686</v>
      </c>
    </row>
    <row r="52" spans="1:11" ht="127.5">
      <c r="A52" s="154" t="s">
        <v>162</v>
      </c>
      <c r="B52" s="175" t="s">
        <v>167</v>
      </c>
      <c r="C52" s="156">
        <v>51757.9</v>
      </c>
      <c r="D52" s="174">
        <v>15282.9</v>
      </c>
      <c r="E52" s="170">
        <f>D52/C52*100</f>
        <v>29.52766630794526</v>
      </c>
      <c r="F52" s="157"/>
      <c r="G52" s="157"/>
      <c r="H52" s="157"/>
      <c r="I52" s="158">
        <f>C52+F52</f>
        <v>51757.9</v>
      </c>
      <c r="J52" s="159">
        <f>D52+G52</f>
        <v>15282.9</v>
      </c>
      <c r="K52" s="160">
        <f>J52/I52*100</f>
        <v>29.52766630794526</v>
      </c>
    </row>
    <row r="53" spans="1:11" ht="120">
      <c r="A53" s="162" t="s">
        <v>162</v>
      </c>
      <c r="B53" s="169" t="s">
        <v>168</v>
      </c>
      <c r="C53" s="156">
        <v>18193</v>
      </c>
      <c r="D53" s="174"/>
      <c r="E53" s="170">
        <f t="shared" si="5"/>
        <v>0</v>
      </c>
      <c r="F53" s="157">
        <f>18193+3299.5</f>
        <v>21492.5</v>
      </c>
      <c r="G53" s="157"/>
      <c r="H53" s="157">
        <f>G53/F53*100</f>
        <v>0</v>
      </c>
      <c r="I53" s="158">
        <f>C53+F53-18193</f>
        <v>21492.5</v>
      </c>
      <c r="J53" s="159">
        <f aca="true" t="shared" si="7" ref="I53:J64">D53+G53</f>
        <v>0</v>
      </c>
      <c r="K53" s="160">
        <f t="shared" si="1"/>
        <v>0</v>
      </c>
    </row>
    <row r="54" spans="1:11" ht="45">
      <c r="A54" s="162" t="s">
        <v>162</v>
      </c>
      <c r="B54" s="169" t="s">
        <v>169</v>
      </c>
      <c r="C54" s="156"/>
      <c r="D54" s="174"/>
      <c r="E54" s="170"/>
      <c r="F54" s="157"/>
      <c r="G54" s="157"/>
      <c r="H54" s="157"/>
      <c r="I54" s="158">
        <f>C54+F54</f>
        <v>0</v>
      </c>
      <c r="J54" s="159">
        <f t="shared" si="7"/>
        <v>0</v>
      </c>
      <c r="K54" s="160" t="e">
        <f t="shared" si="1"/>
        <v>#DIV/0!</v>
      </c>
    </row>
    <row r="55" spans="1:11" ht="30">
      <c r="A55" s="162" t="s">
        <v>162</v>
      </c>
      <c r="B55" s="169" t="s">
        <v>170</v>
      </c>
      <c r="C55" s="156">
        <v>100.2</v>
      </c>
      <c r="D55" s="174">
        <v>100.2</v>
      </c>
      <c r="E55" s="170">
        <f t="shared" si="5"/>
        <v>100</v>
      </c>
      <c r="F55" s="157"/>
      <c r="G55" s="157"/>
      <c r="H55" s="157"/>
      <c r="I55" s="158">
        <f>C55+F55</f>
        <v>100.2</v>
      </c>
      <c r="J55" s="159">
        <f t="shared" si="7"/>
        <v>100.2</v>
      </c>
      <c r="K55" s="160">
        <f t="shared" si="1"/>
        <v>100</v>
      </c>
    </row>
    <row r="56" spans="1:11" ht="60">
      <c r="A56" s="162" t="s">
        <v>162</v>
      </c>
      <c r="B56" s="169" t="s">
        <v>171</v>
      </c>
      <c r="C56" s="156"/>
      <c r="D56" s="174"/>
      <c r="E56" s="170"/>
      <c r="F56" s="157">
        <v>2974.9</v>
      </c>
      <c r="G56" s="157">
        <v>1974.8</v>
      </c>
      <c r="H56" s="157">
        <f aca="true" t="shared" si="8" ref="H56:H63">G56/F56*100</f>
        <v>66.38206326263068</v>
      </c>
      <c r="I56" s="158">
        <f t="shared" si="0"/>
        <v>2974.9</v>
      </c>
      <c r="J56" s="159">
        <f t="shared" si="7"/>
        <v>1974.8</v>
      </c>
      <c r="K56" s="161">
        <f t="shared" si="1"/>
        <v>66.38206326263068</v>
      </c>
    </row>
    <row r="57" spans="1:11" ht="15">
      <c r="A57" s="162" t="s">
        <v>162</v>
      </c>
      <c r="B57" s="169" t="s">
        <v>172</v>
      </c>
      <c r="C57" s="156"/>
      <c r="D57" s="174"/>
      <c r="E57" s="170"/>
      <c r="F57" s="157">
        <f>8741.5+87+31</f>
        <v>8859.5</v>
      </c>
      <c r="G57" s="157">
        <v>98.8</v>
      </c>
      <c r="H57" s="157">
        <f t="shared" si="8"/>
        <v>1.1151870873074101</v>
      </c>
      <c r="I57" s="158">
        <f t="shared" si="0"/>
        <v>8859.5</v>
      </c>
      <c r="J57" s="159">
        <f t="shared" si="7"/>
        <v>98.8</v>
      </c>
      <c r="K57" s="160">
        <f t="shared" si="1"/>
        <v>1.1151870873074101</v>
      </c>
    </row>
    <row r="58" spans="1:11" ht="45">
      <c r="A58" s="162" t="s">
        <v>162</v>
      </c>
      <c r="B58" s="169" t="s">
        <v>173</v>
      </c>
      <c r="C58" s="156">
        <v>1222.2</v>
      </c>
      <c r="D58" s="174">
        <v>1222.2</v>
      </c>
      <c r="E58" s="170">
        <f>D58/C58*100</f>
        <v>100</v>
      </c>
      <c r="F58" s="157"/>
      <c r="G58" s="157"/>
      <c r="H58" s="157"/>
      <c r="I58" s="158">
        <f>C58+F58</f>
        <v>1222.2</v>
      </c>
      <c r="J58" s="159">
        <f t="shared" si="7"/>
        <v>1222.2</v>
      </c>
      <c r="K58" s="160">
        <f t="shared" si="1"/>
        <v>100</v>
      </c>
    </row>
    <row r="59" spans="1:11" ht="30">
      <c r="A59" s="162" t="s">
        <v>174</v>
      </c>
      <c r="B59" s="169" t="s">
        <v>175</v>
      </c>
      <c r="C59" s="156"/>
      <c r="D59" s="174"/>
      <c r="E59" s="156" t="e">
        <f>D59/C59*100</f>
        <v>#DIV/0!</v>
      </c>
      <c r="F59" s="157"/>
      <c r="G59" s="157"/>
      <c r="H59" s="157" t="e">
        <f t="shared" si="8"/>
        <v>#DIV/0!</v>
      </c>
      <c r="I59" s="158">
        <f>C59+F59</f>
        <v>0</v>
      </c>
      <c r="J59" s="159">
        <f t="shared" si="7"/>
        <v>0</v>
      </c>
      <c r="K59" s="176" t="e">
        <f t="shared" si="1"/>
        <v>#DIV/0!</v>
      </c>
    </row>
    <row r="60" spans="1:11" ht="60">
      <c r="A60" s="162" t="s">
        <v>174</v>
      </c>
      <c r="B60" s="155" t="s">
        <v>176</v>
      </c>
      <c r="C60" s="156">
        <v>400</v>
      </c>
      <c r="D60" s="156">
        <v>0</v>
      </c>
      <c r="E60" s="156">
        <f t="shared" si="5"/>
        <v>0</v>
      </c>
      <c r="F60" s="156">
        <v>400</v>
      </c>
      <c r="G60" s="157"/>
      <c r="H60" s="157">
        <f t="shared" si="8"/>
        <v>0</v>
      </c>
      <c r="I60" s="158">
        <f>C60+F60-400</f>
        <v>400</v>
      </c>
      <c r="J60" s="159">
        <f t="shared" si="7"/>
        <v>0</v>
      </c>
      <c r="K60" s="160">
        <f t="shared" si="1"/>
        <v>0</v>
      </c>
    </row>
    <row r="61" spans="1:11" ht="60">
      <c r="A61" s="162" t="s">
        <v>174</v>
      </c>
      <c r="B61" s="155" t="s">
        <v>177</v>
      </c>
      <c r="C61" s="156">
        <f>2500+25.3</f>
        <v>2525.3</v>
      </c>
      <c r="D61" s="156">
        <v>156.2</v>
      </c>
      <c r="E61" s="156">
        <f t="shared" si="5"/>
        <v>6.185403714410168</v>
      </c>
      <c r="F61" s="156">
        <f>2800+25.3+3</f>
        <v>2828.3</v>
      </c>
      <c r="G61" s="157">
        <v>156.2</v>
      </c>
      <c r="H61" s="157">
        <f t="shared" si="8"/>
        <v>5.522752183290315</v>
      </c>
      <c r="I61" s="158">
        <f>C61+F61-2525.3</f>
        <v>2828.3</v>
      </c>
      <c r="J61" s="159">
        <f>D61+G61-156.2</f>
        <v>156.2</v>
      </c>
      <c r="K61" s="160">
        <f t="shared" si="1"/>
        <v>5.522752183290315</v>
      </c>
    </row>
    <row r="62" spans="1:11" ht="30">
      <c r="A62" s="162" t="s">
        <v>174</v>
      </c>
      <c r="B62" s="155" t="s">
        <v>178</v>
      </c>
      <c r="C62" s="156">
        <v>9209.1</v>
      </c>
      <c r="D62" s="156"/>
      <c r="E62" s="156">
        <f t="shared" si="5"/>
        <v>0</v>
      </c>
      <c r="F62" s="156">
        <v>9209.1</v>
      </c>
      <c r="G62" s="157"/>
      <c r="H62" s="157"/>
      <c r="I62" s="158">
        <f>C62+F62-9209.1</f>
        <v>9209.1</v>
      </c>
      <c r="J62" s="159">
        <f>D62+G62</f>
        <v>0</v>
      </c>
      <c r="K62" s="160">
        <f t="shared" si="1"/>
        <v>0</v>
      </c>
    </row>
    <row r="63" spans="1:11" ht="15">
      <c r="A63" s="154" t="s">
        <v>174</v>
      </c>
      <c r="B63" s="155" t="s">
        <v>179</v>
      </c>
      <c r="C63" s="156">
        <v>0</v>
      </c>
      <c r="D63" s="156"/>
      <c r="E63" s="170">
        <v>0</v>
      </c>
      <c r="F63" s="170">
        <v>51218.7</v>
      </c>
      <c r="G63" s="157">
        <v>19888</v>
      </c>
      <c r="H63" s="157">
        <f t="shared" si="8"/>
        <v>38.829568106960934</v>
      </c>
      <c r="I63" s="158">
        <f t="shared" si="7"/>
        <v>51218.7</v>
      </c>
      <c r="J63" s="159">
        <f t="shared" si="7"/>
        <v>19888</v>
      </c>
      <c r="K63" s="160">
        <f t="shared" si="1"/>
        <v>38.829568106960934</v>
      </c>
    </row>
    <row r="64" spans="1:11" ht="15">
      <c r="A64" s="162" t="s">
        <v>180</v>
      </c>
      <c r="B64" s="155" t="s">
        <v>181</v>
      </c>
      <c r="C64" s="156">
        <v>26.9</v>
      </c>
      <c r="D64" s="156"/>
      <c r="E64" s="156">
        <f>D64/C64*100</f>
        <v>0</v>
      </c>
      <c r="F64" s="156">
        <v>0</v>
      </c>
      <c r="G64" s="157">
        <v>0</v>
      </c>
      <c r="H64" s="157">
        <v>0</v>
      </c>
      <c r="I64" s="158">
        <f t="shared" si="7"/>
        <v>26.9</v>
      </c>
      <c r="J64" s="159">
        <f t="shared" si="7"/>
        <v>0</v>
      </c>
      <c r="K64" s="161">
        <f t="shared" si="1"/>
        <v>0</v>
      </c>
    </row>
    <row r="65" spans="1:11" ht="15">
      <c r="A65" s="177" t="s">
        <v>182</v>
      </c>
      <c r="B65" s="178" t="s">
        <v>183</v>
      </c>
      <c r="C65" s="173">
        <f aca="true" t="shared" si="9" ref="C65:H65">C66</f>
        <v>36.1</v>
      </c>
      <c r="D65" s="173">
        <f t="shared" si="9"/>
        <v>36.1</v>
      </c>
      <c r="E65" s="151">
        <v>0</v>
      </c>
      <c r="F65" s="173">
        <f t="shared" si="9"/>
        <v>0</v>
      </c>
      <c r="G65" s="173">
        <f t="shared" si="9"/>
        <v>0</v>
      </c>
      <c r="H65" s="152">
        <f t="shared" si="9"/>
        <v>0</v>
      </c>
      <c r="I65" s="173">
        <f t="shared" si="0"/>
        <v>36.1</v>
      </c>
      <c r="J65" s="173">
        <f t="shared" si="0"/>
        <v>36.1</v>
      </c>
      <c r="K65" s="153">
        <v>0</v>
      </c>
    </row>
    <row r="66" spans="1:11" ht="15">
      <c r="A66" s="162" t="s">
        <v>184</v>
      </c>
      <c r="B66" s="179" t="s">
        <v>185</v>
      </c>
      <c r="C66" s="171">
        <v>36.1</v>
      </c>
      <c r="D66" s="157">
        <v>36.1</v>
      </c>
      <c r="E66" s="156">
        <f t="shared" si="5"/>
        <v>100</v>
      </c>
      <c r="F66" s="157">
        <v>0</v>
      </c>
      <c r="G66" s="157">
        <v>0</v>
      </c>
      <c r="H66" s="157">
        <v>0</v>
      </c>
      <c r="I66" s="158">
        <f t="shared" si="0"/>
        <v>36.1</v>
      </c>
      <c r="J66" s="159">
        <f t="shared" si="0"/>
        <v>36.1</v>
      </c>
      <c r="K66" s="160">
        <f t="shared" si="1"/>
        <v>100</v>
      </c>
    </row>
    <row r="67" spans="1:11" ht="15">
      <c r="A67" s="149" t="s">
        <v>186</v>
      </c>
      <c r="B67" s="150" t="s">
        <v>187</v>
      </c>
      <c r="C67" s="151">
        <f>SUM(C68:C75)</f>
        <v>2145814.5</v>
      </c>
      <c r="D67" s="151">
        <f>SUM(D68:D75)</f>
        <v>713302.8</v>
      </c>
      <c r="E67" s="151">
        <f>D67/C67*100</f>
        <v>33.24158728538744</v>
      </c>
      <c r="F67" s="173">
        <f>F68+F70+F71+F74+F75</f>
        <v>859.3</v>
      </c>
      <c r="G67" s="173">
        <f>SUM(G68:G75)</f>
        <v>0</v>
      </c>
      <c r="H67" s="152">
        <v>0</v>
      </c>
      <c r="I67" s="151">
        <f>SUM(I68:I75)</f>
        <v>2145814.5</v>
      </c>
      <c r="J67" s="151">
        <f>SUM(J68:J75)</f>
        <v>713302.8</v>
      </c>
      <c r="K67" s="153">
        <f t="shared" si="1"/>
        <v>33.24158728538744</v>
      </c>
    </row>
    <row r="68" spans="1:11" ht="15">
      <c r="A68" s="154" t="s">
        <v>188</v>
      </c>
      <c r="B68" s="155" t="s">
        <v>189</v>
      </c>
      <c r="C68" s="156">
        <f>517099.1-C69</f>
        <v>349989.4</v>
      </c>
      <c r="D68" s="156">
        <f>186778</f>
        <v>186778</v>
      </c>
      <c r="E68" s="156">
        <f t="shared" si="5"/>
        <v>53.366759107561535</v>
      </c>
      <c r="F68" s="157">
        <v>0</v>
      </c>
      <c r="G68" s="157">
        <v>0</v>
      </c>
      <c r="H68" s="157">
        <v>0</v>
      </c>
      <c r="I68" s="158">
        <f t="shared" si="0"/>
        <v>349989.4</v>
      </c>
      <c r="J68" s="159">
        <f t="shared" si="0"/>
        <v>186778</v>
      </c>
      <c r="K68" s="160">
        <f t="shared" si="1"/>
        <v>53.366759107561535</v>
      </c>
    </row>
    <row r="69" spans="1:11" ht="90">
      <c r="A69" s="154" t="s">
        <v>188</v>
      </c>
      <c r="B69" s="155" t="s">
        <v>190</v>
      </c>
      <c r="C69" s="156">
        <f>151144.8+15964.9</f>
        <v>167109.69999999998</v>
      </c>
      <c r="D69" s="156"/>
      <c r="E69" s="156">
        <f t="shared" si="5"/>
        <v>0</v>
      </c>
      <c r="F69" s="157"/>
      <c r="G69" s="157"/>
      <c r="H69" s="157"/>
      <c r="I69" s="158">
        <f t="shared" si="0"/>
        <v>167109.69999999998</v>
      </c>
      <c r="J69" s="159">
        <f t="shared" si="0"/>
        <v>0</v>
      </c>
      <c r="K69" s="160">
        <f t="shared" si="1"/>
        <v>0</v>
      </c>
    </row>
    <row r="70" spans="1:11" ht="15">
      <c r="A70" s="154" t="s">
        <v>191</v>
      </c>
      <c r="B70" s="155" t="s">
        <v>192</v>
      </c>
      <c r="C70" s="156">
        <f>1353389.8-C71-C72</f>
        <v>1017272.2</v>
      </c>
      <c r="D70" s="156">
        <f>406159.8-D71-D72</f>
        <v>349748.1</v>
      </c>
      <c r="E70" s="156">
        <f t="shared" si="5"/>
        <v>34.380974924902105</v>
      </c>
      <c r="F70" s="157">
        <v>0</v>
      </c>
      <c r="G70" s="157">
        <v>0</v>
      </c>
      <c r="H70" s="157">
        <v>0</v>
      </c>
      <c r="I70" s="158">
        <f t="shared" si="0"/>
        <v>1017272.2</v>
      </c>
      <c r="J70" s="159">
        <f t="shared" si="0"/>
        <v>349748.1</v>
      </c>
      <c r="K70" s="160">
        <f t="shared" si="1"/>
        <v>34.380974924902105</v>
      </c>
    </row>
    <row r="71" spans="1:11" ht="15">
      <c r="A71" s="154" t="s">
        <v>191</v>
      </c>
      <c r="B71" s="155" t="s">
        <v>193</v>
      </c>
      <c r="C71" s="156">
        <f>24656+24196.5</f>
        <v>48852.5</v>
      </c>
      <c r="D71" s="156">
        <v>16860.8</v>
      </c>
      <c r="E71" s="156">
        <f t="shared" si="5"/>
        <v>34.51368916636815</v>
      </c>
      <c r="F71" s="157">
        <v>0</v>
      </c>
      <c r="G71" s="157">
        <v>0</v>
      </c>
      <c r="H71" s="157">
        <v>0</v>
      </c>
      <c r="I71" s="158">
        <f t="shared" si="0"/>
        <v>48852.5</v>
      </c>
      <c r="J71" s="159">
        <f t="shared" si="0"/>
        <v>16860.8</v>
      </c>
      <c r="K71" s="160">
        <f t="shared" si="1"/>
        <v>34.51368916636815</v>
      </c>
    </row>
    <row r="72" spans="1:11" ht="75">
      <c r="A72" s="154" t="s">
        <v>191</v>
      </c>
      <c r="B72" s="155" t="s">
        <v>194</v>
      </c>
      <c r="C72" s="156">
        <f>265618.7+21646.4</f>
        <v>287265.10000000003</v>
      </c>
      <c r="D72" s="156">
        <v>39550.9</v>
      </c>
      <c r="E72" s="156">
        <f t="shared" si="5"/>
        <v>13.768083905772055</v>
      </c>
      <c r="F72" s="157">
        <v>0</v>
      </c>
      <c r="G72" s="157">
        <v>0</v>
      </c>
      <c r="H72" s="157">
        <v>0</v>
      </c>
      <c r="I72" s="158">
        <f t="shared" si="0"/>
        <v>287265.10000000003</v>
      </c>
      <c r="J72" s="159">
        <f t="shared" si="0"/>
        <v>39550.9</v>
      </c>
      <c r="K72" s="160">
        <f t="shared" si="1"/>
        <v>13.768083905772055</v>
      </c>
    </row>
    <row r="73" spans="1:11" ht="15">
      <c r="A73" s="154" t="s">
        <v>195</v>
      </c>
      <c r="B73" s="155" t="s">
        <v>196</v>
      </c>
      <c r="C73" s="156">
        <v>181473.5</v>
      </c>
      <c r="D73" s="156">
        <v>91463.2</v>
      </c>
      <c r="E73" s="156">
        <f t="shared" si="5"/>
        <v>50.40030638082143</v>
      </c>
      <c r="F73" s="157"/>
      <c r="G73" s="157"/>
      <c r="H73" s="157"/>
      <c r="I73" s="158">
        <f t="shared" si="0"/>
        <v>181473.5</v>
      </c>
      <c r="J73" s="159">
        <f t="shared" si="0"/>
        <v>91463.2</v>
      </c>
      <c r="K73" s="160">
        <f t="shared" si="1"/>
        <v>50.40030638082143</v>
      </c>
    </row>
    <row r="74" spans="1:11" ht="15">
      <c r="A74" s="154" t="s">
        <v>197</v>
      </c>
      <c r="B74" s="155" t="s">
        <v>198</v>
      </c>
      <c r="C74" s="156">
        <v>22781</v>
      </c>
      <c r="D74" s="156">
        <v>8288.9</v>
      </c>
      <c r="E74" s="156">
        <f t="shared" si="5"/>
        <v>36.38514551600017</v>
      </c>
      <c r="F74" s="157">
        <v>859.3</v>
      </c>
      <c r="G74" s="157">
        <v>0</v>
      </c>
      <c r="H74" s="157">
        <v>0</v>
      </c>
      <c r="I74" s="158">
        <f>C74+F74-859.3</f>
        <v>22781</v>
      </c>
      <c r="J74" s="159">
        <f t="shared" si="0"/>
        <v>8288.9</v>
      </c>
      <c r="K74" s="160">
        <f t="shared" si="1"/>
        <v>36.38514551600017</v>
      </c>
    </row>
    <row r="75" spans="1:11" ht="15">
      <c r="A75" s="154" t="s">
        <v>199</v>
      </c>
      <c r="B75" s="155" t="s">
        <v>200</v>
      </c>
      <c r="C75" s="156">
        <v>71071.1</v>
      </c>
      <c r="D75" s="156">
        <v>20612.9</v>
      </c>
      <c r="E75" s="156">
        <f t="shared" si="5"/>
        <v>29.003209462073894</v>
      </c>
      <c r="F75" s="157">
        <v>0</v>
      </c>
      <c r="G75" s="157">
        <v>0</v>
      </c>
      <c r="H75" s="157">
        <v>0</v>
      </c>
      <c r="I75" s="158">
        <f t="shared" si="0"/>
        <v>71071.1</v>
      </c>
      <c r="J75" s="159">
        <f t="shared" si="0"/>
        <v>20612.9</v>
      </c>
      <c r="K75" s="160">
        <f t="shared" si="1"/>
        <v>29.003209462073894</v>
      </c>
    </row>
    <row r="76" spans="1:11" ht="15">
      <c r="A76" s="149" t="s">
        <v>201</v>
      </c>
      <c r="B76" s="150" t="s">
        <v>202</v>
      </c>
      <c r="C76" s="151">
        <f>SUM(C77:C81)</f>
        <v>83194.4</v>
      </c>
      <c r="D76" s="151">
        <f>SUM(D77:D81)</f>
        <v>31318.699999999997</v>
      </c>
      <c r="E76" s="151">
        <f>D76/C76*100</f>
        <v>37.64520208090929</v>
      </c>
      <c r="F76" s="173">
        <f>SUM(F77:F81)</f>
        <v>99125.1</v>
      </c>
      <c r="G76" s="173">
        <f>SUM(G77:G81)</f>
        <v>37335.9</v>
      </c>
      <c r="H76" s="152">
        <f>G76/F76*100</f>
        <v>37.665434889851305</v>
      </c>
      <c r="I76" s="173">
        <f>SUM(I77:I81)</f>
        <v>181471.9</v>
      </c>
      <c r="J76" s="173">
        <f>SUM(J77:J81)</f>
        <v>68333.9</v>
      </c>
      <c r="K76" s="153">
        <f t="shared" si="1"/>
        <v>37.65536151878059</v>
      </c>
    </row>
    <row r="77" spans="1:11" ht="15">
      <c r="A77" s="154" t="s">
        <v>203</v>
      </c>
      <c r="B77" s="155" t="s">
        <v>204</v>
      </c>
      <c r="C77" s="156">
        <f>71997.2-C79-C78</f>
        <v>53031</v>
      </c>
      <c r="D77" s="156">
        <f>27053.8-D79</f>
        <v>26747.1</v>
      </c>
      <c r="E77" s="156">
        <f t="shared" si="5"/>
        <v>50.43672568874808</v>
      </c>
      <c r="F77" s="157">
        <f>98558.1-F79</f>
        <v>98210.3</v>
      </c>
      <c r="G77" s="157">
        <f>37203.5-G79</f>
        <v>37087.3</v>
      </c>
      <c r="H77" s="157">
        <f>G77/F77*100</f>
        <v>37.7631470426218</v>
      </c>
      <c r="I77" s="158">
        <f>C77+F77-305</f>
        <v>150936.3</v>
      </c>
      <c r="J77" s="159">
        <f>D77+G77-200</f>
        <v>63634.4</v>
      </c>
      <c r="K77" s="160">
        <f t="shared" si="1"/>
        <v>42.15977203628286</v>
      </c>
    </row>
    <row r="78" spans="1:11" ht="60">
      <c r="A78" s="154" t="s">
        <v>203</v>
      </c>
      <c r="B78" s="180" t="s">
        <v>205</v>
      </c>
      <c r="C78" s="156">
        <f>17592.3+133.5</f>
        <v>17725.8</v>
      </c>
      <c r="D78" s="156">
        <v>0</v>
      </c>
      <c r="E78" s="156"/>
      <c r="F78" s="157"/>
      <c r="G78" s="157"/>
      <c r="H78" s="157"/>
      <c r="I78" s="158">
        <f>C78+F78</f>
        <v>17725.8</v>
      </c>
      <c r="J78" s="159">
        <f>D78+G78</f>
        <v>0</v>
      </c>
      <c r="K78" s="160">
        <f t="shared" si="1"/>
        <v>0</v>
      </c>
    </row>
    <row r="79" spans="1:11" ht="15">
      <c r="A79" s="181" t="s">
        <v>203</v>
      </c>
      <c r="B79" s="180" t="s">
        <v>206</v>
      </c>
      <c r="C79" s="156">
        <f>1044.1+196.3</f>
        <v>1240.3999999999999</v>
      </c>
      <c r="D79" s="156">
        <v>306.7</v>
      </c>
      <c r="E79" s="156">
        <f t="shared" si="5"/>
        <v>24.725894872621737</v>
      </c>
      <c r="F79" s="157">
        <f>299+48.8</f>
        <v>347.8</v>
      </c>
      <c r="G79" s="157">
        <v>116.2</v>
      </c>
      <c r="H79" s="157">
        <f>G79/F79*100</f>
        <v>33.41000575043128</v>
      </c>
      <c r="I79" s="158">
        <f>C79+F79-407.6</f>
        <v>1180.6</v>
      </c>
      <c r="J79" s="159">
        <f>D79+G79-120.7</f>
        <v>302.2</v>
      </c>
      <c r="K79" s="160">
        <f>J79/I79*100</f>
        <v>25.597153989496867</v>
      </c>
    </row>
    <row r="80" spans="1:11" ht="15">
      <c r="A80" s="154" t="s">
        <v>207</v>
      </c>
      <c r="B80" s="155" t="s">
        <v>208</v>
      </c>
      <c r="C80" s="156">
        <v>180</v>
      </c>
      <c r="D80" s="156">
        <v>78</v>
      </c>
      <c r="E80" s="156">
        <f t="shared" si="5"/>
        <v>43.333333333333336</v>
      </c>
      <c r="F80" s="157">
        <v>482</v>
      </c>
      <c r="G80" s="157">
        <v>132.4</v>
      </c>
      <c r="H80" s="157">
        <f>G80/F80*100</f>
        <v>27.468879668049794</v>
      </c>
      <c r="I80" s="158">
        <f aca="true" t="shared" si="10" ref="I80:J90">C80+F80</f>
        <v>662</v>
      </c>
      <c r="J80" s="159">
        <f t="shared" si="10"/>
        <v>210.4</v>
      </c>
      <c r="K80" s="160">
        <f aca="true" t="shared" si="11" ref="K80:K104">J80/I80*100</f>
        <v>31.782477341389733</v>
      </c>
    </row>
    <row r="81" spans="1:11" ht="15">
      <c r="A81" s="154" t="s">
        <v>209</v>
      </c>
      <c r="B81" s="155" t="s">
        <v>210</v>
      </c>
      <c r="C81" s="156">
        <v>11017.2</v>
      </c>
      <c r="D81" s="156">
        <v>4186.9</v>
      </c>
      <c r="E81" s="156">
        <f t="shared" si="5"/>
        <v>38.00330392477217</v>
      </c>
      <c r="F81" s="157">
        <v>85</v>
      </c>
      <c r="G81" s="157"/>
      <c r="H81" s="157">
        <f>G81/F81*100</f>
        <v>0</v>
      </c>
      <c r="I81" s="158">
        <f>C81+F81-135</f>
        <v>10967.2</v>
      </c>
      <c r="J81" s="159">
        <f>D81+G81</f>
        <v>4186.9</v>
      </c>
      <c r="K81" s="160">
        <f t="shared" si="11"/>
        <v>38.17656284192865</v>
      </c>
    </row>
    <row r="82" spans="1:11" ht="15">
      <c r="A82" s="149" t="s">
        <v>211</v>
      </c>
      <c r="B82" s="150" t="s">
        <v>212</v>
      </c>
      <c r="C82" s="151">
        <f>C83</f>
        <v>160689.1</v>
      </c>
      <c r="D82" s="151">
        <f>D83</f>
        <v>32060.8</v>
      </c>
      <c r="E82" s="151">
        <f>D82/C82*100</f>
        <v>19.952068933113694</v>
      </c>
      <c r="F82" s="173">
        <v>0</v>
      </c>
      <c r="G82" s="173">
        <v>0</v>
      </c>
      <c r="H82" s="152"/>
      <c r="I82" s="173">
        <f>C82+F82</f>
        <v>160689.1</v>
      </c>
      <c r="J82" s="173">
        <f t="shared" si="10"/>
        <v>32060.8</v>
      </c>
      <c r="K82" s="153">
        <f t="shared" si="11"/>
        <v>19.952068933113694</v>
      </c>
    </row>
    <row r="83" spans="1:11" ht="30">
      <c r="A83" s="162" t="s">
        <v>213</v>
      </c>
      <c r="B83" s="180" t="s">
        <v>214</v>
      </c>
      <c r="C83" s="156">
        <v>160689.1</v>
      </c>
      <c r="D83" s="157">
        <v>32060.8</v>
      </c>
      <c r="E83" s="156">
        <f t="shared" si="5"/>
        <v>19.952068933113694</v>
      </c>
      <c r="F83" s="157">
        <v>0</v>
      </c>
      <c r="G83" s="157">
        <v>0</v>
      </c>
      <c r="H83" s="157">
        <v>0</v>
      </c>
      <c r="I83" s="158">
        <f t="shared" si="10"/>
        <v>160689.1</v>
      </c>
      <c r="J83" s="159">
        <f t="shared" si="10"/>
        <v>32060.8</v>
      </c>
      <c r="K83" s="160">
        <f t="shared" si="11"/>
        <v>19.952068933113694</v>
      </c>
    </row>
    <row r="84" spans="1:11" ht="15">
      <c r="A84" s="149">
        <v>10</v>
      </c>
      <c r="B84" s="150" t="s">
        <v>215</v>
      </c>
      <c r="C84" s="151">
        <f>SUM(C85:C92)</f>
        <v>152278</v>
      </c>
      <c r="D84" s="151">
        <f>SUM(D85:D92)</f>
        <v>49435.700000000004</v>
      </c>
      <c r="E84" s="151">
        <f>D84/C84*100</f>
        <v>32.464111690460875</v>
      </c>
      <c r="F84" s="151">
        <f>SUM(F85:F90)</f>
        <v>432.9</v>
      </c>
      <c r="G84" s="151">
        <f>SUM(G85:G90)</f>
        <v>155</v>
      </c>
      <c r="H84" s="152">
        <f>G84/F84*100</f>
        <v>35.80503580503581</v>
      </c>
      <c r="I84" s="151">
        <f>SUM(I85:I92)</f>
        <v>152710.9</v>
      </c>
      <c r="J84" s="151">
        <f>SUM(J85:J92)</f>
        <v>49590.700000000004</v>
      </c>
      <c r="K84" s="153">
        <f t="shared" si="11"/>
        <v>32.473582435831375</v>
      </c>
    </row>
    <row r="85" spans="1:11" ht="15">
      <c r="A85" s="162">
        <v>1001</v>
      </c>
      <c r="B85" s="155" t="s">
        <v>216</v>
      </c>
      <c r="C85" s="156">
        <v>3836</v>
      </c>
      <c r="D85" s="156">
        <v>1564.5</v>
      </c>
      <c r="E85" s="156">
        <f t="shared" si="5"/>
        <v>40.784671532846716</v>
      </c>
      <c r="F85" s="157">
        <v>432.9</v>
      </c>
      <c r="G85" s="157">
        <v>155</v>
      </c>
      <c r="H85" s="157">
        <f>G85/F85*100</f>
        <v>35.80503580503581</v>
      </c>
      <c r="I85" s="158">
        <f t="shared" si="10"/>
        <v>4268.9</v>
      </c>
      <c r="J85" s="159">
        <f t="shared" si="10"/>
        <v>1719.5</v>
      </c>
      <c r="K85" s="160">
        <f t="shared" si="11"/>
        <v>40.279697345920496</v>
      </c>
    </row>
    <row r="86" spans="1:11" ht="45">
      <c r="A86" s="162">
        <v>1003</v>
      </c>
      <c r="B86" s="155" t="s">
        <v>217</v>
      </c>
      <c r="C86" s="156">
        <v>3050.9</v>
      </c>
      <c r="D86" s="156"/>
      <c r="E86" s="156">
        <f t="shared" si="5"/>
        <v>0</v>
      </c>
      <c r="F86" s="157">
        <v>0</v>
      </c>
      <c r="G86" s="157">
        <v>0</v>
      </c>
      <c r="H86" s="157">
        <v>0</v>
      </c>
      <c r="I86" s="158">
        <f t="shared" si="10"/>
        <v>3050.9</v>
      </c>
      <c r="J86" s="159">
        <f t="shared" si="10"/>
        <v>0</v>
      </c>
      <c r="K86" s="160">
        <f t="shared" si="11"/>
        <v>0</v>
      </c>
    </row>
    <row r="87" spans="1:11" ht="90">
      <c r="A87" s="162" t="s">
        <v>218</v>
      </c>
      <c r="B87" s="155" t="s">
        <v>219</v>
      </c>
      <c r="C87" s="156">
        <f>5779.5+714.3</f>
        <v>6493.8</v>
      </c>
      <c r="D87" s="156">
        <v>1202.6</v>
      </c>
      <c r="E87" s="156"/>
      <c r="F87" s="157"/>
      <c r="G87" s="157"/>
      <c r="H87" s="157"/>
      <c r="I87" s="158">
        <f t="shared" si="10"/>
        <v>6493.8</v>
      </c>
      <c r="J87" s="159">
        <f t="shared" si="10"/>
        <v>1202.6</v>
      </c>
      <c r="K87" s="160">
        <f t="shared" si="11"/>
        <v>18.519202932027472</v>
      </c>
    </row>
    <row r="88" spans="1:11" ht="135">
      <c r="A88" s="162" t="s">
        <v>218</v>
      </c>
      <c r="B88" s="155" t="s">
        <v>220</v>
      </c>
      <c r="C88" s="156">
        <f>2536+133</f>
        <v>2669</v>
      </c>
      <c r="D88" s="156"/>
      <c r="E88" s="156">
        <f t="shared" si="5"/>
        <v>0</v>
      </c>
      <c r="F88" s="157"/>
      <c r="G88" s="157"/>
      <c r="H88" s="157"/>
      <c r="I88" s="158">
        <f t="shared" si="10"/>
        <v>2669</v>
      </c>
      <c r="J88" s="159">
        <f t="shared" si="10"/>
        <v>0</v>
      </c>
      <c r="K88" s="160">
        <f t="shared" si="11"/>
        <v>0</v>
      </c>
    </row>
    <row r="89" spans="1:11" ht="60">
      <c r="A89" s="162">
        <v>1004</v>
      </c>
      <c r="B89" s="155" t="s">
        <v>221</v>
      </c>
      <c r="C89" s="156">
        <v>24664</v>
      </c>
      <c r="D89" s="156">
        <v>7046.5</v>
      </c>
      <c r="E89" s="156">
        <f t="shared" si="5"/>
        <v>28.56998053843659</v>
      </c>
      <c r="F89" s="157">
        <v>0</v>
      </c>
      <c r="G89" s="157">
        <v>0</v>
      </c>
      <c r="H89" s="157">
        <v>0</v>
      </c>
      <c r="I89" s="158">
        <f t="shared" si="10"/>
        <v>24664</v>
      </c>
      <c r="J89" s="159">
        <f t="shared" si="10"/>
        <v>7046.5</v>
      </c>
      <c r="K89" s="160">
        <f t="shared" si="11"/>
        <v>28.56998053843659</v>
      </c>
    </row>
    <row r="90" spans="1:11" ht="120">
      <c r="A90" s="162">
        <v>1004</v>
      </c>
      <c r="B90" s="155" t="s">
        <v>222</v>
      </c>
      <c r="C90" s="156">
        <v>71888.3</v>
      </c>
      <c r="D90" s="156">
        <v>23844.7</v>
      </c>
      <c r="E90" s="156">
        <f aca="true" t="shared" si="12" ref="E90:E103">D90/C90*100</f>
        <v>33.1690970575184</v>
      </c>
      <c r="F90" s="157">
        <v>0</v>
      </c>
      <c r="G90" s="157">
        <v>0</v>
      </c>
      <c r="H90" s="157">
        <v>0</v>
      </c>
      <c r="I90" s="158">
        <f t="shared" si="10"/>
        <v>71888.3</v>
      </c>
      <c r="J90" s="159">
        <f t="shared" si="10"/>
        <v>23844.7</v>
      </c>
      <c r="K90" s="160">
        <f t="shared" si="11"/>
        <v>33.1690970575184</v>
      </c>
    </row>
    <row r="91" spans="1:11" ht="105">
      <c r="A91" s="162" t="s">
        <v>223</v>
      </c>
      <c r="B91" s="155" t="s">
        <v>224</v>
      </c>
      <c r="C91" s="156">
        <v>22676.9</v>
      </c>
      <c r="D91" s="156">
        <v>11338.5</v>
      </c>
      <c r="E91" s="156">
        <f>D91/C91*100</f>
        <v>50.00022048869113</v>
      </c>
      <c r="F91" s="157">
        <v>0</v>
      </c>
      <c r="G91" s="157">
        <v>0</v>
      </c>
      <c r="H91" s="157">
        <v>0</v>
      </c>
      <c r="I91" s="158">
        <f>C91+F91</f>
        <v>22676.9</v>
      </c>
      <c r="J91" s="159">
        <f>D91+G91</f>
        <v>11338.5</v>
      </c>
      <c r="K91" s="160">
        <f>J91/I91*100</f>
        <v>50.00022048869113</v>
      </c>
    </row>
    <row r="92" spans="1:11" ht="15">
      <c r="A92" s="162">
        <v>1006</v>
      </c>
      <c r="B92" s="155" t="s">
        <v>225</v>
      </c>
      <c r="C92" s="156">
        <v>16999.1</v>
      </c>
      <c r="D92" s="156">
        <v>4438.9</v>
      </c>
      <c r="E92" s="156">
        <f t="shared" si="12"/>
        <v>26.112558900177067</v>
      </c>
      <c r="F92" s="157">
        <v>0</v>
      </c>
      <c r="G92" s="157">
        <v>0</v>
      </c>
      <c r="H92" s="157">
        <v>0</v>
      </c>
      <c r="I92" s="158">
        <f>C92+F92</f>
        <v>16999.1</v>
      </c>
      <c r="J92" s="159">
        <f>D92+G92</f>
        <v>4438.9</v>
      </c>
      <c r="K92" s="160">
        <f t="shared" si="11"/>
        <v>26.112558900177067</v>
      </c>
    </row>
    <row r="93" spans="1:11" ht="15">
      <c r="A93" s="177">
        <v>1100</v>
      </c>
      <c r="B93" s="150" t="s">
        <v>226</v>
      </c>
      <c r="C93" s="151">
        <f>SUM(C94:C95)</f>
        <v>90804.7</v>
      </c>
      <c r="D93" s="151">
        <f>SUM(D94:D95)</f>
        <v>21676.4</v>
      </c>
      <c r="E93" s="151">
        <f>D93/C93*100</f>
        <v>23.87145158785834</v>
      </c>
      <c r="F93" s="173">
        <f>F94+F95</f>
        <v>29324.3</v>
      </c>
      <c r="G93" s="173">
        <f>G94+G95</f>
        <v>10435.3</v>
      </c>
      <c r="H93" s="152">
        <f>G93/F93*100</f>
        <v>35.58584518641536</v>
      </c>
      <c r="I93" s="173">
        <f>SUM(I94:I95)</f>
        <v>119844</v>
      </c>
      <c r="J93" s="173">
        <f>SUM(J94:J95)</f>
        <v>31886.699999999997</v>
      </c>
      <c r="K93" s="153">
        <f t="shared" si="11"/>
        <v>26.60683889055772</v>
      </c>
    </row>
    <row r="94" spans="1:11" ht="15">
      <c r="A94" s="162">
        <v>1101</v>
      </c>
      <c r="B94" s="155" t="s">
        <v>227</v>
      </c>
      <c r="C94" s="156">
        <v>18807</v>
      </c>
      <c r="D94" s="156">
        <v>7446.9</v>
      </c>
      <c r="E94" s="156">
        <f t="shared" si="12"/>
        <v>39.59642686233849</v>
      </c>
      <c r="F94" s="157">
        <v>29324.3</v>
      </c>
      <c r="G94" s="157">
        <v>10435.3</v>
      </c>
      <c r="H94" s="157">
        <f>G94/F94*100</f>
        <v>35.58584518641536</v>
      </c>
      <c r="I94" s="158">
        <f>C94+F94-285</f>
        <v>47846.3</v>
      </c>
      <c r="J94" s="158">
        <f>D94+G94-225</f>
        <v>17657.199999999997</v>
      </c>
      <c r="K94" s="160">
        <f t="shared" si="11"/>
        <v>36.90400302635731</v>
      </c>
    </row>
    <row r="95" spans="1:11" ht="15">
      <c r="A95" s="162">
        <v>1102</v>
      </c>
      <c r="B95" s="155" t="s">
        <v>228</v>
      </c>
      <c r="C95" s="156">
        <v>71997.7</v>
      </c>
      <c r="D95" s="156">
        <v>14229.5</v>
      </c>
      <c r="E95" s="156">
        <f t="shared" si="12"/>
        <v>19.76382578887937</v>
      </c>
      <c r="F95" s="157"/>
      <c r="G95" s="157">
        <v>0</v>
      </c>
      <c r="H95" s="157"/>
      <c r="I95" s="158">
        <f>C95+F95</f>
        <v>71997.7</v>
      </c>
      <c r="J95" s="158">
        <f>D95+G95</f>
        <v>14229.5</v>
      </c>
      <c r="K95" s="160">
        <f t="shared" si="11"/>
        <v>19.76382578887937</v>
      </c>
    </row>
    <row r="96" spans="1:11" ht="15">
      <c r="A96" s="177">
        <v>1200</v>
      </c>
      <c r="B96" s="150" t="s">
        <v>229</v>
      </c>
      <c r="C96" s="151">
        <f>C97</f>
        <v>5326</v>
      </c>
      <c r="D96" s="151">
        <f>D97</f>
        <v>870</v>
      </c>
      <c r="E96" s="182">
        <f>D96/C96*100</f>
        <v>16.33496057078483</v>
      </c>
      <c r="F96" s="151">
        <f>F97</f>
        <v>0</v>
      </c>
      <c r="G96" s="151">
        <f>G97</f>
        <v>0</v>
      </c>
      <c r="H96" s="183"/>
      <c r="I96" s="151">
        <f aca="true" t="shared" si="13" ref="I96:J99">C96+F96</f>
        <v>5326</v>
      </c>
      <c r="J96" s="151">
        <f t="shared" si="13"/>
        <v>870</v>
      </c>
      <c r="K96" s="164">
        <f t="shared" si="11"/>
        <v>16.33496057078483</v>
      </c>
    </row>
    <row r="97" spans="1:11" ht="15">
      <c r="A97" s="162" t="s">
        <v>230</v>
      </c>
      <c r="B97" s="155" t="s">
        <v>231</v>
      </c>
      <c r="C97" s="156">
        <v>5326</v>
      </c>
      <c r="D97" s="156">
        <v>870</v>
      </c>
      <c r="E97" s="156">
        <f>D97/C97*100</f>
        <v>16.33496057078483</v>
      </c>
      <c r="F97" s="157">
        <v>0</v>
      </c>
      <c r="G97" s="157">
        <v>0</v>
      </c>
      <c r="H97" s="157">
        <v>0</v>
      </c>
      <c r="I97" s="158">
        <f t="shared" si="13"/>
        <v>5326</v>
      </c>
      <c r="J97" s="158">
        <f t="shared" si="13"/>
        <v>870</v>
      </c>
      <c r="K97" s="160">
        <f>J97/I97*100</f>
        <v>16.33496057078483</v>
      </c>
    </row>
    <row r="98" spans="1:11" ht="15">
      <c r="A98" s="177">
        <v>1300</v>
      </c>
      <c r="B98" s="150" t="s">
        <v>232</v>
      </c>
      <c r="C98" s="151">
        <f aca="true" t="shared" si="14" ref="C98:H98">C99</f>
        <v>15</v>
      </c>
      <c r="D98" s="151">
        <f t="shared" si="14"/>
        <v>4.3</v>
      </c>
      <c r="E98" s="151">
        <f t="shared" si="14"/>
        <v>28.666666666666668</v>
      </c>
      <c r="F98" s="151">
        <f t="shared" si="14"/>
        <v>0</v>
      </c>
      <c r="G98" s="151">
        <f t="shared" si="14"/>
        <v>0</v>
      </c>
      <c r="H98" s="163">
        <f t="shared" si="14"/>
        <v>0</v>
      </c>
      <c r="I98" s="151">
        <f t="shared" si="13"/>
        <v>15</v>
      </c>
      <c r="J98" s="151">
        <f t="shared" si="13"/>
        <v>4.3</v>
      </c>
      <c r="K98" s="164">
        <f t="shared" si="11"/>
        <v>28.666666666666668</v>
      </c>
    </row>
    <row r="99" spans="1:11" ht="30">
      <c r="A99" s="162">
        <v>1301</v>
      </c>
      <c r="B99" s="155" t="s">
        <v>233</v>
      </c>
      <c r="C99" s="156">
        <v>15</v>
      </c>
      <c r="D99" s="156">
        <v>4.3</v>
      </c>
      <c r="E99" s="156">
        <f t="shared" si="12"/>
        <v>28.666666666666668</v>
      </c>
      <c r="F99" s="157"/>
      <c r="G99" s="157">
        <v>0</v>
      </c>
      <c r="H99" s="157">
        <v>0</v>
      </c>
      <c r="I99" s="158">
        <f t="shared" si="13"/>
        <v>15</v>
      </c>
      <c r="J99" s="158">
        <f t="shared" si="13"/>
        <v>4.3</v>
      </c>
      <c r="K99" s="160">
        <f t="shared" si="11"/>
        <v>28.666666666666668</v>
      </c>
    </row>
    <row r="100" spans="1:11" ht="14.25">
      <c r="A100" s="177">
        <v>1400</v>
      </c>
      <c r="B100" s="150" t="s">
        <v>234</v>
      </c>
      <c r="C100" s="151">
        <f>SUM(C101:C103)</f>
        <v>278249</v>
      </c>
      <c r="D100" s="151">
        <f>SUM(D101:D103)</f>
        <v>113456.7</v>
      </c>
      <c r="E100" s="151">
        <f>D100/C100*100</f>
        <v>40.775240881368845</v>
      </c>
      <c r="F100" s="173">
        <f>F101+F102+F103</f>
        <v>0</v>
      </c>
      <c r="G100" s="173">
        <f>SUM(G101:G103)</f>
        <v>0</v>
      </c>
      <c r="H100" s="173"/>
      <c r="I100" s="173">
        <v>0</v>
      </c>
      <c r="J100" s="173">
        <v>0</v>
      </c>
      <c r="K100" s="153">
        <v>0</v>
      </c>
    </row>
    <row r="101" spans="1:11" ht="30">
      <c r="A101" s="162">
        <v>1401</v>
      </c>
      <c r="B101" s="155" t="s">
        <v>235</v>
      </c>
      <c r="C101" s="156">
        <v>120111.6</v>
      </c>
      <c r="D101" s="156">
        <v>48044.7</v>
      </c>
      <c r="E101" s="156">
        <f t="shared" si="12"/>
        <v>40.0000499535432</v>
      </c>
      <c r="F101" s="157">
        <v>0</v>
      </c>
      <c r="G101" s="157">
        <v>0</v>
      </c>
      <c r="H101" s="157">
        <v>0</v>
      </c>
      <c r="I101" s="158">
        <v>0</v>
      </c>
      <c r="J101" s="159">
        <v>0</v>
      </c>
      <c r="K101" s="160">
        <v>0</v>
      </c>
    </row>
    <row r="102" spans="1:11" ht="15">
      <c r="A102" s="162">
        <v>1402</v>
      </c>
      <c r="B102" s="155" t="s">
        <v>236</v>
      </c>
      <c r="C102" s="156">
        <v>156337.4</v>
      </c>
      <c r="D102" s="156">
        <v>65412</v>
      </c>
      <c r="E102" s="156">
        <f t="shared" si="12"/>
        <v>41.840276223091855</v>
      </c>
      <c r="F102" s="157">
        <v>0</v>
      </c>
      <c r="G102" s="157">
        <v>0</v>
      </c>
      <c r="H102" s="157">
        <v>0</v>
      </c>
      <c r="I102" s="158">
        <v>0</v>
      </c>
      <c r="J102" s="159">
        <v>0</v>
      </c>
      <c r="K102" s="160">
        <v>0</v>
      </c>
    </row>
    <row r="103" spans="1:11" ht="15">
      <c r="A103" s="162">
        <v>1403</v>
      </c>
      <c r="B103" s="155" t="s">
        <v>237</v>
      </c>
      <c r="C103" s="156">
        <v>1800</v>
      </c>
      <c r="D103" s="156">
        <v>0</v>
      </c>
      <c r="E103" s="156">
        <f t="shared" si="12"/>
        <v>0</v>
      </c>
      <c r="F103" s="157">
        <v>0</v>
      </c>
      <c r="G103" s="157">
        <v>0</v>
      </c>
      <c r="H103" s="157">
        <v>0</v>
      </c>
      <c r="I103" s="158">
        <v>0</v>
      </c>
      <c r="J103" s="159">
        <v>0</v>
      </c>
      <c r="K103" s="160">
        <v>0</v>
      </c>
    </row>
    <row r="104" spans="1:11" ht="15" thickBot="1">
      <c r="A104" s="184" t="s">
        <v>238</v>
      </c>
      <c r="B104" s="185"/>
      <c r="C104" s="186">
        <f>C9+C17+C19+C24+C44+C65+C67+C76+C82+C84+C93+C96+C98+C100</f>
        <v>3623429.5</v>
      </c>
      <c r="D104" s="186">
        <f>D100+D98+D96+D93+D84+D82+D76+D67+D65+D44+D24+D19+D17+D9</f>
        <v>1215364.2999999998</v>
      </c>
      <c r="E104" s="186">
        <f>D104/C104*100</f>
        <v>33.54182274003123</v>
      </c>
      <c r="F104" s="186">
        <f>F9+F17+F19+F24+F44+F65+F67+F76+F82+F84+F93+F96+F98+F100</f>
        <v>557829</v>
      </c>
      <c r="G104" s="186">
        <f>G100+G98+G96+G84+G82+G76+G67+G44+G24+G20+G17+G9+G19+G93</f>
        <v>179919.8</v>
      </c>
      <c r="H104" s="187">
        <f>G104/F104*100</f>
        <v>32.25357591663395</v>
      </c>
      <c r="I104" s="186">
        <f>I100+I98+I96+I93+I84+I82+I76+I67+I65+I44+I24+I19+I17+I9</f>
        <v>3838497.1999999993</v>
      </c>
      <c r="J104" s="186">
        <f>J100+J98+J96+J93+J84+J82+J76+J67+J65+J44+J24+J19+J17+J9</f>
        <v>1276274.8000000003</v>
      </c>
      <c r="K104" s="188">
        <f t="shared" si="11"/>
        <v>33.24933518252926</v>
      </c>
    </row>
    <row r="105" spans="1:11" ht="12.75">
      <c r="A105" s="189"/>
      <c r="B105" s="190"/>
      <c r="C105" s="191"/>
      <c r="D105" s="124"/>
      <c r="E105" s="192"/>
      <c r="F105" s="126"/>
      <c r="G105" s="127"/>
      <c r="H105" s="127"/>
      <c r="I105" s="129"/>
      <c r="J105" s="129"/>
      <c r="K105" s="129"/>
    </row>
    <row r="106" spans="1:11" ht="12.75">
      <c r="A106" s="193"/>
      <c r="B106" s="194"/>
      <c r="C106" s="195"/>
      <c r="D106" s="195"/>
      <c r="E106" s="195"/>
      <c r="F106" s="195"/>
      <c r="G106" s="195"/>
      <c r="H106" s="195"/>
      <c r="I106" s="195"/>
      <c r="J106" s="195"/>
      <c r="K106" s="195"/>
    </row>
    <row r="107" spans="1:11" ht="12.75">
      <c r="A107" s="193"/>
      <c r="B107" s="194"/>
      <c r="C107" s="195"/>
      <c r="D107" s="196"/>
      <c r="E107" s="192"/>
      <c r="F107" s="126"/>
      <c r="G107" s="127"/>
      <c r="H107" s="127"/>
      <c r="I107" s="128"/>
      <c r="J107" s="128"/>
      <c r="K107" s="129"/>
    </row>
    <row r="108" spans="1:11" ht="12.75">
      <c r="A108" s="197" t="s">
        <v>239</v>
      </c>
      <c r="B108" s="197"/>
      <c r="C108" s="197"/>
      <c r="D108" s="198"/>
      <c r="E108" s="199"/>
      <c r="F108" s="199"/>
      <c r="G108" s="127"/>
      <c r="H108" s="127"/>
      <c r="I108" s="129"/>
      <c r="J108" s="129"/>
      <c r="K108" s="129"/>
    </row>
    <row r="109" spans="1:11" ht="12.75">
      <c r="A109" s="197" t="s">
        <v>240</v>
      </c>
      <c r="B109" s="197"/>
      <c r="C109" s="197"/>
      <c r="D109" s="200"/>
      <c r="E109" s="201" t="s">
        <v>241</v>
      </c>
      <c r="F109" s="201"/>
      <c r="G109" s="127"/>
      <c r="H109" s="127"/>
      <c r="I109" s="128"/>
      <c r="J109" s="129"/>
      <c r="K109" s="129"/>
    </row>
    <row r="110" spans="1:11" ht="12.75">
      <c r="A110" s="202"/>
      <c r="B110" s="203"/>
      <c r="C110" s="204"/>
      <c r="D110" s="205"/>
      <c r="E110" s="206"/>
      <c r="F110" s="207"/>
      <c r="G110" s="127"/>
      <c r="H110" s="127"/>
      <c r="I110" s="128"/>
      <c r="J110" s="129"/>
      <c r="K110" s="129"/>
    </row>
    <row r="111" spans="1:11" ht="12.75">
      <c r="A111" s="197" t="s">
        <v>242</v>
      </c>
      <c r="B111" s="197"/>
      <c r="C111" s="197"/>
      <c r="D111" s="208"/>
      <c r="E111" s="201" t="s">
        <v>243</v>
      </c>
      <c r="F111" s="201"/>
      <c r="G111" s="127"/>
      <c r="H111" s="127"/>
      <c r="I111" s="128"/>
      <c r="J111" s="129"/>
      <c r="K111" s="129"/>
    </row>
    <row r="112" spans="1:11" ht="12.75">
      <c r="A112" s="202"/>
      <c r="B112" s="209"/>
      <c r="C112" s="210"/>
      <c r="D112" s="211"/>
      <c r="E112" s="206"/>
      <c r="F112" s="207"/>
      <c r="G112" s="127"/>
      <c r="H112" s="127"/>
      <c r="I112" s="128"/>
      <c r="J112" s="129"/>
      <c r="K112" s="129"/>
    </row>
    <row r="113" spans="1:11" ht="12.75">
      <c r="A113" s="197" t="s">
        <v>244</v>
      </c>
      <c r="B113" s="197"/>
      <c r="C113" s="197"/>
      <c r="D113" s="208"/>
      <c r="E113" s="212" t="s">
        <v>245</v>
      </c>
      <c r="F113" s="212"/>
      <c r="G113" s="127"/>
      <c r="H113" s="127"/>
      <c r="I113" s="128"/>
      <c r="J113" s="129"/>
      <c r="K113" s="129"/>
    </row>
    <row r="114" spans="1:11" ht="12.75">
      <c r="A114" s="213"/>
      <c r="B114" s="214"/>
      <c r="C114" s="215"/>
      <c r="D114" s="198"/>
      <c r="E114" s="198"/>
      <c r="F114" s="199"/>
      <c r="G114" s="127"/>
      <c r="H114" s="127"/>
      <c r="I114" s="129"/>
      <c r="J114" s="129"/>
      <c r="K114" s="129"/>
    </row>
    <row r="115" spans="1:6" ht="12.75">
      <c r="A115" s="216"/>
      <c r="B115" s="216"/>
      <c r="C115" s="217" t="s">
        <v>246</v>
      </c>
      <c r="D115" s="218"/>
      <c r="E115" s="219" t="s">
        <v>247</v>
      </c>
      <c r="F115" s="216"/>
    </row>
  </sheetData>
  <sheetProtection/>
  <mergeCells count="35">
    <mergeCell ref="A108:C108"/>
    <mergeCell ref="A109:C109"/>
    <mergeCell ref="E109:F109"/>
    <mergeCell ref="A111:C111"/>
    <mergeCell ref="E111:F111"/>
    <mergeCell ref="A113:C113"/>
    <mergeCell ref="E113:F113"/>
    <mergeCell ref="G19:G20"/>
    <mergeCell ref="H19:H20"/>
    <mergeCell ref="I19:I20"/>
    <mergeCell ref="J19:J20"/>
    <mergeCell ref="K19:K20"/>
    <mergeCell ref="A104:B104"/>
    <mergeCell ref="A19:A20"/>
    <mergeCell ref="B19:B20"/>
    <mergeCell ref="C19:C20"/>
    <mergeCell ref="D19:D20"/>
    <mergeCell ref="E19:E20"/>
    <mergeCell ref="F19:F20"/>
    <mergeCell ref="G4:G5"/>
    <mergeCell ref="H4:H5"/>
    <mergeCell ref="I4:I5"/>
    <mergeCell ref="J4:J5"/>
    <mergeCell ref="K4:K5"/>
    <mergeCell ref="B6:K8"/>
    <mergeCell ref="A1:K1"/>
    <mergeCell ref="A3:A8"/>
    <mergeCell ref="B3:B5"/>
    <mergeCell ref="C3:E3"/>
    <mergeCell ref="F3:H3"/>
    <mergeCell ref="I3:K3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Заворотынская</cp:lastModifiedBy>
  <cp:lastPrinted>2017-06-19T03:23:45Z</cp:lastPrinted>
  <dcterms:created xsi:type="dcterms:W3CDTF">2006-05-12T06:58:42Z</dcterms:created>
  <dcterms:modified xsi:type="dcterms:W3CDTF">2017-07-25T10:35:24Z</dcterms:modified>
  <cp:category/>
  <cp:version/>
  <cp:contentType/>
  <cp:contentStatus/>
</cp:coreProperties>
</file>