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4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98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9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<sst xmlns="http://schemas.openxmlformats.org/spreadsheetml/2006/main" count="611" uniqueCount="252">
  <si>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</si>
  <si>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</si>
  <si>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</si>
  <si>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</si>
  <si>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</si>
  <si>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</si>
  <si>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</si>
  <si>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</si>
  <si>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</si>
  <si>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</si>
  <si>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</si>
  <si>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</si>
  <si>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</si>
  <si>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</si>
  <si>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</si>
  <si>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</si>
  <si>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</si>
  <si>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</si>
  <si>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</si>
  <si>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</si>
  <si>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 xml:space="preserve">План 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</si>
  <si>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</si>
  <si>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</si>
  <si>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</si>
  <si>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</si>
  <si>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</si>
  <si>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</si>
  <si>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</si>
  <si>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</si>
  <si>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</si>
  <si>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</si>
  <si>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</si>
  <si>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</si>
  <si>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</si>
  <si>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</si>
  <si>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</si>
  <si>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</si>
  <si>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</si>
  <si>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</si>
  <si>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</si>
  <si>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</si>
  <si>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</si>
  <si>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</si>
  <si>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</si>
  <si>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</si>
  <si>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</si>
  <si>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</si>
  <si>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</si>
  <si>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</si>
  <si>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</si>
  <si>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</si>
  <si>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</si>
  <si>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</si>
  <si>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</si>
  <si>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от плана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</si>
  <si>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</si>
  <si>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</si>
  <si>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</si>
  <si>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</si>
  <si>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</si>
  <si>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</si>
  <si>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</si>
  <si>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</si>
  <si>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</si>
  <si>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</si>
  <si>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</si>
  <si>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</si>
  <si>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</si>
  <si>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</si>
  <si>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</si>
  <si>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</si>
  <si>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</si>
  <si>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</si>
  <si>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</si>
  <si>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00021900000000000180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</si>
  <si>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</si>
  <si>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</si>
  <si>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</si>
  <si>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</si>
  <si>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</si>
  <si>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</si>
  <si>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</si>
  <si>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</si>
  <si>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</si>
  <si>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</si>
  <si>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</si>
  <si>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</si>
  <si>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</si>
  <si>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</si>
  <si>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</si>
  <si>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</si>
  <si>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</si>
  <si>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</si>
  <si>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</si>
  <si>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</si>
  <si>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</si>
  <si>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</si>
  <si>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</si>
  <si>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</si>
  <si>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  проведение  выборов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</si>
  <si>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</si>
  <si>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</si>
  <si>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</si>
  <si>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</si>
  <si>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</si>
  <si>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</si>
  <si>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</si>
  <si>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</si>
  <si>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</si>
  <si>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</si>
  <si>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</si>
  <si>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</si>
  <si>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</si>
  <si>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</si>
  <si>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</si>
  <si>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</si>
  <si>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</si>
  <si>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</si>
  <si>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</si>
  <si>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</si>
  <si>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</si>
  <si>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</si>
  <si>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</si>
  <si>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</si>
  <si>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</si>
  <si>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</si>
  <si>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</si>
  <si>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</si>
  <si>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Программа"Совершенствование  и развитие  сети автомобильных дорог местного значения в Октябрьском  районе" на 2011-2013 годы (7950000)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</si>
  <si>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</si>
  <si>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</si>
  <si>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</si>
  <si>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</si>
  <si>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</si>
  <si>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Программа" Реконструкция  внутрипоселковых электрических  сетей  населенных пунктов  в Октябрьском  районе на 2011-2015 годы" (7950000) тс 01.03.33</t>
  </si>
  <si>
    <t>Программа "Развитие  малого и среднего предпринимательства  в Октябрьском  районе"  на 2011-2013 годы (7950000) тс 01.03.20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</si>
  <si>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</si>
  <si>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</si>
  <si>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Программа "Энергосбережения и повышения энергоэффективности в ХМАО-Югре" на 2010-2013гг на период до 2015г. (5226300)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</si>
  <si>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</si>
  <si>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</si>
  <si>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</si>
  <si>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</si>
  <si>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Программа "Наш дом" на 2011-2013 годы (5227000)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</si>
  <si>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</si>
  <si>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</si>
  <si>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</si>
  <si>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</si>
  <si>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Подпрограмма "Проектирование и строительство инженерных сетей" (7950000) т.с.01.03.07 местный бюджет</t>
  </si>
  <si>
    <t>Подпрограмма "Реконструкция и развитие объектов теплоснабжения" (7950000)тс 01.03.21 местный бюджет</t>
  </si>
  <si>
    <t>Подпрограмма "Реконструкция и развитие объектов газоснабжения" (7950000) тс 01.03.09 местный бюджет</t>
  </si>
  <si>
    <t>Подпрограмма "Реконструкция и развитие объектов водоснабжения" (7950000)тс 01.03.37 местный бюджет</t>
  </si>
  <si>
    <t>Подпрограмма "Реконструкция, расширение, модернизация, строительство обьектов водоотведения" (7950000)тс 01.03.38 местный бюджет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</si>
  <si>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</si>
  <si>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</si>
  <si>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</si>
  <si>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</si>
  <si>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</si>
  <si>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</si>
  <si>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</si>
  <si>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</si>
  <si>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</si>
  <si>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</si>
  <si>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7950000 мб, 310</t>
  </si>
  <si>
    <t>0702</t>
  </si>
  <si>
    <t>Общее образование</t>
  </si>
  <si>
    <t>Бесплатное питание (4219904)</t>
  </si>
  <si>
    <t>Программа "Наша новая школа" на 2011-2013гг. 7950000 тс 01.03.36</t>
  </si>
  <si>
    <t>Программа "Наша новая школа" на 2011-2013гг., подпрограмма "Развитие МТБ учреждений образования ХМАО-Югры" 5225603 тс 01.40.18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</si>
  <si>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</si>
  <si>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</si>
  <si>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</si>
  <si>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</si>
  <si>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</si>
  <si>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</si>
  <si>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</si>
  <si>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</si>
  <si>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 округ, 310 тс 01.40.09, 01.60.00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</si>
  <si>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7950000 мб, 310 тс 01.03.14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</si>
  <si>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</si>
  <si>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</si>
  <si>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</si>
  <si>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</si>
  <si>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</si>
  <si>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</si>
  <si>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</si>
  <si>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</si>
  <si>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</si>
  <si>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</si>
  <si>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</si>
  <si>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</si>
  <si>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</si>
  <si>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</si>
  <si>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</si>
  <si>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</si>
  <si>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</si>
  <si>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</si>
  <si>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</si>
  <si>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</si>
  <si>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</si>
  <si>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</si>
  <si>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</si>
  <si>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</si>
  <si>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</si>
  <si>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</si>
  <si>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</si>
  <si>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</si>
  <si>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</si>
  <si>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</si>
  <si>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</si>
  <si>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</si>
  <si>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</si>
  <si>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</si>
  <si>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</si>
  <si>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</si>
  <si>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</si>
  <si>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</si>
  <si>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</si>
  <si>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Заведующий отделом учета  исполнения  бюджета</t>
  </si>
  <si>
    <t>Заворотынская Н.А.</t>
  </si>
  <si>
    <t>Главный специалист  бюджетного отдела</t>
  </si>
  <si>
    <t>Колыгина Я.М.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</si>
  <si>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</si>
  <si>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</si>
  <si>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Содействие развитию жилищного строительства на территории Октябрьского района на 2011 - 2013 годы и на период до 2015 года (7950000)тс 01.03.39</t>
  </si>
  <si>
    <t>Программа "Обеспечение жильем молодых семей на территории Октябрьского района"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</si>
  <si>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</si>
  <si>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</si>
  <si>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01.40.32</t>
  </si>
  <si>
    <t>Программа по капитальному ремонту многоквартирных домов "Наш дом" (5227000)</t>
  </si>
  <si>
    <t>Программа "Культура Октябрьского района на 2010-2012 гг." 7950000 тс 01.03.14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</si>
  <si>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</si>
  <si>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</si>
  <si>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</si>
  <si>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19 апреля 2012 года</t>
  </si>
  <si>
    <t>Отчет об исполнении консолидированного бюджета Октябрьского района по состоянию на 01.05.2012</t>
  </si>
  <si>
    <t>1 полугодия</t>
  </si>
  <si>
    <t>1 полуг. 2012г</t>
  </si>
  <si>
    <t>Отчет  об  исполнении  консолидированного  бюджета  района  по  расходам на 1 мая 2012 года</t>
  </si>
  <si>
    <t>исполнение на 01.05.2012</t>
  </si>
  <si>
    <t>исполнения на 01.05.2012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</si>
  <si>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</si>
  <si>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"Реконструкция внутрипоселковых электрических сетей населенных пунктов в Октябрьском районе на 2001-2015 годы"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</si>
  <si>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</si>
  <si>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</si>
  <si>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</si>
  <si>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>Программа "Новая школа Югры" (объекты капитального строительства собственности муниципальнных образований ) ЦСР 5225603 округ, 310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</si>
  <si>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</si>
  <si>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</si>
  <si>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Заведующий  бюджетным отделом</t>
  </si>
  <si>
    <t>Агеева Н.В.</t>
  </si>
  <si>
    <t>18 мая 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</si>
</sst>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6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168" fontId="4" fillId="0" borderId="15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5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10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vertical="center" wrapText="1"/>
      <protection/>
    </xf>
    <xf numFmtId="171" fontId="54" fillId="0" borderId="0" xfId="53" applyNumberFormat="1" applyFont="1" applyFill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 quotePrefix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left" vertical="center" wrapText="1"/>
      <protection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2" fillId="33" borderId="18" xfId="53" applyNumberFormat="1" applyFont="1" applyFill="1" applyBorder="1" applyAlignment="1">
      <alignment horizontal="center" vertical="center" wrapText="1"/>
      <protection/>
    </xf>
    <xf numFmtId="171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53" applyNumberFormat="1" applyFont="1" applyFill="1" applyBorder="1" applyAlignment="1">
      <alignment horizontal="left" vertical="center" wrapText="1"/>
      <protection/>
    </xf>
    <xf numFmtId="171" fontId="11" fillId="35" borderId="10" xfId="53" applyNumberFormat="1" applyFont="1" applyFill="1" applyBorder="1" applyAlignment="1">
      <alignment horizontal="center" vertical="center" wrapText="1"/>
      <protection/>
    </xf>
    <xf numFmtId="171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2" applyNumberFormat="1" applyFont="1" applyFill="1" applyBorder="1" applyAlignment="1" applyProtection="1">
      <alignment horizontal="left" vertical="center" wrapText="1"/>
      <protection hidden="1"/>
    </xf>
    <xf numFmtId="171" fontId="55" fillId="0" borderId="10" xfId="53" applyNumberFormat="1" applyFont="1" applyFill="1" applyBorder="1" applyAlignment="1">
      <alignment horizontal="center" vertical="center" wrapText="1"/>
      <protection/>
    </xf>
    <xf numFmtId="43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left" vertical="center" wrapText="1"/>
      <protection/>
    </xf>
    <xf numFmtId="171" fontId="12" fillId="36" borderId="19" xfId="53" applyNumberFormat="1" applyFont="1" applyFill="1" applyBorder="1" applyAlignment="1">
      <alignment horizontal="center" vertical="center" wrapText="1"/>
      <protection/>
    </xf>
    <xf numFmtId="171" fontId="12" fillId="36" borderId="19" xfId="0" applyNumberFormat="1" applyFont="1" applyFill="1" applyBorder="1" applyAlignment="1">
      <alignment horizontal="center" vertical="center" wrapText="1"/>
    </xf>
    <xf numFmtId="171" fontId="12" fillId="36" borderId="20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71" fontId="54" fillId="0" borderId="0" xfId="53" applyNumberFormat="1" applyFont="1" applyFill="1" applyBorder="1" applyAlignment="1">
      <alignment horizontal="center" vertical="center" wrapText="1"/>
      <protection/>
    </xf>
    <xf numFmtId="171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11" fillId="0" borderId="16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Alignment="1">
      <alignment horizontal="left" vertical="center" wrapText="1"/>
    </xf>
    <xf numFmtId="171" fontId="1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1" fontId="5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4" fontId="2" fillId="0" borderId="21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10" fillId="0" borderId="0" xfId="53" applyNumberFormat="1" applyFont="1" applyFill="1" applyBorder="1" applyAlignment="1">
      <alignment horizontal="right" vertical="center" wrapText="1"/>
      <protection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1" fillId="0" borderId="10" xfId="53" applyNumberFormat="1" applyFont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Fill="1" applyBorder="1" applyAlignment="1">
      <alignment horizontal="center" vertical="center" wrapText="1"/>
      <protection/>
    </xf>
    <xf numFmtId="171" fontId="12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Border="1" applyAlignment="1">
      <alignment horizontal="center" vertical="center" wrapText="1"/>
      <protection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8" fillId="0" borderId="10" xfId="0" applyNumberFormat="1" applyFont="1" applyBorder="1" applyAlignment="1">
      <alignment horizontal="center" vertical="center"/>
    </xf>
    <xf numFmtId="171" fontId="12" fillId="0" borderId="18" xfId="53" applyNumberFormat="1" applyFont="1" applyBorder="1" applyAlignment="1">
      <alignment horizontal="center" vertical="center" wrapText="1"/>
      <protection/>
    </xf>
    <xf numFmtId="171" fontId="12" fillId="0" borderId="18" xfId="0" applyNumberFormat="1" applyFont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10" fillId="0" borderId="24" xfId="53" applyNumberFormat="1" applyFont="1" applyBorder="1" applyAlignment="1">
      <alignment horizontal="center" vertical="center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0" fontId="10" fillId="0" borderId="25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171" fontId="11" fillId="0" borderId="25" xfId="53" applyNumberFormat="1" applyFont="1" applyFill="1" applyBorder="1" applyAlignment="1">
      <alignment horizontal="center" vertical="center" wrapText="1"/>
      <protection/>
    </xf>
    <xf numFmtId="171" fontId="11" fillId="0" borderId="25" xfId="0" applyNumberFormat="1" applyFont="1" applyBorder="1" applyAlignment="1">
      <alignment horizontal="center" vertical="center" wrapText="1"/>
    </xf>
    <xf numFmtId="171" fontId="12" fillId="0" borderId="25" xfId="0" applyNumberFormat="1" applyFont="1" applyFill="1" applyBorder="1" applyAlignment="1">
      <alignment horizontal="center" vertical="center" wrapText="1"/>
    </xf>
    <xf numFmtId="171" fontId="12" fillId="0" borderId="26" xfId="0" applyNumberFormat="1" applyFont="1" applyFill="1" applyBorder="1" applyAlignment="1">
      <alignment horizontal="center" vertical="center" wrapText="1"/>
    </xf>
    <xf numFmtId="0" fontId="15" fillId="36" borderId="27" xfId="53" applyNumberFormat="1" applyFont="1" applyFill="1" applyBorder="1" applyAlignment="1">
      <alignment horizontal="center" vertical="center" wrapText="1"/>
      <protection/>
    </xf>
    <xf numFmtId="0" fontId="15" fillId="36" borderId="19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PageLayoutView="0" workbookViewId="0" topLeftCell="A1">
      <pane xSplit="3" ySplit="8" topLeftCell="D19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207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2" ht="12.75">
      <c r="A1" s="138"/>
      <c r="B1" s="138"/>
      <c r="C1" s="138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38" t="s">
        <v>235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2.75">
      <c r="A4" s="25"/>
      <c r="B4" s="25"/>
      <c r="C4" s="26"/>
      <c r="D4" s="5"/>
      <c r="E4" s="5"/>
      <c r="F4" s="5"/>
      <c r="G4" s="5"/>
      <c r="H4" s="5"/>
      <c r="I4" s="5"/>
      <c r="J4" s="5" t="s">
        <v>76</v>
      </c>
      <c r="K4" s="5"/>
    </row>
    <row r="5" spans="1:12" ht="12.75">
      <c r="A5" s="11" t="s">
        <v>47</v>
      </c>
      <c r="B5" s="11"/>
      <c r="C5" s="12"/>
      <c r="D5" s="13"/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3"/>
      <c r="K5" s="15" t="s">
        <v>42</v>
      </c>
      <c r="L5" s="15" t="s">
        <v>42</v>
      </c>
    </row>
    <row r="6" spans="1:12" ht="12" customHeight="1">
      <c r="A6" s="16" t="s">
        <v>52</v>
      </c>
      <c r="B6" s="16"/>
      <c r="C6" s="17" t="s">
        <v>16</v>
      </c>
      <c r="D6" s="18" t="s">
        <v>20</v>
      </c>
      <c r="E6" s="19" t="s">
        <v>67</v>
      </c>
      <c r="F6" s="19" t="s">
        <v>68</v>
      </c>
      <c r="G6" s="20" t="s">
        <v>24</v>
      </c>
      <c r="H6" s="21" t="s">
        <v>25</v>
      </c>
      <c r="I6" s="19" t="s">
        <v>236</v>
      </c>
      <c r="J6" s="22" t="s">
        <v>53</v>
      </c>
      <c r="K6" s="33" t="s">
        <v>54</v>
      </c>
      <c r="L6" s="22" t="s">
        <v>54</v>
      </c>
    </row>
    <row r="7" spans="1:12" ht="12.75">
      <c r="A7" s="16"/>
      <c r="B7" s="16"/>
      <c r="C7" s="17"/>
      <c r="D7" s="18">
        <v>2012</v>
      </c>
      <c r="E7" s="18">
        <v>2012</v>
      </c>
      <c r="F7" s="18">
        <v>2012</v>
      </c>
      <c r="G7" s="18">
        <v>2012</v>
      </c>
      <c r="H7" s="18">
        <v>2012</v>
      </c>
      <c r="I7" s="19" t="s">
        <v>73</v>
      </c>
      <c r="J7" s="23">
        <v>41030</v>
      </c>
      <c r="K7" s="24" t="s">
        <v>237</v>
      </c>
      <c r="L7" s="24">
        <v>2012</v>
      </c>
    </row>
    <row r="8" spans="1:12" ht="12.75">
      <c r="A8" s="147" t="s">
        <v>28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</row>
    <row r="9" spans="1:12" ht="12.75">
      <c r="A9" s="38" t="s">
        <v>3</v>
      </c>
      <c r="B9" s="38"/>
      <c r="C9" s="39" t="s">
        <v>77</v>
      </c>
      <c r="D9" s="40">
        <f aca="true" t="shared" si="0" ref="D9:I9">D10+D11+D12+D13+D15+D16+D18+D20+D14+D21+D17+D23+D19</f>
        <v>657128</v>
      </c>
      <c r="E9" s="40">
        <f t="shared" si="0"/>
        <v>155429.5</v>
      </c>
      <c r="F9" s="40">
        <f t="shared" si="0"/>
        <v>169497.50000000003</v>
      </c>
      <c r="G9" s="40">
        <f t="shared" si="0"/>
        <v>159466.3</v>
      </c>
      <c r="H9" s="40">
        <f t="shared" si="0"/>
        <v>172734.69999999998</v>
      </c>
      <c r="I9" s="40">
        <f t="shared" si="0"/>
        <v>324927</v>
      </c>
      <c r="J9" s="40">
        <f>J10+J11+J12+J13+J15+J16+J18+J20+J14+J21+J17+J23+J19+J22</f>
        <v>219658.1</v>
      </c>
      <c r="K9" s="40">
        <f>J9/I9*100</f>
        <v>67.60229220717268</v>
      </c>
      <c r="L9" s="40">
        <f>J9/D9*100</f>
        <v>33.42698834930181</v>
      </c>
    </row>
    <row r="10" spans="1:12" ht="12.75">
      <c r="A10" s="27" t="s">
        <v>27</v>
      </c>
      <c r="B10" s="27"/>
      <c r="C10" s="41" t="s">
        <v>26</v>
      </c>
      <c r="D10" s="42">
        <f>E10+F10+G10+H10</f>
        <v>473925</v>
      </c>
      <c r="E10" s="43">
        <v>114827.6</v>
      </c>
      <c r="F10" s="43">
        <v>123807.3</v>
      </c>
      <c r="G10" s="43">
        <v>112934.3</v>
      </c>
      <c r="H10" s="43">
        <v>122355.8</v>
      </c>
      <c r="I10" s="44">
        <f>E10+F10</f>
        <v>238634.90000000002</v>
      </c>
      <c r="J10" s="43">
        <v>152187</v>
      </c>
      <c r="K10" s="44">
        <f aca="true" t="shared" si="1" ref="K10:K28">J10/I10*100</f>
        <v>63.77399114714569</v>
      </c>
      <c r="L10" s="44">
        <f aca="true" t="shared" si="2" ref="L10:L28">J10/D10*100</f>
        <v>32.112043044785565</v>
      </c>
    </row>
    <row r="11" spans="1:12" ht="12.75">
      <c r="A11" s="45" t="s">
        <v>8</v>
      </c>
      <c r="B11" s="45"/>
      <c r="C11" s="41" t="s">
        <v>5</v>
      </c>
      <c r="D11" s="42">
        <f aca="true" t="shared" si="3" ref="D11:D23">E11+F11+G11+H11</f>
        <v>28437</v>
      </c>
      <c r="E11" s="43">
        <v>8292.6</v>
      </c>
      <c r="F11" s="43">
        <v>7720.4</v>
      </c>
      <c r="G11" s="43">
        <v>6373.1</v>
      </c>
      <c r="H11" s="43">
        <v>6050.9</v>
      </c>
      <c r="I11" s="44">
        <f aca="true" t="shared" si="4" ref="I11:I21">E11+F11</f>
        <v>16013</v>
      </c>
      <c r="J11" s="43">
        <v>15378.1</v>
      </c>
      <c r="K11" s="44">
        <f t="shared" si="1"/>
        <v>96.03509648410666</v>
      </c>
      <c r="L11" s="44">
        <f t="shared" si="2"/>
        <v>54.077785983050255</v>
      </c>
    </row>
    <row r="12" spans="1:12" ht="12.75">
      <c r="A12" s="45" t="s">
        <v>9</v>
      </c>
      <c r="B12" s="45"/>
      <c r="C12" s="41" t="s">
        <v>6</v>
      </c>
      <c r="D12" s="42">
        <f t="shared" si="3"/>
        <v>19309</v>
      </c>
      <c r="E12" s="43">
        <v>3722.6</v>
      </c>
      <c r="F12" s="43">
        <v>1781.6</v>
      </c>
      <c r="G12" s="43">
        <v>6902.4</v>
      </c>
      <c r="H12" s="43">
        <v>6902.4</v>
      </c>
      <c r="I12" s="44">
        <f t="shared" si="4"/>
        <v>5504.2</v>
      </c>
      <c r="J12" s="43">
        <v>5955.4</v>
      </c>
      <c r="K12" s="44">
        <f t="shared" si="1"/>
        <v>108.19737654881727</v>
      </c>
      <c r="L12" s="44">
        <f t="shared" si="2"/>
        <v>30.84261225335336</v>
      </c>
    </row>
    <row r="13" spans="1:12" ht="12.75">
      <c r="A13" s="45" t="s">
        <v>10</v>
      </c>
      <c r="B13" s="45"/>
      <c r="C13" s="41" t="s">
        <v>23</v>
      </c>
      <c r="D13" s="42">
        <f t="shared" si="3"/>
        <v>4185</v>
      </c>
      <c r="E13" s="43">
        <v>66.2</v>
      </c>
      <c r="F13" s="43">
        <v>1309</v>
      </c>
      <c r="G13" s="43">
        <v>1404.9</v>
      </c>
      <c r="H13" s="43">
        <v>1404.9</v>
      </c>
      <c r="I13" s="44">
        <f t="shared" si="4"/>
        <v>1375.2</v>
      </c>
      <c r="J13" s="43">
        <v>1237.7</v>
      </c>
      <c r="K13" s="44">
        <f t="shared" si="1"/>
        <v>90.00145433391506</v>
      </c>
      <c r="L13" s="44">
        <f t="shared" si="2"/>
        <v>29.57467144563919</v>
      </c>
    </row>
    <row r="14" spans="1:12" ht="25.5" customHeight="1">
      <c r="A14" s="45" t="s">
        <v>43</v>
      </c>
      <c r="B14" s="45"/>
      <c r="C14" s="41" t="s">
        <v>44</v>
      </c>
      <c r="D14" s="42">
        <f t="shared" si="3"/>
        <v>0</v>
      </c>
      <c r="E14" s="43"/>
      <c r="F14" s="43"/>
      <c r="G14" s="43"/>
      <c r="H14" s="43"/>
      <c r="I14" s="44">
        <f t="shared" si="4"/>
        <v>0</v>
      </c>
      <c r="J14" s="43">
        <v>2.3</v>
      </c>
      <c r="K14" s="44"/>
      <c r="L14" s="44"/>
    </row>
    <row r="15" spans="1:12" ht="24">
      <c r="A15" s="34" t="s">
        <v>11</v>
      </c>
      <c r="B15" s="34"/>
      <c r="C15" s="41" t="s">
        <v>17</v>
      </c>
      <c r="D15" s="42">
        <f t="shared" si="3"/>
        <v>60398</v>
      </c>
      <c r="E15" s="43">
        <v>16235.3</v>
      </c>
      <c r="F15" s="43">
        <v>13109.8</v>
      </c>
      <c r="G15" s="43">
        <v>13647.1</v>
      </c>
      <c r="H15" s="43">
        <v>17405.8</v>
      </c>
      <c r="I15" s="44">
        <f t="shared" si="4"/>
        <v>29345.1</v>
      </c>
      <c r="J15" s="43">
        <v>19070.6</v>
      </c>
      <c r="K15" s="44">
        <f t="shared" si="1"/>
        <v>64.98734030553652</v>
      </c>
      <c r="L15" s="44">
        <f t="shared" si="2"/>
        <v>31.57488658564853</v>
      </c>
    </row>
    <row r="16" spans="1:12" ht="12.75">
      <c r="A16" s="46" t="s">
        <v>14</v>
      </c>
      <c r="B16" s="46"/>
      <c r="C16" s="41" t="s">
        <v>13</v>
      </c>
      <c r="D16" s="42">
        <f t="shared" si="3"/>
        <v>12581</v>
      </c>
      <c r="E16" s="43">
        <v>532.8</v>
      </c>
      <c r="F16" s="43">
        <v>6148.2</v>
      </c>
      <c r="G16" s="43">
        <v>2950</v>
      </c>
      <c r="H16" s="43">
        <v>2950</v>
      </c>
      <c r="I16" s="44">
        <f t="shared" si="4"/>
        <v>6681</v>
      </c>
      <c r="J16" s="43">
        <v>7149.9</v>
      </c>
      <c r="K16" s="44">
        <f t="shared" si="1"/>
        <v>107.01841041760214</v>
      </c>
      <c r="L16" s="44">
        <f t="shared" si="2"/>
        <v>56.8309355377156</v>
      </c>
    </row>
    <row r="17" spans="1:12" ht="12.75">
      <c r="A17" s="47" t="s">
        <v>48</v>
      </c>
      <c r="B17" s="47"/>
      <c r="C17" s="41" t="s">
        <v>49</v>
      </c>
      <c r="D17" s="42">
        <f t="shared" si="3"/>
        <v>39229</v>
      </c>
      <c r="E17" s="43">
        <v>5479.4</v>
      </c>
      <c r="F17" s="43">
        <v>11371.4</v>
      </c>
      <c r="G17" s="43">
        <v>11188</v>
      </c>
      <c r="H17" s="43">
        <v>11190.2</v>
      </c>
      <c r="I17" s="44">
        <f t="shared" si="4"/>
        <v>16850.8</v>
      </c>
      <c r="J17" s="43">
        <v>8134.5</v>
      </c>
      <c r="K17" s="44">
        <f t="shared" si="1"/>
        <v>48.273672466589126</v>
      </c>
      <c r="L17" s="44">
        <f t="shared" si="2"/>
        <v>20.73593515001657</v>
      </c>
    </row>
    <row r="18" spans="1:12" ht="12.75">
      <c r="A18" s="47" t="s">
        <v>18</v>
      </c>
      <c r="B18" s="47"/>
      <c r="C18" s="41" t="s">
        <v>15</v>
      </c>
      <c r="D18" s="42">
        <f t="shared" si="3"/>
        <v>12107</v>
      </c>
      <c r="E18" s="43">
        <v>1161</v>
      </c>
      <c r="F18" s="43">
        <v>3670.2</v>
      </c>
      <c r="G18" s="43">
        <v>3437.9</v>
      </c>
      <c r="H18" s="43">
        <v>3837.9</v>
      </c>
      <c r="I18" s="44">
        <f t="shared" si="4"/>
        <v>4831.2</v>
      </c>
      <c r="J18" s="43">
        <v>4428.7</v>
      </c>
      <c r="K18" s="44">
        <f t="shared" si="1"/>
        <v>91.66873654578572</v>
      </c>
      <c r="L18" s="44">
        <f t="shared" si="2"/>
        <v>36.57966465681011</v>
      </c>
    </row>
    <row r="19" spans="1:12" ht="12.75">
      <c r="A19" s="47" t="s">
        <v>71</v>
      </c>
      <c r="B19" s="47"/>
      <c r="C19" s="41" t="s">
        <v>72</v>
      </c>
      <c r="D19" s="42">
        <f t="shared" si="3"/>
        <v>7</v>
      </c>
      <c r="E19" s="43">
        <v>3.3</v>
      </c>
      <c r="F19" s="43">
        <v>0.7</v>
      </c>
      <c r="G19" s="43">
        <v>2</v>
      </c>
      <c r="H19" s="43">
        <v>1</v>
      </c>
      <c r="I19" s="44">
        <f t="shared" si="4"/>
        <v>4</v>
      </c>
      <c r="J19" s="43">
        <v>4.3</v>
      </c>
      <c r="K19" s="44">
        <f t="shared" si="1"/>
        <v>107.5</v>
      </c>
      <c r="L19" s="44">
        <f t="shared" si="2"/>
        <v>61.42857142857142</v>
      </c>
    </row>
    <row r="20" spans="1:12" ht="12.75">
      <c r="A20" s="27" t="s">
        <v>12</v>
      </c>
      <c r="B20" s="27"/>
      <c r="C20" s="41" t="s">
        <v>7</v>
      </c>
      <c r="D20" s="42">
        <f t="shared" si="3"/>
        <v>6950</v>
      </c>
      <c r="E20" s="43">
        <v>5108.7</v>
      </c>
      <c r="F20" s="43">
        <v>578.9</v>
      </c>
      <c r="G20" s="43">
        <v>626.6</v>
      </c>
      <c r="H20" s="43">
        <v>635.8</v>
      </c>
      <c r="I20" s="44">
        <f t="shared" si="4"/>
        <v>5687.599999999999</v>
      </c>
      <c r="J20" s="43">
        <v>5663.2</v>
      </c>
      <c r="K20" s="44">
        <f t="shared" si="1"/>
        <v>99.57099655390675</v>
      </c>
      <c r="L20" s="44">
        <f t="shared" si="2"/>
        <v>81.48489208633093</v>
      </c>
    </row>
    <row r="21" spans="1:12" ht="12.75">
      <c r="A21" s="48" t="s">
        <v>45</v>
      </c>
      <c r="B21" s="49"/>
      <c r="C21" s="50" t="s">
        <v>46</v>
      </c>
      <c r="D21" s="42">
        <f t="shared" si="3"/>
        <v>0</v>
      </c>
      <c r="E21" s="43"/>
      <c r="F21" s="43"/>
      <c r="G21" s="43"/>
      <c r="H21" s="43"/>
      <c r="I21" s="44">
        <f t="shared" si="4"/>
        <v>0</v>
      </c>
      <c r="J21" s="43">
        <v>446.4</v>
      </c>
      <c r="K21" s="44"/>
      <c r="L21" s="44"/>
    </row>
    <row r="22" spans="1:12" ht="12.75" customHeight="1" hidden="1">
      <c r="A22" s="48" t="s">
        <v>69</v>
      </c>
      <c r="B22" s="49"/>
      <c r="C22" s="50" t="s">
        <v>70</v>
      </c>
      <c r="D22" s="42">
        <f t="shared" si="3"/>
        <v>0</v>
      </c>
      <c r="E22" s="43"/>
      <c r="F22" s="43"/>
      <c r="G22" s="43"/>
      <c r="H22" s="43"/>
      <c r="I22" s="44">
        <f>E22</f>
        <v>0</v>
      </c>
      <c r="J22" s="43"/>
      <c r="K22" s="44"/>
      <c r="L22" s="44"/>
    </row>
    <row r="23" spans="1:12" ht="12.75" customHeight="1" hidden="1">
      <c r="A23" s="48" t="s">
        <v>50</v>
      </c>
      <c r="B23" s="49"/>
      <c r="C23" s="50" t="s">
        <v>51</v>
      </c>
      <c r="D23" s="42">
        <f t="shared" si="3"/>
        <v>0</v>
      </c>
      <c r="E23" s="43"/>
      <c r="F23" s="43"/>
      <c r="G23" s="43"/>
      <c r="H23" s="43"/>
      <c r="I23" s="44">
        <f>E23</f>
        <v>0</v>
      </c>
      <c r="J23" s="43"/>
      <c r="K23" s="40"/>
      <c r="L23" s="40"/>
    </row>
    <row r="24" spans="1:12" ht="12.75">
      <c r="A24" s="38" t="s">
        <v>1</v>
      </c>
      <c r="B24" s="38"/>
      <c r="C24" s="51" t="s">
        <v>0</v>
      </c>
      <c r="D24" s="52">
        <f aca="true" t="shared" si="5" ref="D24:J24">D25+D26+D27</f>
        <v>3072475.6999999997</v>
      </c>
      <c r="E24" s="52">
        <f t="shared" si="5"/>
        <v>780627.7</v>
      </c>
      <c r="F24" s="52">
        <f t="shared" si="5"/>
        <v>1227879.9</v>
      </c>
      <c r="G24" s="52">
        <f t="shared" si="5"/>
        <v>474029.7</v>
      </c>
      <c r="H24" s="52">
        <f t="shared" si="5"/>
        <v>589938.4</v>
      </c>
      <c r="I24" s="52">
        <f t="shared" si="5"/>
        <v>2008507.5999999999</v>
      </c>
      <c r="J24" s="52">
        <f t="shared" si="5"/>
        <v>771842.1</v>
      </c>
      <c r="K24" s="40">
        <f t="shared" si="1"/>
        <v>38.428637262811456</v>
      </c>
      <c r="L24" s="40">
        <f t="shared" si="2"/>
        <v>25.121178338367333</v>
      </c>
    </row>
    <row r="25" spans="1:12" ht="24">
      <c r="A25" s="36" t="s">
        <v>22</v>
      </c>
      <c r="B25" s="45"/>
      <c r="C25" s="53" t="s">
        <v>21</v>
      </c>
      <c r="D25" s="42">
        <f>E25+F25+G25+H25</f>
        <v>3037475.6999999997</v>
      </c>
      <c r="E25" s="43">
        <v>774327.7</v>
      </c>
      <c r="F25" s="43">
        <v>1213879.9</v>
      </c>
      <c r="G25" s="43">
        <v>468429.7</v>
      </c>
      <c r="H25" s="43">
        <v>580838.4</v>
      </c>
      <c r="I25" s="44">
        <f>E25+F25</f>
        <v>1988207.5999999999</v>
      </c>
      <c r="J25" s="43">
        <v>764135.6</v>
      </c>
      <c r="K25" s="44">
        <f t="shared" si="1"/>
        <v>38.433390959777036</v>
      </c>
      <c r="L25" s="44">
        <f t="shared" si="2"/>
        <v>25.156928827447082</v>
      </c>
    </row>
    <row r="26" spans="1:12" ht="13.5" customHeight="1">
      <c r="A26" s="35" t="s">
        <v>2</v>
      </c>
      <c r="B26" s="35"/>
      <c r="C26" s="54" t="s">
        <v>19</v>
      </c>
      <c r="D26" s="42">
        <f>E26+F26+G26+H26</f>
        <v>35000</v>
      </c>
      <c r="E26" s="43">
        <v>6300</v>
      </c>
      <c r="F26" s="43">
        <v>14000</v>
      </c>
      <c r="G26" s="43">
        <v>5600</v>
      </c>
      <c r="H26" s="43">
        <v>9100</v>
      </c>
      <c r="I26" s="44">
        <f>E26+F26</f>
        <v>20300</v>
      </c>
      <c r="J26" s="43">
        <v>8316.5</v>
      </c>
      <c r="K26" s="44">
        <f t="shared" si="1"/>
        <v>40.967980295566505</v>
      </c>
      <c r="L26" s="44">
        <f t="shared" si="2"/>
        <v>23.76142857142857</v>
      </c>
    </row>
    <row r="27" spans="1:12" ht="24">
      <c r="A27" s="35" t="s">
        <v>74</v>
      </c>
      <c r="B27" s="55"/>
      <c r="C27" s="56" t="s">
        <v>75</v>
      </c>
      <c r="D27" s="42"/>
      <c r="E27" s="43"/>
      <c r="F27" s="43"/>
      <c r="G27" s="43"/>
      <c r="H27" s="43"/>
      <c r="I27" s="44">
        <f>E27+F27</f>
        <v>0</v>
      </c>
      <c r="J27" s="43">
        <v>-610</v>
      </c>
      <c r="K27" s="40"/>
      <c r="L27" s="40"/>
    </row>
    <row r="28" spans="1:12" ht="12.75">
      <c r="A28" s="27"/>
      <c r="B28" s="28"/>
      <c r="C28" s="29" t="s">
        <v>4</v>
      </c>
      <c r="D28" s="1">
        <f aca="true" t="shared" si="6" ref="D28:J28">D24+D9</f>
        <v>3729603.6999999997</v>
      </c>
      <c r="E28" s="1">
        <f t="shared" si="6"/>
        <v>936057.2</v>
      </c>
      <c r="F28" s="1">
        <f t="shared" si="6"/>
        <v>1397377.4</v>
      </c>
      <c r="G28" s="1">
        <f t="shared" si="6"/>
        <v>633496</v>
      </c>
      <c r="H28" s="1">
        <f t="shared" si="6"/>
        <v>762673.1</v>
      </c>
      <c r="I28" s="1">
        <f t="shared" si="6"/>
        <v>2333434.5999999996</v>
      </c>
      <c r="J28" s="1">
        <f t="shared" si="6"/>
        <v>991500.2</v>
      </c>
      <c r="K28" s="40">
        <f t="shared" si="1"/>
        <v>42.49102160394811</v>
      </c>
      <c r="L28" s="40">
        <f t="shared" si="2"/>
        <v>26.584599323515256</v>
      </c>
    </row>
    <row r="29" spans="1:12" ht="12.7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12.75">
      <c r="A30" s="139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1"/>
    </row>
    <row r="31" spans="1:12" ht="12.75">
      <c r="A31" s="57" t="s">
        <v>3</v>
      </c>
      <c r="B31" s="57"/>
      <c r="C31" s="39" t="s">
        <v>77</v>
      </c>
      <c r="D31" s="58">
        <f>D32+D33+D35+D36+D34</f>
        <v>11907</v>
      </c>
      <c r="E31" s="58">
        <f>E32+E33+E34+E35+E36+E37</f>
        <v>2857.9</v>
      </c>
      <c r="F31" s="58">
        <f>F32+F33+F34+F35+F36+F37</f>
        <v>2885</v>
      </c>
      <c r="G31" s="58">
        <f>G32+G33+G34+G35+G36+G37</f>
        <v>3137.1</v>
      </c>
      <c r="H31" s="58">
        <f>H32+H33+H34+H35+H36+H37</f>
        <v>3027</v>
      </c>
      <c r="I31" s="58">
        <f>I32+I33+I34+I35+I36+I37</f>
        <v>5742.9</v>
      </c>
      <c r="J31" s="58">
        <f>J32+J33+J35+J36+J34+J37</f>
        <v>4114.099999999999</v>
      </c>
      <c r="K31" s="40">
        <f>J31/I31*100</f>
        <v>71.63802260182138</v>
      </c>
      <c r="L31" s="40">
        <f>J31/D31*100</f>
        <v>34.55194423448391</v>
      </c>
    </row>
    <row r="32" spans="1:12" ht="12.75">
      <c r="A32" s="45" t="s">
        <v>27</v>
      </c>
      <c r="B32" s="45"/>
      <c r="C32" s="59" t="s">
        <v>26</v>
      </c>
      <c r="D32" s="42">
        <f aca="true" t="shared" si="7" ref="D32:D39">E32+F32+G32+H32</f>
        <v>9661</v>
      </c>
      <c r="E32" s="43">
        <v>2465.9</v>
      </c>
      <c r="F32" s="60">
        <v>2304</v>
      </c>
      <c r="G32" s="60">
        <v>2441.1</v>
      </c>
      <c r="H32" s="60">
        <v>2450</v>
      </c>
      <c r="I32" s="44">
        <f aca="true" t="shared" si="8" ref="I32:I39">E32+F32</f>
        <v>4769.9</v>
      </c>
      <c r="J32" s="60">
        <v>2973.5</v>
      </c>
      <c r="K32" s="44">
        <f aca="true" t="shared" si="9" ref="K32:K40">J32/I32*100</f>
        <v>62.3388330992264</v>
      </c>
      <c r="L32" s="44">
        <f aca="true" t="shared" si="10" ref="L32:L40">J32/D32*100</f>
        <v>30.77838733050409</v>
      </c>
    </row>
    <row r="33" spans="1:12" ht="12.75">
      <c r="A33" s="45" t="s">
        <v>9</v>
      </c>
      <c r="B33" s="45"/>
      <c r="C33" s="41" t="s">
        <v>6</v>
      </c>
      <c r="D33" s="42">
        <f t="shared" si="7"/>
        <v>1527</v>
      </c>
      <c r="E33" s="43">
        <v>242</v>
      </c>
      <c r="F33" s="43">
        <v>392</v>
      </c>
      <c r="G33" s="43">
        <v>478</v>
      </c>
      <c r="H33" s="60">
        <v>415</v>
      </c>
      <c r="I33" s="44">
        <f t="shared" si="8"/>
        <v>634</v>
      </c>
      <c r="J33" s="43">
        <v>238.2</v>
      </c>
      <c r="K33" s="44">
        <f t="shared" si="9"/>
        <v>37.57097791798107</v>
      </c>
      <c r="L33" s="44">
        <f t="shared" si="10"/>
        <v>15.599214145383103</v>
      </c>
    </row>
    <row r="34" spans="1:12" ht="12.75">
      <c r="A34" s="45" t="s">
        <v>10</v>
      </c>
      <c r="B34" s="45"/>
      <c r="C34" s="41" t="s">
        <v>23</v>
      </c>
      <c r="D34" s="42">
        <f t="shared" si="7"/>
        <v>22</v>
      </c>
      <c r="E34" s="43">
        <v>4</v>
      </c>
      <c r="F34" s="43">
        <v>8</v>
      </c>
      <c r="G34" s="43">
        <v>5</v>
      </c>
      <c r="H34" s="60">
        <v>5</v>
      </c>
      <c r="I34" s="44">
        <f t="shared" si="8"/>
        <v>12</v>
      </c>
      <c r="J34" s="43">
        <v>4.5</v>
      </c>
      <c r="K34" s="44">
        <f t="shared" si="9"/>
        <v>37.5</v>
      </c>
      <c r="L34" s="44">
        <f t="shared" si="10"/>
        <v>20.454545454545457</v>
      </c>
    </row>
    <row r="35" spans="1:12" ht="24">
      <c r="A35" s="34" t="s">
        <v>11</v>
      </c>
      <c r="B35" s="34"/>
      <c r="C35" s="41" t="s">
        <v>17</v>
      </c>
      <c r="D35" s="42">
        <f t="shared" si="7"/>
        <v>697</v>
      </c>
      <c r="E35" s="43">
        <v>146</v>
      </c>
      <c r="F35" s="43">
        <v>181</v>
      </c>
      <c r="G35" s="43">
        <v>213</v>
      </c>
      <c r="H35" s="60">
        <v>157</v>
      </c>
      <c r="I35" s="44">
        <f t="shared" si="8"/>
        <v>327</v>
      </c>
      <c r="J35" s="43">
        <v>813.7</v>
      </c>
      <c r="K35" s="44">
        <f>J35/I35*100</f>
        <v>248.83792048929666</v>
      </c>
      <c r="L35" s="44">
        <f t="shared" si="10"/>
        <v>116.74318507890962</v>
      </c>
    </row>
    <row r="36" spans="1:12" ht="12.75">
      <c r="A36" s="46" t="s">
        <v>18</v>
      </c>
      <c r="B36" s="46"/>
      <c r="C36" s="41" t="s">
        <v>15</v>
      </c>
      <c r="D36" s="42">
        <f t="shared" si="7"/>
        <v>0</v>
      </c>
      <c r="E36" s="43"/>
      <c r="F36" s="43"/>
      <c r="G36" s="43"/>
      <c r="H36" s="60"/>
      <c r="I36" s="44">
        <f t="shared" si="8"/>
        <v>0</v>
      </c>
      <c r="J36" s="43">
        <v>24.5</v>
      </c>
      <c r="K36" s="44"/>
      <c r="L36" s="44"/>
    </row>
    <row r="37" spans="1:12" ht="12.75">
      <c r="A37" s="48" t="s">
        <v>45</v>
      </c>
      <c r="B37" s="49"/>
      <c r="C37" s="50" t="s">
        <v>46</v>
      </c>
      <c r="D37" s="42">
        <f t="shared" si="7"/>
        <v>0</v>
      </c>
      <c r="E37" s="43"/>
      <c r="F37" s="43"/>
      <c r="G37" s="43"/>
      <c r="H37" s="43"/>
      <c r="I37" s="44">
        <f t="shared" si="8"/>
        <v>0</v>
      </c>
      <c r="J37" s="43">
        <v>59.7</v>
      </c>
      <c r="K37" s="44"/>
      <c r="L37" s="44"/>
    </row>
    <row r="38" spans="1:12" ht="12.75">
      <c r="A38" s="38" t="s">
        <v>1</v>
      </c>
      <c r="B38" s="38"/>
      <c r="C38" s="51" t="s">
        <v>0</v>
      </c>
      <c r="D38" s="52">
        <f aca="true" t="shared" si="11" ref="D38:J38">D39</f>
        <v>7094.200000000001</v>
      </c>
      <c r="E38" s="52">
        <f t="shared" si="11"/>
        <v>2139.9</v>
      </c>
      <c r="F38" s="52">
        <f t="shared" si="11"/>
        <v>1707.7</v>
      </c>
      <c r="G38" s="52">
        <f t="shared" si="11"/>
        <v>1651</v>
      </c>
      <c r="H38" s="52">
        <f t="shared" si="11"/>
        <v>1595.6</v>
      </c>
      <c r="I38" s="52">
        <f t="shared" si="11"/>
        <v>3847.6000000000004</v>
      </c>
      <c r="J38" s="52">
        <f t="shared" si="11"/>
        <v>2945.3</v>
      </c>
      <c r="K38" s="40">
        <f>J38/I38*100</f>
        <v>76.54901756939391</v>
      </c>
      <c r="L38" s="40">
        <f>J38/D38*100</f>
        <v>41.51701389867779</v>
      </c>
    </row>
    <row r="39" spans="1:12" ht="24">
      <c r="A39" s="36" t="s">
        <v>22</v>
      </c>
      <c r="B39" s="45"/>
      <c r="C39" s="53" t="s">
        <v>21</v>
      </c>
      <c r="D39" s="42">
        <f t="shared" si="7"/>
        <v>7094.200000000001</v>
      </c>
      <c r="E39" s="61">
        <v>2139.9</v>
      </c>
      <c r="F39" s="43">
        <v>1707.7</v>
      </c>
      <c r="G39" s="43">
        <v>1651</v>
      </c>
      <c r="H39" s="43">
        <v>1595.6</v>
      </c>
      <c r="I39" s="44">
        <f t="shared" si="8"/>
        <v>3847.6000000000004</v>
      </c>
      <c r="J39" s="43">
        <v>2945.3</v>
      </c>
      <c r="K39" s="44">
        <f>J39/I39*100</f>
        <v>76.54901756939391</v>
      </c>
      <c r="L39" s="44">
        <f>J39/D39*100</f>
        <v>41.51701389867779</v>
      </c>
    </row>
    <row r="40" spans="1:12" ht="12.75">
      <c r="A40" s="27"/>
      <c r="B40" s="28"/>
      <c r="C40" s="29" t="s">
        <v>4</v>
      </c>
      <c r="D40" s="1">
        <f aca="true" t="shared" si="12" ref="D40:J40">D38+D31</f>
        <v>19001.2</v>
      </c>
      <c r="E40" s="1">
        <f>E38+E31</f>
        <v>4997.8</v>
      </c>
      <c r="F40" s="1">
        <f>F38+F31</f>
        <v>4592.7</v>
      </c>
      <c r="G40" s="1">
        <f t="shared" si="12"/>
        <v>4788.1</v>
      </c>
      <c r="H40" s="1">
        <f>H38+H31</f>
        <v>4622.6</v>
      </c>
      <c r="I40" s="1">
        <f>I38+I31</f>
        <v>9590.5</v>
      </c>
      <c r="J40" s="1">
        <f t="shared" si="12"/>
        <v>7059.4</v>
      </c>
      <c r="K40" s="40">
        <f t="shared" si="9"/>
        <v>73.60825817214952</v>
      </c>
      <c r="L40" s="40">
        <f t="shared" si="10"/>
        <v>37.152390375344716</v>
      </c>
    </row>
    <row r="41" spans="1:12" ht="12.75">
      <c r="A41" s="62"/>
      <c r="B41" s="63"/>
      <c r="C41" s="145"/>
      <c r="D41" s="145"/>
      <c r="E41" s="145"/>
      <c r="F41" s="145"/>
      <c r="G41" s="145"/>
      <c r="H41" s="145"/>
      <c r="I41" s="145"/>
      <c r="J41" s="145"/>
      <c r="K41" s="145"/>
      <c r="L41" s="146"/>
    </row>
    <row r="42" spans="1:12" ht="12.75">
      <c r="A42" s="139" t="s">
        <v>30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1"/>
    </row>
    <row r="43" spans="1:12" ht="12.75">
      <c r="A43" s="38" t="s">
        <v>3</v>
      </c>
      <c r="B43" s="38"/>
      <c r="C43" s="39" t="s">
        <v>77</v>
      </c>
      <c r="D43" s="40">
        <f>D44+D46+D48+D49+D50+D51+D47+D45</f>
        <v>9532</v>
      </c>
      <c r="E43" s="40">
        <f aca="true" t="shared" si="13" ref="E43:J43">E44+E46+E48+E49+E50+E51+E47+E45</f>
        <v>2253</v>
      </c>
      <c r="F43" s="40">
        <f t="shared" si="13"/>
        <v>2482.5</v>
      </c>
      <c r="G43" s="40">
        <f t="shared" si="13"/>
        <v>2377</v>
      </c>
      <c r="H43" s="40">
        <f t="shared" si="13"/>
        <v>2419.5</v>
      </c>
      <c r="I43" s="40">
        <f t="shared" si="13"/>
        <v>4735.5</v>
      </c>
      <c r="J43" s="40">
        <f t="shared" si="13"/>
        <v>4014.9</v>
      </c>
      <c r="K43" s="40">
        <f>J43/I43*100</f>
        <v>84.78302185619259</v>
      </c>
      <c r="L43" s="40">
        <f>J43/D43*100</f>
        <v>42.1202266051196</v>
      </c>
    </row>
    <row r="44" spans="1:12" ht="12.75">
      <c r="A44" s="27" t="s">
        <v>27</v>
      </c>
      <c r="B44" s="45"/>
      <c r="C44" s="59" t="s">
        <v>26</v>
      </c>
      <c r="D44" s="42">
        <f aca="true" t="shared" si="14" ref="D44:D53">E44+F44+G44+H44</f>
        <v>6769</v>
      </c>
      <c r="E44" s="43">
        <v>1602</v>
      </c>
      <c r="F44" s="60">
        <v>1798.5</v>
      </c>
      <c r="G44" s="60">
        <v>1683</v>
      </c>
      <c r="H44" s="60">
        <v>1685.5</v>
      </c>
      <c r="I44" s="44">
        <f aca="true" t="shared" si="15" ref="I44:I53">E44+F44</f>
        <v>3400.5</v>
      </c>
      <c r="J44" s="60">
        <v>2916.8</v>
      </c>
      <c r="K44" s="44">
        <f aca="true" t="shared" si="16" ref="K44:K54">J44/I44*100</f>
        <v>85.77562123217174</v>
      </c>
      <c r="L44" s="44">
        <f aca="true" t="shared" si="17" ref="L44:L54">J44/D44*100</f>
        <v>43.09055990545133</v>
      </c>
    </row>
    <row r="45" spans="1:12" ht="12.75">
      <c r="A45" s="45" t="s">
        <v>8</v>
      </c>
      <c r="B45" s="45"/>
      <c r="C45" s="41" t="s">
        <v>5</v>
      </c>
      <c r="D45" s="42">
        <f t="shared" si="14"/>
        <v>0</v>
      </c>
      <c r="E45" s="43"/>
      <c r="F45" s="60"/>
      <c r="G45" s="60"/>
      <c r="H45" s="60"/>
      <c r="I45" s="44">
        <f t="shared" si="15"/>
        <v>0</v>
      </c>
      <c r="J45" s="60">
        <v>5.5</v>
      </c>
      <c r="K45" s="44"/>
      <c r="L45" s="44"/>
    </row>
    <row r="46" spans="1:12" ht="12.75" customHeight="1" hidden="1">
      <c r="A46" s="45" t="s">
        <v>9</v>
      </c>
      <c r="B46" s="45"/>
      <c r="C46" s="41" t="s">
        <v>6</v>
      </c>
      <c r="D46" s="42">
        <f t="shared" si="14"/>
        <v>2363</v>
      </c>
      <c r="E46" s="43">
        <v>561</v>
      </c>
      <c r="F46" s="43">
        <v>594</v>
      </c>
      <c r="G46" s="43">
        <v>594</v>
      </c>
      <c r="H46" s="60">
        <v>614</v>
      </c>
      <c r="I46" s="44">
        <f t="shared" si="15"/>
        <v>1155</v>
      </c>
      <c r="J46" s="43">
        <v>992</v>
      </c>
      <c r="K46" s="44">
        <f t="shared" si="16"/>
        <v>85.88744588744589</v>
      </c>
      <c r="L46" s="44">
        <f t="shared" si="17"/>
        <v>41.980533220482435</v>
      </c>
    </row>
    <row r="47" spans="1:12" ht="12.75">
      <c r="A47" s="45" t="s">
        <v>10</v>
      </c>
      <c r="B47" s="45"/>
      <c r="C47" s="41" t="s">
        <v>23</v>
      </c>
      <c r="D47" s="42">
        <f t="shared" si="14"/>
        <v>0</v>
      </c>
      <c r="E47" s="43"/>
      <c r="F47" s="43"/>
      <c r="G47" s="43"/>
      <c r="H47" s="60"/>
      <c r="I47" s="44">
        <f t="shared" si="15"/>
        <v>0</v>
      </c>
      <c r="J47" s="43"/>
      <c r="K47" s="44"/>
      <c r="L47" s="44"/>
    </row>
    <row r="48" spans="1:12" ht="24">
      <c r="A48" s="34" t="s">
        <v>11</v>
      </c>
      <c r="B48" s="34"/>
      <c r="C48" s="41" t="s">
        <v>17</v>
      </c>
      <c r="D48" s="42">
        <f t="shared" si="14"/>
        <v>400</v>
      </c>
      <c r="E48" s="43">
        <v>90</v>
      </c>
      <c r="F48" s="43">
        <v>90</v>
      </c>
      <c r="G48" s="43">
        <v>100</v>
      </c>
      <c r="H48" s="60">
        <v>120</v>
      </c>
      <c r="I48" s="44">
        <f t="shared" si="15"/>
        <v>180</v>
      </c>
      <c r="J48" s="43">
        <v>11.2</v>
      </c>
      <c r="K48" s="44">
        <f t="shared" si="16"/>
        <v>6.222222222222222</v>
      </c>
      <c r="L48" s="44">
        <f t="shared" si="17"/>
        <v>2.8</v>
      </c>
    </row>
    <row r="49" spans="1:12" ht="12.75" customHeight="1" hidden="1">
      <c r="A49" s="47" t="s">
        <v>18</v>
      </c>
      <c r="B49" s="47"/>
      <c r="C49" s="41" t="s">
        <v>15</v>
      </c>
      <c r="D49" s="42">
        <f t="shared" si="14"/>
        <v>0</v>
      </c>
      <c r="E49" s="43"/>
      <c r="F49" s="43"/>
      <c r="G49" s="43"/>
      <c r="H49" s="60"/>
      <c r="I49" s="44">
        <f t="shared" si="15"/>
        <v>0</v>
      </c>
      <c r="J49" s="43">
        <v>72.4</v>
      </c>
      <c r="K49" s="44"/>
      <c r="L49" s="44"/>
    </row>
    <row r="50" spans="1:12" ht="12.75">
      <c r="A50" s="27" t="s">
        <v>12</v>
      </c>
      <c r="B50" s="27"/>
      <c r="C50" s="41" t="s">
        <v>7</v>
      </c>
      <c r="D50" s="42">
        <f t="shared" si="14"/>
        <v>0</v>
      </c>
      <c r="E50" s="43"/>
      <c r="F50" s="43"/>
      <c r="G50" s="43"/>
      <c r="H50" s="60"/>
      <c r="I50" s="44">
        <f t="shared" si="15"/>
        <v>0</v>
      </c>
      <c r="J50" s="43">
        <v>17</v>
      </c>
      <c r="K50" s="40"/>
      <c r="L50" s="40"/>
    </row>
    <row r="51" spans="1:12" ht="12.75">
      <c r="A51" s="64" t="s">
        <v>45</v>
      </c>
      <c r="B51" s="49"/>
      <c r="C51" s="50" t="s">
        <v>46</v>
      </c>
      <c r="D51" s="42">
        <f t="shared" si="14"/>
        <v>0</v>
      </c>
      <c r="E51" s="43"/>
      <c r="F51" s="43"/>
      <c r="G51" s="43"/>
      <c r="H51" s="60"/>
      <c r="I51" s="44">
        <f t="shared" si="15"/>
        <v>0</v>
      </c>
      <c r="J51" s="43"/>
      <c r="K51" s="40"/>
      <c r="L51" s="40"/>
    </row>
    <row r="52" spans="1:12" ht="12.75">
      <c r="A52" s="57" t="s">
        <v>1</v>
      </c>
      <c r="B52" s="57"/>
      <c r="C52" s="51" t="s">
        <v>0</v>
      </c>
      <c r="D52" s="52">
        <f aca="true" t="shared" si="18" ref="D52:J52">D53</f>
        <v>46410.2</v>
      </c>
      <c r="E52" s="52">
        <f t="shared" si="18"/>
        <v>27988.2</v>
      </c>
      <c r="F52" s="52">
        <f t="shared" si="18"/>
        <v>5804.7</v>
      </c>
      <c r="G52" s="52">
        <f t="shared" si="18"/>
        <v>6308.6</v>
      </c>
      <c r="H52" s="52">
        <f t="shared" si="18"/>
        <v>6308.7</v>
      </c>
      <c r="I52" s="52">
        <f t="shared" si="18"/>
        <v>33792.9</v>
      </c>
      <c r="J52" s="52">
        <f t="shared" si="18"/>
        <v>19754.5</v>
      </c>
      <c r="K52" s="40">
        <f t="shared" si="16"/>
        <v>58.45754581583705</v>
      </c>
      <c r="L52" s="40">
        <f t="shared" si="17"/>
        <v>42.564996487841036</v>
      </c>
    </row>
    <row r="53" spans="1:12" ht="24">
      <c r="A53" s="36" t="s">
        <v>22</v>
      </c>
      <c r="B53" s="45"/>
      <c r="C53" s="53" t="s">
        <v>21</v>
      </c>
      <c r="D53" s="42">
        <f t="shared" si="14"/>
        <v>46410.2</v>
      </c>
      <c r="E53" s="43">
        <v>27988.2</v>
      </c>
      <c r="F53" s="43">
        <f>4796.9+1007.8</f>
        <v>5804.7</v>
      </c>
      <c r="G53" s="43">
        <f>4796.8+1511.8</f>
        <v>6308.6</v>
      </c>
      <c r="H53" s="43">
        <f>4796.9+1511.8</f>
        <v>6308.7</v>
      </c>
      <c r="I53" s="44">
        <f t="shared" si="15"/>
        <v>33792.9</v>
      </c>
      <c r="J53" s="43">
        <v>19754.5</v>
      </c>
      <c r="K53" s="44">
        <f t="shared" si="16"/>
        <v>58.45754581583705</v>
      </c>
      <c r="L53" s="44">
        <f t="shared" si="17"/>
        <v>42.564996487841036</v>
      </c>
    </row>
    <row r="54" spans="1:12" ht="12.75">
      <c r="A54" s="34"/>
      <c r="B54" s="65"/>
      <c r="C54" s="66" t="s">
        <v>4</v>
      </c>
      <c r="D54" s="67">
        <f aca="true" t="shared" si="19" ref="D54:J54">D52+D43</f>
        <v>55942.2</v>
      </c>
      <c r="E54" s="67">
        <f t="shared" si="19"/>
        <v>30241.2</v>
      </c>
      <c r="F54" s="67">
        <f t="shared" si="19"/>
        <v>8287.2</v>
      </c>
      <c r="G54" s="67">
        <f t="shared" si="19"/>
        <v>8685.6</v>
      </c>
      <c r="H54" s="67">
        <f t="shared" si="19"/>
        <v>8728.2</v>
      </c>
      <c r="I54" s="67">
        <f t="shared" si="19"/>
        <v>38528.4</v>
      </c>
      <c r="J54" s="1">
        <f t="shared" si="19"/>
        <v>23769.4</v>
      </c>
      <c r="K54" s="40">
        <f t="shared" si="16"/>
        <v>61.69319255406401</v>
      </c>
      <c r="L54" s="40">
        <f t="shared" si="17"/>
        <v>42.489212079610745</v>
      </c>
    </row>
    <row r="55" spans="1:12" ht="12.7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4"/>
    </row>
    <row r="56" spans="1:12" ht="12.75">
      <c r="A56" s="139" t="s">
        <v>31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1:12" ht="12.75">
      <c r="A57" s="38" t="s">
        <v>3</v>
      </c>
      <c r="B57" s="38"/>
      <c r="C57" s="39" t="s">
        <v>77</v>
      </c>
      <c r="D57" s="40">
        <f>D58+D60+D62+D63+D61+D65+D64+D59</f>
        <v>30153</v>
      </c>
      <c r="E57" s="40">
        <f aca="true" t="shared" si="20" ref="E57:J57">E58+E60+E62+E63+E61+E65+E64+E59</f>
        <v>5989.7</v>
      </c>
      <c r="F57" s="40">
        <f t="shared" si="20"/>
        <v>7016.5</v>
      </c>
      <c r="G57" s="40">
        <f t="shared" si="20"/>
        <v>9605.5</v>
      </c>
      <c r="H57" s="40">
        <f t="shared" si="20"/>
        <v>7541.3</v>
      </c>
      <c r="I57" s="40">
        <f t="shared" si="20"/>
        <v>13006.2</v>
      </c>
      <c r="J57" s="40">
        <f t="shared" si="20"/>
        <v>9206.9</v>
      </c>
      <c r="K57" s="40">
        <f>J57/I57*100</f>
        <v>70.78854700066121</v>
      </c>
      <c r="L57" s="40">
        <f>J57/D57*100</f>
        <v>30.533943554538517</v>
      </c>
    </row>
    <row r="58" spans="1:12" ht="12.75">
      <c r="A58" s="27" t="s">
        <v>27</v>
      </c>
      <c r="B58" s="27"/>
      <c r="C58" s="41" t="s">
        <v>26</v>
      </c>
      <c r="D58" s="42">
        <f>E58+F58+G58+H58</f>
        <v>17043</v>
      </c>
      <c r="E58" s="43">
        <f>3423.7</f>
        <v>3423.7</v>
      </c>
      <c r="F58" s="43">
        <f>4134+22.5</f>
        <v>4156.5</v>
      </c>
      <c r="G58" s="43">
        <f>5237.5+3</f>
        <v>5240.5</v>
      </c>
      <c r="H58" s="43">
        <f>4220.8+1.5</f>
        <v>4222.3</v>
      </c>
      <c r="I58" s="44">
        <f aca="true" t="shared" si="21" ref="I58:I67">E58+F58</f>
        <v>7580.2</v>
      </c>
      <c r="J58" s="43">
        <v>3765.7</v>
      </c>
      <c r="K58" s="44">
        <f aca="true" t="shared" si="22" ref="K58:K68">J58/I58*100</f>
        <v>49.67810875702488</v>
      </c>
      <c r="L58" s="44">
        <f aca="true" t="shared" si="23" ref="L58:L68">J58/D58*100</f>
        <v>22.095288388194565</v>
      </c>
    </row>
    <row r="59" spans="1:12" ht="12.75" customHeight="1" hidden="1">
      <c r="A59" s="45" t="s">
        <v>8</v>
      </c>
      <c r="B59" s="45"/>
      <c r="C59" s="41" t="s">
        <v>5</v>
      </c>
      <c r="D59" s="42">
        <f aca="true" t="shared" si="24" ref="D59:D67">E59+F59+G59+H59</f>
        <v>0</v>
      </c>
      <c r="E59" s="43"/>
      <c r="F59" s="43"/>
      <c r="G59" s="43"/>
      <c r="H59" s="43"/>
      <c r="I59" s="44">
        <f t="shared" si="21"/>
        <v>0</v>
      </c>
      <c r="J59" s="43">
        <v>8.2</v>
      </c>
      <c r="K59" s="44"/>
      <c r="L59" s="44"/>
    </row>
    <row r="60" spans="1:12" ht="12.75">
      <c r="A60" s="45" t="s">
        <v>9</v>
      </c>
      <c r="B60" s="45"/>
      <c r="C60" s="41" t="s">
        <v>6</v>
      </c>
      <c r="D60" s="42">
        <f t="shared" si="24"/>
        <v>4200</v>
      </c>
      <c r="E60" s="43">
        <f>400</f>
        <v>400</v>
      </c>
      <c r="F60" s="43">
        <f>100+500</f>
        <v>600</v>
      </c>
      <c r="G60" s="43">
        <f>300+1355+450</f>
        <v>2105</v>
      </c>
      <c r="H60" s="43">
        <f>500+145+450</f>
        <v>1095</v>
      </c>
      <c r="I60" s="44">
        <f t="shared" si="21"/>
        <v>1000</v>
      </c>
      <c r="J60" s="43">
        <v>3134.1</v>
      </c>
      <c r="K60" s="44">
        <f t="shared" si="22"/>
        <v>313.41</v>
      </c>
      <c r="L60" s="44">
        <f t="shared" si="23"/>
        <v>74.62142857142857</v>
      </c>
    </row>
    <row r="61" spans="1:12" ht="12.75">
      <c r="A61" s="45" t="s">
        <v>10</v>
      </c>
      <c r="B61" s="45"/>
      <c r="C61" s="41" t="s">
        <v>23</v>
      </c>
      <c r="D61" s="42">
        <f t="shared" si="24"/>
        <v>0</v>
      </c>
      <c r="E61" s="43"/>
      <c r="F61" s="43"/>
      <c r="G61" s="43"/>
      <c r="H61" s="43"/>
      <c r="I61" s="44">
        <f t="shared" si="21"/>
        <v>0</v>
      </c>
      <c r="J61" s="43"/>
      <c r="K61" s="44"/>
      <c r="L61" s="44"/>
    </row>
    <row r="62" spans="1:12" ht="12.75" customHeight="1">
      <c r="A62" s="34" t="s">
        <v>11</v>
      </c>
      <c r="B62" s="34"/>
      <c r="C62" s="41" t="s">
        <v>17</v>
      </c>
      <c r="D62" s="42">
        <f t="shared" si="24"/>
        <v>8903</v>
      </c>
      <c r="E62" s="43">
        <f>2150+9</f>
        <v>2159</v>
      </c>
      <c r="F62" s="43">
        <f>2250+10</f>
        <v>2260</v>
      </c>
      <c r="G62" s="43">
        <f>2250+10</f>
        <v>2260</v>
      </c>
      <c r="H62" s="43">
        <f>2215+9</f>
        <v>2224</v>
      </c>
      <c r="I62" s="44">
        <f t="shared" si="21"/>
        <v>4419</v>
      </c>
      <c r="J62" s="43">
        <v>2009.9</v>
      </c>
      <c r="K62" s="44">
        <f t="shared" si="22"/>
        <v>45.483140982122656</v>
      </c>
      <c r="L62" s="44">
        <f t="shared" si="23"/>
        <v>22.575536336066495</v>
      </c>
    </row>
    <row r="63" spans="1:12" ht="12.75">
      <c r="A63" s="46" t="s">
        <v>18</v>
      </c>
      <c r="B63" s="46"/>
      <c r="C63" s="41" t="s">
        <v>15</v>
      </c>
      <c r="D63" s="42">
        <f t="shared" si="24"/>
        <v>7</v>
      </c>
      <c r="E63" s="43">
        <f>7</f>
        <v>7</v>
      </c>
      <c r="F63" s="43"/>
      <c r="G63" s="43"/>
      <c r="H63" s="43"/>
      <c r="I63" s="44">
        <f t="shared" si="21"/>
        <v>7</v>
      </c>
      <c r="J63" s="43">
        <v>237</v>
      </c>
      <c r="K63" s="44">
        <f t="shared" si="22"/>
        <v>3385.7142857142853</v>
      </c>
      <c r="L63" s="44">
        <f t="shared" si="23"/>
        <v>3385.7142857142853</v>
      </c>
    </row>
    <row r="64" spans="1:12" ht="12.75">
      <c r="A64" s="27" t="s">
        <v>12</v>
      </c>
      <c r="B64" s="27"/>
      <c r="C64" s="41" t="s">
        <v>7</v>
      </c>
      <c r="D64" s="42">
        <f t="shared" si="24"/>
        <v>0</v>
      </c>
      <c r="E64" s="43"/>
      <c r="F64" s="43"/>
      <c r="G64" s="43"/>
      <c r="H64" s="43"/>
      <c r="I64" s="44">
        <f t="shared" si="21"/>
        <v>0</v>
      </c>
      <c r="J64" s="43">
        <v>41.8</v>
      </c>
      <c r="K64" s="44"/>
      <c r="L64" s="44"/>
    </row>
    <row r="65" spans="1:12" ht="12.75">
      <c r="A65" s="48" t="s">
        <v>45</v>
      </c>
      <c r="B65" s="49"/>
      <c r="C65" s="50" t="s">
        <v>46</v>
      </c>
      <c r="D65" s="42">
        <f t="shared" si="24"/>
        <v>0</v>
      </c>
      <c r="E65" s="43"/>
      <c r="F65" s="43"/>
      <c r="G65" s="43"/>
      <c r="H65" s="43"/>
      <c r="I65" s="44">
        <f t="shared" si="21"/>
        <v>0</v>
      </c>
      <c r="J65" s="43">
        <v>10.2</v>
      </c>
      <c r="K65" s="44"/>
      <c r="L65" s="44"/>
    </row>
    <row r="66" spans="1:12" ht="12.75">
      <c r="A66" s="38" t="s">
        <v>1</v>
      </c>
      <c r="B66" s="38"/>
      <c r="C66" s="51" t="s">
        <v>0</v>
      </c>
      <c r="D66" s="52">
        <f aca="true" t="shared" si="25" ref="D66:J66">D67</f>
        <v>41588.4</v>
      </c>
      <c r="E66" s="52">
        <f t="shared" si="25"/>
        <v>19486.2</v>
      </c>
      <c r="F66" s="52">
        <f t="shared" si="25"/>
        <v>8089.5</v>
      </c>
      <c r="G66" s="52">
        <f t="shared" si="25"/>
        <v>7004.6</v>
      </c>
      <c r="H66" s="52">
        <f t="shared" si="25"/>
        <v>7008.1</v>
      </c>
      <c r="I66" s="52">
        <f t="shared" si="25"/>
        <v>27575.7</v>
      </c>
      <c r="J66" s="52">
        <f t="shared" si="25"/>
        <v>9359.2</v>
      </c>
      <c r="K66" s="40">
        <f t="shared" si="22"/>
        <v>33.94002690774849</v>
      </c>
      <c r="L66" s="40">
        <f t="shared" si="23"/>
        <v>22.504352175125756</v>
      </c>
    </row>
    <row r="67" spans="1:12" ht="24">
      <c r="A67" s="36" t="s">
        <v>22</v>
      </c>
      <c r="B67" s="45"/>
      <c r="C67" s="53" t="s">
        <v>21</v>
      </c>
      <c r="D67" s="42">
        <f t="shared" si="24"/>
        <v>41588.4</v>
      </c>
      <c r="E67" s="43">
        <v>19486.2</v>
      </c>
      <c r="F67" s="43">
        <v>8089.5</v>
      </c>
      <c r="G67" s="43">
        <v>7004.6</v>
      </c>
      <c r="H67" s="43">
        <v>7008.1</v>
      </c>
      <c r="I67" s="44">
        <f t="shared" si="21"/>
        <v>27575.7</v>
      </c>
      <c r="J67" s="43">
        <v>9359.2</v>
      </c>
      <c r="K67" s="44">
        <f t="shared" si="22"/>
        <v>33.94002690774849</v>
      </c>
      <c r="L67" s="44">
        <f t="shared" si="23"/>
        <v>22.504352175125756</v>
      </c>
    </row>
    <row r="68" spans="1:12" ht="12.75">
      <c r="A68" s="27"/>
      <c r="B68" s="28"/>
      <c r="C68" s="29" t="s">
        <v>4</v>
      </c>
      <c r="D68" s="1">
        <f>D66+D57</f>
        <v>71741.4</v>
      </c>
      <c r="E68" s="1">
        <f aca="true" t="shared" si="26" ref="E68:J68">E66+E57</f>
        <v>25475.9</v>
      </c>
      <c r="F68" s="1">
        <f t="shared" si="26"/>
        <v>15106</v>
      </c>
      <c r="G68" s="1">
        <f t="shared" si="26"/>
        <v>16610.1</v>
      </c>
      <c r="H68" s="1">
        <f t="shared" si="26"/>
        <v>14549.400000000001</v>
      </c>
      <c r="I68" s="1">
        <f t="shared" si="26"/>
        <v>40581.9</v>
      </c>
      <c r="J68" s="1">
        <f t="shared" si="26"/>
        <v>18566.1</v>
      </c>
      <c r="K68" s="40">
        <f t="shared" si="22"/>
        <v>45.749706149785986</v>
      </c>
      <c r="L68" s="40">
        <f t="shared" si="23"/>
        <v>25.87919945805351</v>
      </c>
    </row>
    <row r="69" spans="1:12" ht="12.75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4"/>
    </row>
    <row r="70" spans="1:12" ht="12.75">
      <c r="A70" s="139" t="s">
        <v>32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1"/>
    </row>
    <row r="71" spans="1:12" ht="12.75" customHeight="1" hidden="1">
      <c r="A71" s="38" t="s">
        <v>3</v>
      </c>
      <c r="B71" s="38"/>
      <c r="C71" s="39" t="s">
        <v>77</v>
      </c>
      <c r="D71" s="40">
        <f>D72+D73+D74+D75+D76+D77+D78+D79+D80</f>
        <v>19332</v>
      </c>
      <c r="E71" s="40">
        <f aca="true" t="shared" si="27" ref="E71:J71">E72+E73+E74+E75+E76+E77+E78+E79+E80+E81</f>
        <v>3794.2</v>
      </c>
      <c r="F71" s="40">
        <f t="shared" si="27"/>
        <v>4571.4</v>
      </c>
      <c r="G71" s="40">
        <f t="shared" si="27"/>
        <v>5256.3</v>
      </c>
      <c r="H71" s="40">
        <f t="shared" si="27"/>
        <v>5710.1</v>
      </c>
      <c r="I71" s="40">
        <f t="shared" si="27"/>
        <v>8365.6</v>
      </c>
      <c r="J71" s="40">
        <f t="shared" si="27"/>
        <v>6783.999999999999</v>
      </c>
      <c r="K71" s="40">
        <f>J71/I71*100</f>
        <v>81.0940040164483</v>
      </c>
      <c r="L71" s="40">
        <f>J71/D71*100</f>
        <v>35.09207531553899</v>
      </c>
    </row>
    <row r="72" spans="1:12" ht="12.75">
      <c r="A72" s="27" t="s">
        <v>27</v>
      </c>
      <c r="B72" s="27"/>
      <c r="C72" s="41" t="s">
        <v>26</v>
      </c>
      <c r="D72" s="42">
        <f>E72+F72+G72+H72</f>
        <v>13185</v>
      </c>
      <c r="E72" s="43">
        <v>2430</v>
      </c>
      <c r="F72" s="43">
        <v>3300</v>
      </c>
      <c r="G72" s="43">
        <v>3600</v>
      </c>
      <c r="H72" s="43">
        <v>3855</v>
      </c>
      <c r="I72" s="44">
        <f aca="true" t="shared" si="28" ref="I72:I80">E72+F72</f>
        <v>5730</v>
      </c>
      <c r="J72" s="43">
        <v>4356.4</v>
      </c>
      <c r="K72" s="44">
        <f>J72/I72*100</f>
        <v>76.02792321116928</v>
      </c>
      <c r="L72" s="44">
        <f>J72/D72*100</f>
        <v>33.04057641259006</v>
      </c>
    </row>
    <row r="73" spans="1:12" ht="12.75" customHeight="1" hidden="1">
      <c r="A73" s="45" t="s">
        <v>8</v>
      </c>
      <c r="B73" s="45"/>
      <c r="C73" s="41" t="s">
        <v>5</v>
      </c>
      <c r="D73" s="42">
        <f>E73+F73+G73+H73</f>
        <v>0</v>
      </c>
      <c r="E73" s="43"/>
      <c r="F73" s="43"/>
      <c r="G73" s="43"/>
      <c r="H73" s="43"/>
      <c r="I73" s="44">
        <f t="shared" si="28"/>
        <v>0</v>
      </c>
      <c r="J73" s="43"/>
      <c r="K73" s="44"/>
      <c r="L73" s="44"/>
    </row>
    <row r="74" spans="1:12" ht="12.75">
      <c r="A74" s="45" t="s">
        <v>9</v>
      </c>
      <c r="B74" s="45"/>
      <c r="C74" s="41" t="s">
        <v>6</v>
      </c>
      <c r="D74" s="42">
        <f aca="true" t="shared" si="29" ref="D74:D83">E74+F74+G74+H74</f>
        <v>791</v>
      </c>
      <c r="E74" s="43">
        <v>148.5</v>
      </c>
      <c r="F74" s="43">
        <v>264</v>
      </c>
      <c r="G74" s="43">
        <v>162.5</v>
      </c>
      <c r="H74" s="43">
        <v>216</v>
      </c>
      <c r="I74" s="44">
        <f t="shared" si="28"/>
        <v>412.5</v>
      </c>
      <c r="J74" s="43">
        <v>386.4</v>
      </c>
      <c r="K74" s="44">
        <f>J74/I74*100</f>
        <v>93.67272727272726</v>
      </c>
      <c r="L74" s="44">
        <f>J74/D74*100</f>
        <v>48.849557522123895</v>
      </c>
    </row>
    <row r="75" spans="1:12" ht="12.75">
      <c r="A75" s="45" t="s">
        <v>10</v>
      </c>
      <c r="B75" s="45"/>
      <c r="C75" s="41" t="s">
        <v>23</v>
      </c>
      <c r="D75" s="42">
        <f t="shared" si="29"/>
        <v>0</v>
      </c>
      <c r="E75" s="43"/>
      <c r="F75" s="43"/>
      <c r="G75" s="43"/>
      <c r="H75" s="43"/>
      <c r="I75" s="44">
        <f t="shared" si="28"/>
        <v>0</v>
      </c>
      <c r="J75" s="43"/>
      <c r="K75" s="44"/>
      <c r="L75" s="44"/>
    </row>
    <row r="76" spans="1:12" ht="24">
      <c r="A76" s="34" t="s">
        <v>11</v>
      </c>
      <c r="B76" s="34"/>
      <c r="C76" s="41" t="s">
        <v>17</v>
      </c>
      <c r="D76" s="42">
        <f t="shared" si="29"/>
        <v>4890</v>
      </c>
      <c r="E76" s="43">
        <v>1089</v>
      </c>
      <c r="F76" s="43">
        <v>903.5</v>
      </c>
      <c r="G76" s="43">
        <v>1445</v>
      </c>
      <c r="H76" s="43">
        <v>1452.5</v>
      </c>
      <c r="I76" s="44">
        <f t="shared" si="28"/>
        <v>1992.5</v>
      </c>
      <c r="J76" s="43">
        <v>1283.1</v>
      </c>
      <c r="K76" s="44">
        <f>J76/I76*100</f>
        <v>64.39648682559597</v>
      </c>
      <c r="L76" s="44">
        <f>J76/D76*100</f>
        <v>26.239263803680977</v>
      </c>
    </row>
    <row r="77" spans="1:12" ht="12.75" customHeight="1" hidden="1">
      <c r="A77" s="47" t="s">
        <v>48</v>
      </c>
      <c r="B77" s="47"/>
      <c r="C77" s="41" t="s">
        <v>49</v>
      </c>
      <c r="D77" s="42">
        <f t="shared" si="29"/>
        <v>466</v>
      </c>
      <c r="E77" s="43">
        <v>126.7</v>
      </c>
      <c r="F77" s="43">
        <v>103.9</v>
      </c>
      <c r="G77" s="43">
        <v>48.8</v>
      </c>
      <c r="H77" s="43">
        <v>186.6</v>
      </c>
      <c r="I77" s="44">
        <f t="shared" si="28"/>
        <v>230.60000000000002</v>
      </c>
      <c r="J77" s="43">
        <v>107.1</v>
      </c>
      <c r="K77" s="44">
        <f>J77/I77*100</f>
        <v>46.44405897658282</v>
      </c>
      <c r="L77" s="44">
        <f>J77/D77*100</f>
        <v>22.98283261802575</v>
      </c>
    </row>
    <row r="78" spans="1:12" ht="12.75">
      <c r="A78" s="46" t="s">
        <v>18</v>
      </c>
      <c r="B78" s="46"/>
      <c r="C78" s="41" t="s">
        <v>15</v>
      </c>
      <c r="D78" s="42">
        <f t="shared" si="29"/>
        <v>0</v>
      </c>
      <c r="E78" s="43"/>
      <c r="F78" s="43"/>
      <c r="G78" s="43"/>
      <c r="H78" s="43"/>
      <c r="I78" s="44">
        <f t="shared" si="28"/>
        <v>0</v>
      </c>
      <c r="J78" s="43">
        <v>303.4</v>
      </c>
      <c r="K78" s="40"/>
      <c r="L78" s="40"/>
    </row>
    <row r="79" spans="1:12" ht="12.75" customHeight="1" hidden="1">
      <c r="A79" s="27" t="s">
        <v>12</v>
      </c>
      <c r="B79" s="27"/>
      <c r="C79" s="41" t="s">
        <v>7</v>
      </c>
      <c r="D79" s="42">
        <f t="shared" si="29"/>
        <v>0</v>
      </c>
      <c r="E79" s="43"/>
      <c r="F79" s="43"/>
      <c r="G79" s="43"/>
      <c r="H79" s="43"/>
      <c r="I79" s="44">
        <f t="shared" si="28"/>
        <v>0</v>
      </c>
      <c r="J79" s="43">
        <v>115.4</v>
      </c>
      <c r="K79" s="40"/>
      <c r="L79" s="40"/>
    </row>
    <row r="80" spans="1:12" ht="12.75">
      <c r="A80" s="48" t="s">
        <v>45</v>
      </c>
      <c r="B80" s="49"/>
      <c r="C80" s="50" t="s">
        <v>46</v>
      </c>
      <c r="D80" s="42">
        <f t="shared" si="29"/>
        <v>0</v>
      </c>
      <c r="E80" s="43"/>
      <c r="F80" s="43"/>
      <c r="G80" s="43"/>
      <c r="H80" s="43"/>
      <c r="I80" s="44">
        <f t="shared" si="28"/>
        <v>0</v>
      </c>
      <c r="J80" s="43">
        <v>232.2</v>
      </c>
      <c r="K80" s="40"/>
      <c r="L80" s="40"/>
    </row>
    <row r="81" spans="1:12" ht="12.75">
      <c r="A81" s="48" t="s">
        <v>50</v>
      </c>
      <c r="B81" s="49"/>
      <c r="C81" s="50" t="s">
        <v>51</v>
      </c>
      <c r="D81" s="42">
        <f t="shared" si="29"/>
        <v>0</v>
      </c>
      <c r="E81" s="43"/>
      <c r="F81" s="43"/>
      <c r="G81" s="43"/>
      <c r="H81" s="43"/>
      <c r="I81" s="40">
        <f>E81</f>
        <v>0</v>
      </c>
      <c r="J81" s="43"/>
      <c r="K81" s="40"/>
      <c r="L81" s="40"/>
    </row>
    <row r="82" spans="1:12" ht="12.75" customHeight="1" hidden="1">
      <c r="A82" s="38" t="s">
        <v>1</v>
      </c>
      <c r="B82" s="38"/>
      <c r="C82" s="51" t="s">
        <v>0</v>
      </c>
      <c r="D82" s="52">
        <f aca="true" t="shared" si="30" ref="D82:I82">D83+D84</f>
        <v>66119.80000000002</v>
      </c>
      <c r="E82" s="52">
        <f t="shared" si="30"/>
        <v>20603.4</v>
      </c>
      <c r="F82" s="52">
        <f t="shared" si="30"/>
        <v>21024.2</v>
      </c>
      <c r="G82" s="52">
        <f t="shared" si="30"/>
        <v>13225.8</v>
      </c>
      <c r="H82" s="52">
        <f t="shared" si="30"/>
        <v>11266.4</v>
      </c>
      <c r="I82" s="52">
        <f t="shared" si="30"/>
        <v>41627.600000000006</v>
      </c>
      <c r="J82" s="52">
        <f>J83+J84</f>
        <v>21666.699999999997</v>
      </c>
      <c r="K82" s="40">
        <f>J82/I82*100</f>
        <v>52.04888103085451</v>
      </c>
      <c r="L82" s="40">
        <f>J82/D82*100</f>
        <v>32.768852900341486</v>
      </c>
    </row>
    <row r="83" spans="1:12" ht="24">
      <c r="A83" s="36" t="s">
        <v>22</v>
      </c>
      <c r="B83" s="45"/>
      <c r="C83" s="53" t="s">
        <v>21</v>
      </c>
      <c r="D83" s="42">
        <f t="shared" si="29"/>
        <v>63097.80000000001</v>
      </c>
      <c r="E83" s="43">
        <v>20583.4</v>
      </c>
      <c r="F83" s="43">
        <v>18022.2</v>
      </c>
      <c r="G83" s="43">
        <v>13225.8</v>
      </c>
      <c r="H83" s="43">
        <v>11266.4</v>
      </c>
      <c r="I83" s="44">
        <f>E83+F83</f>
        <v>38605.600000000006</v>
      </c>
      <c r="J83" s="43">
        <v>18643.6</v>
      </c>
      <c r="K83" s="44">
        <f>J83/I83*100</f>
        <v>48.2924757030068</v>
      </c>
      <c r="L83" s="44">
        <f>J83/D83*100</f>
        <v>29.547147444126416</v>
      </c>
    </row>
    <row r="84" spans="1:12" ht="12.75">
      <c r="A84" s="35" t="s">
        <v>2</v>
      </c>
      <c r="B84" s="35"/>
      <c r="C84" s="54" t="s">
        <v>19</v>
      </c>
      <c r="D84" s="42">
        <f>E84+F84+G84+H84</f>
        <v>3022</v>
      </c>
      <c r="E84" s="43">
        <v>20</v>
      </c>
      <c r="F84" s="43">
        <v>3002</v>
      </c>
      <c r="G84" s="43"/>
      <c r="H84" s="43"/>
      <c r="I84" s="44">
        <f>E84+F84</f>
        <v>3022</v>
      </c>
      <c r="J84" s="43">
        <v>3023.1</v>
      </c>
      <c r="K84" s="44">
        <f>J84/I84*100</f>
        <v>100.03639973527466</v>
      </c>
      <c r="L84" s="44">
        <f>J84/D84*100</f>
        <v>100.03639973527466</v>
      </c>
    </row>
    <row r="85" spans="1:12" ht="12.75">
      <c r="A85" s="27"/>
      <c r="B85" s="28"/>
      <c r="C85" s="29" t="s">
        <v>4</v>
      </c>
      <c r="D85" s="1">
        <f aca="true" t="shared" si="31" ref="D85:I85">D82+D71</f>
        <v>85451.80000000002</v>
      </c>
      <c r="E85" s="1">
        <f t="shared" si="31"/>
        <v>24397.600000000002</v>
      </c>
      <c r="F85" s="1">
        <f t="shared" si="31"/>
        <v>25595.6</v>
      </c>
      <c r="G85" s="1">
        <f t="shared" si="31"/>
        <v>18482.1</v>
      </c>
      <c r="H85" s="1">
        <f t="shared" si="31"/>
        <v>16976.5</v>
      </c>
      <c r="I85" s="1">
        <f t="shared" si="31"/>
        <v>49993.200000000004</v>
      </c>
      <c r="J85" s="1">
        <f>J82+J71</f>
        <v>28450.699999999997</v>
      </c>
      <c r="K85" s="40">
        <f>J85/I85*100</f>
        <v>56.909139642991434</v>
      </c>
      <c r="L85" s="40">
        <f>J85/D85*100</f>
        <v>33.294442012924236</v>
      </c>
    </row>
    <row r="86" spans="1:12" ht="12.75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4"/>
    </row>
    <row r="87" spans="1:13" ht="12.75">
      <c r="A87" s="139" t="s">
        <v>33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1"/>
      <c r="M87" s="3"/>
    </row>
    <row r="88" spans="1:13" ht="12.75">
      <c r="A88" s="57" t="s">
        <v>3</v>
      </c>
      <c r="B88" s="57"/>
      <c r="C88" s="39" t="s">
        <v>77</v>
      </c>
      <c r="D88" s="58">
        <f aca="true" t="shared" si="32" ref="D88:I88">D89+D90+D94+D91+D92+D96+D93+D95</f>
        <v>1508</v>
      </c>
      <c r="E88" s="58">
        <f t="shared" si="32"/>
        <v>357.9</v>
      </c>
      <c r="F88" s="58">
        <f t="shared" si="32"/>
        <v>360.1</v>
      </c>
      <c r="G88" s="58">
        <f t="shared" si="32"/>
        <v>394.9</v>
      </c>
      <c r="H88" s="58">
        <f t="shared" si="32"/>
        <v>395.1</v>
      </c>
      <c r="I88" s="58">
        <f t="shared" si="32"/>
        <v>718</v>
      </c>
      <c r="J88" s="58">
        <f>J89+J90+J94+J91+J92+J96+J93+J95</f>
        <v>833.5</v>
      </c>
      <c r="K88" s="40">
        <f>J88/I88*100</f>
        <v>116.08635097493037</v>
      </c>
      <c r="L88" s="40">
        <f>J88/D88*100</f>
        <v>55.271883289124666</v>
      </c>
      <c r="M88" s="3"/>
    </row>
    <row r="89" spans="1:12" ht="12.75">
      <c r="A89" s="27" t="s">
        <v>27</v>
      </c>
      <c r="B89" s="27"/>
      <c r="C89" s="41" t="s">
        <v>26</v>
      </c>
      <c r="D89" s="42">
        <f aca="true" t="shared" si="33" ref="D89:D98">E89+F89+G89+H89</f>
        <v>1227</v>
      </c>
      <c r="E89" s="43">
        <v>306.7</v>
      </c>
      <c r="F89" s="43">
        <v>306.8</v>
      </c>
      <c r="G89" s="43">
        <v>306.7</v>
      </c>
      <c r="H89" s="43">
        <v>306.8</v>
      </c>
      <c r="I89" s="44">
        <f aca="true" t="shared" si="34" ref="I89:I98">E89+F89</f>
        <v>613.5</v>
      </c>
      <c r="J89" s="43">
        <v>365.8</v>
      </c>
      <c r="K89" s="44">
        <f>J89/I89*100</f>
        <v>59.625101874490625</v>
      </c>
      <c r="L89" s="44">
        <f aca="true" t="shared" si="35" ref="L89:L99">J89/D89*100</f>
        <v>29.812550937245312</v>
      </c>
    </row>
    <row r="90" spans="1:12" ht="12.75">
      <c r="A90" s="45" t="s">
        <v>9</v>
      </c>
      <c r="B90" s="45"/>
      <c r="C90" s="41" t="s">
        <v>6</v>
      </c>
      <c r="D90" s="42">
        <f t="shared" si="33"/>
        <v>76</v>
      </c>
      <c r="E90" s="43">
        <v>1.5</v>
      </c>
      <c r="F90" s="43">
        <v>1.5</v>
      </c>
      <c r="G90" s="43">
        <v>36.5</v>
      </c>
      <c r="H90" s="43">
        <v>36.5</v>
      </c>
      <c r="I90" s="44">
        <f t="shared" si="34"/>
        <v>3</v>
      </c>
      <c r="J90" s="43">
        <v>19</v>
      </c>
      <c r="K90" s="44">
        <f>J90/I90*100</f>
        <v>633.3333333333333</v>
      </c>
      <c r="L90" s="44">
        <f t="shared" si="35"/>
        <v>25</v>
      </c>
    </row>
    <row r="91" spans="1:12" ht="12.75">
      <c r="A91" s="45" t="s">
        <v>10</v>
      </c>
      <c r="B91" s="45"/>
      <c r="C91" s="41" t="s">
        <v>23</v>
      </c>
      <c r="D91" s="42">
        <f t="shared" si="33"/>
        <v>10</v>
      </c>
      <c r="E91" s="43">
        <v>1</v>
      </c>
      <c r="F91" s="43">
        <v>3</v>
      </c>
      <c r="G91" s="43">
        <v>3</v>
      </c>
      <c r="H91" s="43">
        <v>3</v>
      </c>
      <c r="I91" s="44">
        <f t="shared" si="34"/>
        <v>4</v>
      </c>
      <c r="J91" s="43">
        <v>2</v>
      </c>
      <c r="K91" s="44">
        <f>J91/I91*100</f>
        <v>50</v>
      </c>
      <c r="L91" s="44">
        <f t="shared" si="35"/>
        <v>20</v>
      </c>
    </row>
    <row r="92" spans="1:12" ht="24">
      <c r="A92" s="34" t="s">
        <v>11</v>
      </c>
      <c r="B92" s="34"/>
      <c r="C92" s="41" t="s">
        <v>17</v>
      </c>
      <c r="D92" s="42">
        <f t="shared" si="33"/>
        <v>195</v>
      </c>
      <c r="E92" s="43">
        <v>48.7</v>
      </c>
      <c r="F92" s="43">
        <v>48.8</v>
      </c>
      <c r="G92" s="43">
        <v>48.7</v>
      </c>
      <c r="H92" s="43">
        <v>48.8</v>
      </c>
      <c r="I92" s="44">
        <f t="shared" si="34"/>
        <v>97.5</v>
      </c>
      <c r="J92" s="43">
        <v>4.5</v>
      </c>
      <c r="K92" s="44">
        <f>J92/I92*100</f>
        <v>4.615384615384616</v>
      </c>
      <c r="L92" s="44">
        <f t="shared" si="35"/>
        <v>2.307692307692308</v>
      </c>
    </row>
    <row r="93" spans="1:12" ht="12.75">
      <c r="A93" s="47" t="s">
        <v>48</v>
      </c>
      <c r="B93" s="47"/>
      <c r="C93" s="41" t="s">
        <v>49</v>
      </c>
      <c r="D93" s="42">
        <f t="shared" si="33"/>
        <v>0</v>
      </c>
      <c r="E93" s="43"/>
      <c r="F93" s="43"/>
      <c r="G93" s="43"/>
      <c r="H93" s="43"/>
      <c r="I93" s="44">
        <f t="shared" si="34"/>
        <v>0</v>
      </c>
      <c r="J93" s="43">
        <v>15.5</v>
      </c>
      <c r="K93" s="44"/>
      <c r="L93" s="44"/>
    </row>
    <row r="94" spans="1:12" ht="12.75">
      <c r="A94" s="47" t="s">
        <v>18</v>
      </c>
      <c r="B94" s="47"/>
      <c r="C94" s="41" t="s">
        <v>15</v>
      </c>
      <c r="D94" s="42">
        <f t="shared" si="33"/>
        <v>0</v>
      </c>
      <c r="E94" s="43"/>
      <c r="F94" s="43"/>
      <c r="G94" s="43"/>
      <c r="H94" s="43"/>
      <c r="I94" s="44">
        <f t="shared" si="34"/>
        <v>0</v>
      </c>
      <c r="J94" s="43">
        <v>39.9</v>
      </c>
      <c r="K94" s="44"/>
      <c r="L94" s="44"/>
    </row>
    <row r="95" spans="1:12" ht="12.75">
      <c r="A95" s="27" t="s">
        <v>12</v>
      </c>
      <c r="B95" s="27"/>
      <c r="C95" s="41" t="s">
        <v>7</v>
      </c>
      <c r="D95" s="42">
        <f t="shared" si="33"/>
        <v>0</v>
      </c>
      <c r="E95" s="43"/>
      <c r="F95" s="43"/>
      <c r="G95" s="43"/>
      <c r="H95" s="43"/>
      <c r="I95" s="44">
        <f t="shared" si="34"/>
        <v>0</v>
      </c>
      <c r="J95" s="43">
        <v>386.8</v>
      </c>
      <c r="K95" s="44"/>
      <c r="L95" s="44"/>
    </row>
    <row r="96" spans="1:12" ht="12.75">
      <c r="A96" s="47" t="s">
        <v>45</v>
      </c>
      <c r="B96" s="68"/>
      <c r="C96" s="50" t="s">
        <v>46</v>
      </c>
      <c r="D96" s="42">
        <f t="shared" si="33"/>
        <v>0</v>
      </c>
      <c r="E96" s="43"/>
      <c r="F96" s="43"/>
      <c r="G96" s="43"/>
      <c r="H96" s="43"/>
      <c r="I96" s="44">
        <f t="shared" si="34"/>
        <v>0</v>
      </c>
      <c r="J96" s="43"/>
      <c r="K96" s="40"/>
      <c r="L96" s="40"/>
    </row>
    <row r="97" spans="1:12" ht="12.75">
      <c r="A97" s="57" t="s">
        <v>1</v>
      </c>
      <c r="B97" s="57"/>
      <c r="C97" s="51" t="s">
        <v>0</v>
      </c>
      <c r="D97" s="52">
        <f aca="true" t="shared" si="36" ref="D97:J97">D98</f>
        <v>28154.6</v>
      </c>
      <c r="E97" s="52">
        <f t="shared" si="36"/>
        <v>7013.6</v>
      </c>
      <c r="F97" s="52">
        <f t="shared" si="36"/>
        <v>7433.800000000001</v>
      </c>
      <c r="G97" s="52">
        <f t="shared" si="36"/>
        <v>6853.6</v>
      </c>
      <c r="H97" s="52">
        <f t="shared" si="36"/>
        <v>6853.6</v>
      </c>
      <c r="I97" s="52">
        <f t="shared" si="36"/>
        <v>14447.400000000001</v>
      </c>
      <c r="J97" s="52">
        <f t="shared" si="36"/>
        <v>8770.7</v>
      </c>
      <c r="K97" s="40">
        <f>J97/I97*100</f>
        <v>60.70780901753948</v>
      </c>
      <c r="L97" s="40">
        <f t="shared" si="35"/>
        <v>31.15192544024778</v>
      </c>
    </row>
    <row r="98" spans="1:12" ht="24">
      <c r="A98" s="36" t="s">
        <v>22</v>
      </c>
      <c r="B98" s="45"/>
      <c r="C98" s="53" t="s">
        <v>21</v>
      </c>
      <c r="D98" s="42">
        <f t="shared" si="33"/>
        <v>28154.6</v>
      </c>
      <c r="E98" s="43">
        <f>6853.6+160</f>
        <v>7013.6</v>
      </c>
      <c r="F98" s="43">
        <f>6864.1+47.6+522.1</f>
        <v>7433.800000000001</v>
      </c>
      <c r="G98" s="43">
        <v>6853.6</v>
      </c>
      <c r="H98" s="43">
        <v>6853.6</v>
      </c>
      <c r="I98" s="44">
        <f t="shared" si="34"/>
        <v>14447.400000000001</v>
      </c>
      <c r="J98" s="43">
        <v>8770.7</v>
      </c>
      <c r="K98" s="44">
        <f>J98/I98*100</f>
        <v>60.70780901753948</v>
      </c>
      <c r="L98" s="44">
        <f t="shared" si="35"/>
        <v>31.15192544024778</v>
      </c>
    </row>
    <row r="99" spans="1:12" ht="12.75">
      <c r="A99" s="27"/>
      <c r="B99" s="28"/>
      <c r="C99" s="29" t="s">
        <v>4</v>
      </c>
      <c r="D99" s="1">
        <f>D97+D88</f>
        <v>29662.6</v>
      </c>
      <c r="E99" s="1">
        <f aca="true" t="shared" si="37" ref="E99:J99">E97+E88</f>
        <v>7371.5</v>
      </c>
      <c r="F99" s="1">
        <f t="shared" si="37"/>
        <v>7793.9000000000015</v>
      </c>
      <c r="G99" s="1">
        <f t="shared" si="37"/>
        <v>7248.5</v>
      </c>
      <c r="H99" s="1">
        <f t="shared" si="37"/>
        <v>7248.700000000001</v>
      </c>
      <c r="I99" s="1">
        <f t="shared" si="37"/>
        <v>15165.400000000001</v>
      </c>
      <c r="J99" s="1">
        <f t="shared" si="37"/>
        <v>9604.2</v>
      </c>
      <c r="K99" s="40">
        <f>J99/I99*100</f>
        <v>63.32968467696203</v>
      </c>
      <c r="L99" s="40">
        <f t="shared" si="35"/>
        <v>32.37814621779615</v>
      </c>
    </row>
    <row r="100" spans="1:12" ht="12.75">
      <c r="A100" s="142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4"/>
    </row>
    <row r="101" spans="1:12" ht="12.75">
      <c r="A101" s="139" t="s">
        <v>34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1"/>
    </row>
    <row r="102" spans="1:12" ht="12.75">
      <c r="A102" s="38" t="s">
        <v>3</v>
      </c>
      <c r="B102" s="38"/>
      <c r="C102" s="39" t="s">
        <v>77</v>
      </c>
      <c r="D102" s="40">
        <f aca="true" t="shared" si="38" ref="D102:I102">D103+D104+D107+D105+D106+D108</f>
        <v>1167</v>
      </c>
      <c r="E102" s="40">
        <f t="shared" si="38"/>
        <v>156.09999999999997</v>
      </c>
      <c r="F102" s="40">
        <f t="shared" si="38"/>
        <v>379.4</v>
      </c>
      <c r="G102" s="40">
        <f t="shared" si="38"/>
        <v>259.7</v>
      </c>
      <c r="H102" s="40">
        <f t="shared" si="38"/>
        <v>371.8</v>
      </c>
      <c r="I102" s="40">
        <f t="shared" si="38"/>
        <v>535.5</v>
      </c>
      <c r="J102" s="40">
        <f>J103+J104+J107+J105+J106+J108+J109</f>
        <v>221</v>
      </c>
      <c r="K102" s="40">
        <f>J102/I102*100</f>
        <v>41.269841269841265</v>
      </c>
      <c r="L102" s="40">
        <f>J102/D102*100</f>
        <v>18.937446443873178</v>
      </c>
    </row>
    <row r="103" spans="1:12" ht="12.75">
      <c r="A103" s="27" t="s">
        <v>27</v>
      </c>
      <c r="B103" s="27"/>
      <c r="C103" s="41" t="s">
        <v>26</v>
      </c>
      <c r="D103" s="42">
        <f aca="true" t="shared" si="39" ref="D103:D111">E103+F103+G103+H103</f>
        <v>930</v>
      </c>
      <c r="E103" s="43">
        <v>137.7</v>
      </c>
      <c r="F103" s="43">
        <v>302.5</v>
      </c>
      <c r="G103" s="43">
        <v>196</v>
      </c>
      <c r="H103" s="43">
        <v>293.8</v>
      </c>
      <c r="I103" s="44">
        <f aca="true" t="shared" si="40" ref="I103:I111">E103+F103</f>
        <v>440.2</v>
      </c>
      <c r="J103" s="43">
        <v>195.6</v>
      </c>
      <c r="K103" s="44">
        <f aca="true" t="shared" si="41" ref="K103:K112">J103/I103*100</f>
        <v>44.434348023625624</v>
      </c>
      <c r="L103" s="44">
        <f aca="true" t="shared" si="42" ref="L103:L112">J103/D103*100</f>
        <v>21.032258064516128</v>
      </c>
    </row>
    <row r="104" spans="1:12" ht="12.75">
      <c r="A104" s="45" t="s">
        <v>9</v>
      </c>
      <c r="B104" s="45"/>
      <c r="C104" s="41" t="s">
        <v>6</v>
      </c>
      <c r="D104" s="42">
        <f t="shared" si="39"/>
        <v>90</v>
      </c>
      <c r="E104" s="43"/>
      <c r="F104" s="43">
        <v>27</v>
      </c>
      <c r="G104" s="43">
        <v>38</v>
      </c>
      <c r="H104" s="43">
        <v>25</v>
      </c>
      <c r="I104" s="44">
        <f t="shared" si="40"/>
        <v>27</v>
      </c>
      <c r="J104" s="43">
        <v>14.5</v>
      </c>
      <c r="K104" s="44"/>
      <c r="L104" s="44">
        <f t="shared" si="42"/>
        <v>16.11111111111111</v>
      </c>
    </row>
    <row r="105" spans="1:12" ht="12.75">
      <c r="A105" s="45" t="s">
        <v>10</v>
      </c>
      <c r="B105" s="45"/>
      <c r="C105" s="41" t="s">
        <v>23</v>
      </c>
      <c r="D105" s="42">
        <f t="shared" si="39"/>
        <v>30</v>
      </c>
      <c r="E105" s="43">
        <v>3.2</v>
      </c>
      <c r="F105" s="43">
        <v>6.7</v>
      </c>
      <c r="G105" s="43">
        <v>10.4</v>
      </c>
      <c r="H105" s="43">
        <v>9.7</v>
      </c>
      <c r="I105" s="44">
        <f t="shared" si="40"/>
        <v>9.9</v>
      </c>
      <c r="J105" s="43">
        <v>9.1</v>
      </c>
      <c r="K105" s="44">
        <f t="shared" si="41"/>
        <v>91.91919191919192</v>
      </c>
      <c r="L105" s="44">
        <f t="shared" si="42"/>
        <v>30.333333333333336</v>
      </c>
    </row>
    <row r="106" spans="1:12" ht="12.75" customHeight="1" hidden="1">
      <c r="A106" s="34" t="s">
        <v>11</v>
      </c>
      <c r="B106" s="34"/>
      <c r="C106" s="41" t="s">
        <v>17</v>
      </c>
      <c r="D106" s="42">
        <f t="shared" si="39"/>
        <v>117</v>
      </c>
      <c r="E106" s="43">
        <v>15.2</v>
      </c>
      <c r="F106" s="43">
        <v>43.2</v>
      </c>
      <c r="G106" s="43">
        <v>15.3</v>
      </c>
      <c r="H106" s="43">
        <v>43.3</v>
      </c>
      <c r="I106" s="44">
        <f t="shared" si="40"/>
        <v>58.400000000000006</v>
      </c>
      <c r="J106" s="43">
        <v>1.3</v>
      </c>
      <c r="K106" s="44">
        <f t="shared" si="41"/>
        <v>2.2260273972602738</v>
      </c>
      <c r="L106" s="44">
        <f t="shared" si="42"/>
        <v>1.1111111111111112</v>
      </c>
    </row>
    <row r="107" spans="1:12" ht="12.75">
      <c r="A107" s="46" t="s">
        <v>18</v>
      </c>
      <c r="B107" s="46"/>
      <c r="C107" s="41" t="s">
        <v>15</v>
      </c>
      <c r="D107" s="42">
        <f t="shared" si="39"/>
        <v>0</v>
      </c>
      <c r="E107" s="43"/>
      <c r="F107" s="43"/>
      <c r="G107" s="43"/>
      <c r="H107" s="43"/>
      <c r="I107" s="44">
        <f t="shared" si="40"/>
        <v>0</v>
      </c>
      <c r="J107" s="43"/>
      <c r="K107" s="44"/>
      <c r="L107" s="44"/>
    </row>
    <row r="108" spans="1:12" ht="12.75">
      <c r="A108" s="27" t="s">
        <v>12</v>
      </c>
      <c r="B108" s="27"/>
      <c r="C108" s="41" t="s">
        <v>7</v>
      </c>
      <c r="D108" s="42">
        <f t="shared" si="39"/>
        <v>0</v>
      </c>
      <c r="E108" s="43"/>
      <c r="F108" s="43"/>
      <c r="G108" s="43"/>
      <c r="H108" s="43"/>
      <c r="I108" s="44">
        <f t="shared" si="40"/>
        <v>0</v>
      </c>
      <c r="J108" s="43"/>
      <c r="K108" s="44"/>
      <c r="L108" s="44"/>
    </row>
    <row r="109" spans="1:12" ht="12.75">
      <c r="A109" s="46" t="s">
        <v>45</v>
      </c>
      <c r="B109" s="68"/>
      <c r="C109" s="50" t="s">
        <v>46</v>
      </c>
      <c r="D109" s="42">
        <f t="shared" si="39"/>
        <v>0</v>
      </c>
      <c r="E109" s="43"/>
      <c r="F109" s="43"/>
      <c r="G109" s="43"/>
      <c r="H109" s="43"/>
      <c r="I109" s="44">
        <f t="shared" si="40"/>
        <v>0</v>
      </c>
      <c r="J109" s="43">
        <v>0.5</v>
      </c>
      <c r="K109" s="44"/>
      <c r="L109" s="44"/>
    </row>
    <row r="110" spans="1:12" ht="12.75">
      <c r="A110" s="38" t="s">
        <v>1</v>
      </c>
      <c r="B110" s="38"/>
      <c r="C110" s="51" t="s">
        <v>0</v>
      </c>
      <c r="D110" s="52">
        <f aca="true" t="shared" si="43" ref="D110:J110">D111</f>
        <v>32078.699999999997</v>
      </c>
      <c r="E110" s="52">
        <f t="shared" si="43"/>
        <v>4611.4</v>
      </c>
      <c r="F110" s="52">
        <f t="shared" si="43"/>
        <v>12763.4</v>
      </c>
      <c r="G110" s="52">
        <f t="shared" si="43"/>
        <v>9409.9</v>
      </c>
      <c r="H110" s="52">
        <f t="shared" si="43"/>
        <v>5294</v>
      </c>
      <c r="I110" s="52">
        <f t="shared" si="43"/>
        <v>17374.8</v>
      </c>
      <c r="J110" s="69">
        <f t="shared" si="43"/>
        <v>8216.7</v>
      </c>
      <c r="K110" s="40">
        <f t="shared" si="41"/>
        <v>47.2909040679605</v>
      </c>
      <c r="L110" s="40">
        <f t="shared" si="42"/>
        <v>25.614192595086465</v>
      </c>
    </row>
    <row r="111" spans="1:12" ht="24">
      <c r="A111" s="36" t="s">
        <v>22</v>
      </c>
      <c r="B111" s="45"/>
      <c r="C111" s="53" t="s">
        <v>21</v>
      </c>
      <c r="D111" s="42">
        <f t="shared" si="39"/>
        <v>32078.699999999997</v>
      </c>
      <c r="E111" s="43">
        <v>4611.4</v>
      </c>
      <c r="F111" s="43">
        <v>12763.4</v>
      </c>
      <c r="G111" s="43">
        <v>9409.9</v>
      </c>
      <c r="H111" s="43">
        <v>5294</v>
      </c>
      <c r="I111" s="44">
        <f t="shared" si="40"/>
        <v>17374.8</v>
      </c>
      <c r="J111" s="43">
        <v>8216.7</v>
      </c>
      <c r="K111" s="44">
        <f t="shared" si="41"/>
        <v>47.2909040679605</v>
      </c>
      <c r="L111" s="44">
        <f t="shared" si="42"/>
        <v>25.614192595086465</v>
      </c>
    </row>
    <row r="112" spans="1:12" ht="12.75">
      <c r="A112" s="27"/>
      <c r="B112" s="28"/>
      <c r="C112" s="29" t="s">
        <v>4</v>
      </c>
      <c r="D112" s="1">
        <f>D110+D102</f>
        <v>33245.7</v>
      </c>
      <c r="E112" s="1">
        <f aca="true" t="shared" si="44" ref="E112:J112">E110+E102</f>
        <v>4767.5</v>
      </c>
      <c r="F112" s="1">
        <f t="shared" si="44"/>
        <v>13142.8</v>
      </c>
      <c r="G112" s="1">
        <f t="shared" si="44"/>
        <v>9669.6</v>
      </c>
      <c r="H112" s="1">
        <f t="shared" si="44"/>
        <v>5665.8</v>
      </c>
      <c r="I112" s="1">
        <f t="shared" si="44"/>
        <v>17910.3</v>
      </c>
      <c r="J112" s="1">
        <f t="shared" si="44"/>
        <v>8437.7</v>
      </c>
      <c r="K112" s="40">
        <f t="shared" si="41"/>
        <v>47.11088033142941</v>
      </c>
      <c r="L112" s="40">
        <f t="shared" si="42"/>
        <v>25.379823556129068</v>
      </c>
    </row>
    <row r="113" spans="1:12" ht="12.75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4"/>
    </row>
    <row r="114" spans="1:12" ht="12.75">
      <c r="A114" s="139" t="s">
        <v>35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1"/>
    </row>
    <row r="115" spans="1:12" ht="12.75">
      <c r="A115" s="38" t="s">
        <v>3</v>
      </c>
      <c r="B115" s="38"/>
      <c r="C115" s="39" t="s">
        <v>77</v>
      </c>
      <c r="D115" s="40">
        <f>D116+D117+D118+D119+D121+D123+D120+D122</f>
        <v>2174</v>
      </c>
      <c r="E115" s="40">
        <f aca="true" t="shared" si="45" ref="E115:J115">E116+E117+E118+E119+E121+E123+E120+E122</f>
        <v>434.8</v>
      </c>
      <c r="F115" s="40">
        <f t="shared" si="45"/>
        <v>652.2</v>
      </c>
      <c r="G115" s="40">
        <f t="shared" si="45"/>
        <v>587</v>
      </c>
      <c r="H115" s="40">
        <f t="shared" si="45"/>
        <v>500</v>
      </c>
      <c r="I115" s="40">
        <f t="shared" si="45"/>
        <v>1087</v>
      </c>
      <c r="J115" s="40">
        <f t="shared" si="45"/>
        <v>680.7000000000002</v>
      </c>
      <c r="K115" s="40">
        <f>J115/I115*100</f>
        <v>62.62189512419505</v>
      </c>
      <c r="L115" s="40">
        <f>J115/D115*100</f>
        <v>31.310947562097525</v>
      </c>
    </row>
    <row r="116" spans="1:17" ht="12.75">
      <c r="A116" s="27" t="s">
        <v>27</v>
      </c>
      <c r="B116" s="27"/>
      <c r="C116" s="41" t="s">
        <v>26</v>
      </c>
      <c r="D116" s="42">
        <f aca="true" t="shared" si="46" ref="D116:D125">E116+F116+G116+H116</f>
        <v>1456</v>
      </c>
      <c r="E116" s="43">
        <v>291.2</v>
      </c>
      <c r="F116" s="43">
        <v>436.8</v>
      </c>
      <c r="G116" s="43">
        <v>393.1</v>
      </c>
      <c r="H116" s="43">
        <v>334.9</v>
      </c>
      <c r="I116" s="44">
        <f aca="true" t="shared" si="47" ref="I116:I123">E116+F116</f>
        <v>728</v>
      </c>
      <c r="J116" s="43">
        <v>506.1</v>
      </c>
      <c r="K116" s="44">
        <f aca="true" t="shared" si="48" ref="K116:K126">J116/I116*100</f>
        <v>69.51923076923077</v>
      </c>
      <c r="L116" s="44">
        <f aca="true" t="shared" si="49" ref="L116:L126">J116/D116*100</f>
        <v>34.75961538461539</v>
      </c>
      <c r="Q116" s="4"/>
    </row>
    <row r="117" spans="1:12" ht="12.75">
      <c r="A117" s="45" t="s">
        <v>9</v>
      </c>
      <c r="B117" s="45"/>
      <c r="C117" s="41" t="s">
        <v>6</v>
      </c>
      <c r="D117" s="42">
        <f t="shared" si="46"/>
        <v>233</v>
      </c>
      <c r="E117" s="43">
        <v>46.6</v>
      </c>
      <c r="F117" s="43">
        <v>69.9</v>
      </c>
      <c r="G117" s="43">
        <v>62.9</v>
      </c>
      <c r="H117" s="43">
        <v>53.6</v>
      </c>
      <c r="I117" s="44">
        <f t="shared" si="47"/>
        <v>116.5</v>
      </c>
      <c r="J117" s="43">
        <v>70.7</v>
      </c>
      <c r="K117" s="44">
        <f t="shared" si="48"/>
        <v>60.68669527896996</v>
      </c>
      <c r="L117" s="44">
        <f t="shared" si="49"/>
        <v>30.34334763948498</v>
      </c>
    </row>
    <row r="118" spans="1:12" ht="12.75">
      <c r="A118" s="45" t="s">
        <v>10</v>
      </c>
      <c r="B118" s="45"/>
      <c r="C118" s="41" t="s">
        <v>23</v>
      </c>
      <c r="D118" s="42">
        <f t="shared" si="46"/>
        <v>35</v>
      </c>
      <c r="E118" s="43">
        <v>7</v>
      </c>
      <c r="F118" s="43">
        <v>10.5</v>
      </c>
      <c r="G118" s="43">
        <v>9.5</v>
      </c>
      <c r="H118" s="43">
        <v>8</v>
      </c>
      <c r="I118" s="44">
        <f t="shared" si="47"/>
        <v>17.5</v>
      </c>
      <c r="J118" s="43">
        <v>15.3</v>
      </c>
      <c r="K118" s="44">
        <f t="shared" si="48"/>
        <v>87.42857142857143</v>
      </c>
      <c r="L118" s="44">
        <f t="shared" si="49"/>
        <v>43.714285714285715</v>
      </c>
    </row>
    <row r="119" spans="1:12" ht="13.5" customHeight="1" hidden="1">
      <c r="A119" s="34" t="s">
        <v>11</v>
      </c>
      <c r="B119" s="34"/>
      <c r="C119" s="41" t="s">
        <v>17</v>
      </c>
      <c r="D119" s="42">
        <f t="shared" si="46"/>
        <v>370</v>
      </c>
      <c r="E119" s="43">
        <v>74</v>
      </c>
      <c r="F119" s="43">
        <v>111</v>
      </c>
      <c r="G119" s="43">
        <v>99.9</v>
      </c>
      <c r="H119" s="43">
        <v>85.1</v>
      </c>
      <c r="I119" s="44">
        <f t="shared" si="47"/>
        <v>185</v>
      </c>
      <c r="J119" s="43">
        <v>31.7</v>
      </c>
      <c r="K119" s="44">
        <f t="shared" si="48"/>
        <v>17.135135135135133</v>
      </c>
      <c r="L119" s="44">
        <f t="shared" si="49"/>
        <v>8.567567567567567</v>
      </c>
    </row>
    <row r="120" spans="1:12" ht="12.75">
      <c r="A120" s="47" t="s">
        <v>48</v>
      </c>
      <c r="B120" s="47"/>
      <c r="C120" s="41" t="s">
        <v>49</v>
      </c>
      <c r="D120" s="42">
        <f t="shared" si="46"/>
        <v>80</v>
      </c>
      <c r="E120" s="43">
        <v>16</v>
      </c>
      <c r="F120" s="43">
        <v>24</v>
      </c>
      <c r="G120" s="43">
        <v>21.6</v>
      </c>
      <c r="H120" s="43">
        <v>18.4</v>
      </c>
      <c r="I120" s="44">
        <f t="shared" si="47"/>
        <v>40</v>
      </c>
      <c r="J120" s="43">
        <v>23.7</v>
      </c>
      <c r="K120" s="44">
        <f t="shared" si="48"/>
        <v>59.25</v>
      </c>
      <c r="L120" s="44">
        <f t="shared" si="49"/>
        <v>29.625</v>
      </c>
    </row>
    <row r="121" spans="1:12" ht="12.75">
      <c r="A121" s="47" t="s">
        <v>18</v>
      </c>
      <c r="B121" s="47"/>
      <c r="C121" s="41" t="s">
        <v>15</v>
      </c>
      <c r="D121" s="42">
        <f t="shared" si="46"/>
        <v>0</v>
      </c>
      <c r="E121" s="43"/>
      <c r="F121" s="43"/>
      <c r="G121" s="43"/>
      <c r="H121" s="43"/>
      <c r="I121" s="44">
        <f t="shared" si="47"/>
        <v>0</v>
      </c>
      <c r="J121" s="43"/>
      <c r="K121" s="44"/>
      <c r="L121" s="44"/>
    </row>
    <row r="122" spans="1:12" ht="12.75">
      <c r="A122" s="27" t="s">
        <v>12</v>
      </c>
      <c r="B122" s="27"/>
      <c r="C122" s="41" t="s">
        <v>7</v>
      </c>
      <c r="D122" s="42">
        <f t="shared" si="46"/>
        <v>0</v>
      </c>
      <c r="E122" s="43"/>
      <c r="F122" s="43"/>
      <c r="G122" s="43"/>
      <c r="H122" s="43"/>
      <c r="I122" s="44">
        <f t="shared" si="47"/>
        <v>0</v>
      </c>
      <c r="J122" s="43">
        <v>30</v>
      </c>
      <c r="K122" s="44"/>
      <c r="L122" s="44"/>
    </row>
    <row r="123" spans="1:12" ht="12.75">
      <c r="A123" s="47" t="s">
        <v>45</v>
      </c>
      <c r="B123" s="68"/>
      <c r="C123" s="50" t="s">
        <v>46</v>
      </c>
      <c r="D123" s="42">
        <f t="shared" si="46"/>
        <v>0</v>
      </c>
      <c r="E123" s="43"/>
      <c r="F123" s="43"/>
      <c r="G123" s="43"/>
      <c r="H123" s="43"/>
      <c r="I123" s="44">
        <f t="shared" si="47"/>
        <v>0</v>
      </c>
      <c r="J123" s="42">
        <v>3.2</v>
      </c>
      <c r="K123" s="44"/>
      <c r="L123" s="44"/>
    </row>
    <row r="124" spans="1:12" ht="12.75">
      <c r="A124" s="57" t="s">
        <v>1</v>
      </c>
      <c r="B124" s="57"/>
      <c r="C124" s="51" t="s">
        <v>0</v>
      </c>
      <c r="D124" s="52">
        <f>D125</f>
        <v>50995.1</v>
      </c>
      <c r="E124" s="52">
        <f>E125</f>
        <v>8272</v>
      </c>
      <c r="F124" s="52">
        <f>F125</f>
        <v>18531.8</v>
      </c>
      <c r="G124" s="52">
        <f>G125</f>
        <v>14997.2</v>
      </c>
      <c r="H124" s="52">
        <f>H125</f>
        <v>9194.1</v>
      </c>
      <c r="I124" s="40">
        <f>E124</f>
        <v>8272</v>
      </c>
      <c r="J124" s="52">
        <f>J125</f>
        <v>13598.7</v>
      </c>
      <c r="K124" s="40">
        <f t="shared" si="48"/>
        <v>164.3943423597679</v>
      </c>
      <c r="L124" s="40">
        <f t="shared" si="49"/>
        <v>26.666679739818143</v>
      </c>
    </row>
    <row r="125" spans="1:12" ht="24">
      <c r="A125" s="36" t="s">
        <v>22</v>
      </c>
      <c r="B125" s="45"/>
      <c r="C125" s="53" t="s">
        <v>21</v>
      </c>
      <c r="D125" s="42">
        <f t="shared" si="46"/>
        <v>50995.1</v>
      </c>
      <c r="E125" s="43">
        <v>8272</v>
      </c>
      <c r="F125" s="43">
        <f>17766.5+765.3</f>
        <v>18531.8</v>
      </c>
      <c r="G125" s="43">
        <v>14997.2</v>
      </c>
      <c r="H125" s="43">
        <v>9194.1</v>
      </c>
      <c r="I125" s="44">
        <f>E125+F125</f>
        <v>26803.8</v>
      </c>
      <c r="J125" s="43">
        <v>13598.7</v>
      </c>
      <c r="K125" s="44">
        <f t="shared" si="48"/>
        <v>50.7342242517852</v>
      </c>
      <c r="L125" s="44">
        <f t="shared" si="49"/>
        <v>26.666679739818143</v>
      </c>
    </row>
    <row r="126" spans="1:12" ht="12.75">
      <c r="A126" s="27"/>
      <c r="B126" s="28"/>
      <c r="C126" s="29" t="s">
        <v>4</v>
      </c>
      <c r="D126" s="1">
        <f>D124+D115</f>
        <v>53169.1</v>
      </c>
      <c r="E126" s="1">
        <f aca="true" t="shared" si="50" ref="E126:J126">E124+E115</f>
        <v>8706.8</v>
      </c>
      <c r="F126" s="1">
        <f t="shared" si="50"/>
        <v>19184</v>
      </c>
      <c r="G126" s="1">
        <f t="shared" si="50"/>
        <v>15584.2</v>
      </c>
      <c r="H126" s="1">
        <f t="shared" si="50"/>
        <v>9694.1</v>
      </c>
      <c r="I126" s="1">
        <f t="shared" si="50"/>
        <v>9359</v>
      </c>
      <c r="J126" s="1">
        <f t="shared" si="50"/>
        <v>14279.400000000001</v>
      </c>
      <c r="K126" s="40">
        <f t="shared" si="48"/>
        <v>152.57399294796454</v>
      </c>
      <c r="L126" s="40">
        <f t="shared" si="49"/>
        <v>26.856576470167827</v>
      </c>
    </row>
    <row r="127" spans="1:12" ht="12.7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2"/>
    </row>
    <row r="128" spans="1:12" ht="12.75">
      <c r="A128" s="139" t="s">
        <v>36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1"/>
    </row>
    <row r="129" spans="1:12" ht="12.75">
      <c r="A129" s="38" t="s">
        <v>3</v>
      </c>
      <c r="B129" s="38"/>
      <c r="C129" s="39" t="s">
        <v>77</v>
      </c>
      <c r="D129" s="40">
        <f>D130+D132+D134+D136+D133+D137+D135+D131+D138</f>
        <v>14648</v>
      </c>
      <c r="E129" s="40">
        <f aca="true" t="shared" si="51" ref="E129:J129">E130+E132+E134+E136+E133+E137+E135+E131+E138</f>
        <v>4399</v>
      </c>
      <c r="F129" s="40">
        <f t="shared" si="51"/>
        <v>4051.5</v>
      </c>
      <c r="G129" s="40">
        <f t="shared" si="51"/>
        <v>3069</v>
      </c>
      <c r="H129" s="40">
        <f t="shared" si="51"/>
        <v>3128.5</v>
      </c>
      <c r="I129" s="40">
        <f t="shared" si="51"/>
        <v>8450.5</v>
      </c>
      <c r="J129" s="40">
        <f t="shared" si="51"/>
        <v>3281.3</v>
      </c>
      <c r="K129" s="40">
        <f>J129/I129*100</f>
        <v>38.829655049997044</v>
      </c>
      <c r="L129" s="40">
        <f>J129/D129*100</f>
        <v>22.401010376843256</v>
      </c>
    </row>
    <row r="130" spans="1:12" ht="12.75">
      <c r="A130" s="27" t="s">
        <v>27</v>
      </c>
      <c r="B130" s="27"/>
      <c r="C130" s="41" t="s">
        <v>26</v>
      </c>
      <c r="D130" s="42">
        <f aca="true" t="shared" si="52" ref="D130:D141">E130+F130+G130+H130</f>
        <v>10703</v>
      </c>
      <c r="E130" s="43">
        <v>2600</v>
      </c>
      <c r="F130" s="43">
        <v>3301.5</v>
      </c>
      <c r="G130" s="43">
        <v>2300</v>
      </c>
      <c r="H130" s="43">
        <v>2501.5</v>
      </c>
      <c r="I130" s="44">
        <f aca="true" t="shared" si="53" ref="I130:I138">E130+F130</f>
        <v>5901.5</v>
      </c>
      <c r="J130" s="43">
        <v>2917</v>
      </c>
      <c r="K130" s="44">
        <f aca="true" t="shared" si="54" ref="K130:K142">J130/I130*100</f>
        <v>49.42811149707701</v>
      </c>
      <c r="L130" s="44">
        <f aca="true" t="shared" si="55" ref="L130:L142">J130/D130*100</f>
        <v>27.25404092310567</v>
      </c>
    </row>
    <row r="131" spans="1:12" ht="12.75">
      <c r="A131" s="45" t="s">
        <v>8</v>
      </c>
      <c r="B131" s="45"/>
      <c r="C131" s="41" t="s">
        <v>5</v>
      </c>
      <c r="D131" s="42"/>
      <c r="E131" s="43"/>
      <c r="F131" s="43"/>
      <c r="G131" s="43"/>
      <c r="H131" s="43"/>
      <c r="I131" s="44">
        <f t="shared" si="53"/>
        <v>0</v>
      </c>
      <c r="J131" s="43">
        <v>0.3</v>
      </c>
      <c r="K131" s="44"/>
      <c r="L131" s="44"/>
    </row>
    <row r="132" spans="1:12" ht="21" customHeight="1" hidden="1">
      <c r="A132" s="45" t="s">
        <v>9</v>
      </c>
      <c r="B132" s="45"/>
      <c r="C132" s="41" t="s">
        <v>6</v>
      </c>
      <c r="D132" s="42">
        <f t="shared" si="52"/>
        <v>694</v>
      </c>
      <c r="E132" s="43">
        <v>155</v>
      </c>
      <c r="F132" s="43">
        <v>180</v>
      </c>
      <c r="G132" s="43">
        <v>199</v>
      </c>
      <c r="H132" s="43">
        <v>160</v>
      </c>
      <c r="I132" s="44">
        <f t="shared" si="53"/>
        <v>335</v>
      </c>
      <c r="J132" s="43">
        <v>76.3</v>
      </c>
      <c r="K132" s="44">
        <f t="shared" si="54"/>
        <v>22.776119402985074</v>
      </c>
      <c r="L132" s="44">
        <f t="shared" si="55"/>
        <v>10.994236311239193</v>
      </c>
    </row>
    <row r="133" spans="1:12" ht="12.75">
      <c r="A133" s="45" t="s">
        <v>10</v>
      </c>
      <c r="B133" s="45"/>
      <c r="C133" s="41" t="s">
        <v>23</v>
      </c>
      <c r="D133" s="42">
        <f t="shared" si="52"/>
        <v>118</v>
      </c>
      <c r="E133" s="43">
        <v>30</v>
      </c>
      <c r="F133" s="43">
        <v>30</v>
      </c>
      <c r="G133" s="43">
        <v>30</v>
      </c>
      <c r="H133" s="43">
        <v>28</v>
      </c>
      <c r="I133" s="44">
        <f t="shared" si="53"/>
        <v>60</v>
      </c>
      <c r="J133" s="43">
        <v>52.2</v>
      </c>
      <c r="K133" s="44">
        <f t="shared" si="54"/>
        <v>87</v>
      </c>
      <c r="L133" s="44">
        <f t="shared" si="55"/>
        <v>44.237288135593225</v>
      </c>
    </row>
    <row r="134" spans="1:12" ht="14.25" customHeight="1">
      <c r="A134" s="34" t="s">
        <v>11</v>
      </c>
      <c r="B134" s="34"/>
      <c r="C134" s="41" t="s">
        <v>17</v>
      </c>
      <c r="D134" s="42">
        <f t="shared" si="52"/>
        <v>2008</v>
      </c>
      <c r="E134" s="43">
        <v>489</v>
      </c>
      <c r="F134" s="43">
        <v>540</v>
      </c>
      <c r="G134" s="43">
        <v>540</v>
      </c>
      <c r="H134" s="43">
        <v>439</v>
      </c>
      <c r="I134" s="44">
        <f t="shared" si="53"/>
        <v>1029</v>
      </c>
      <c r="J134" s="43">
        <v>-894.2</v>
      </c>
      <c r="K134" s="44">
        <f t="shared" si="54"/>
        <v>-86.89990281827016</v>
      </c>
      <c r="L134" s="44">
        <f t="shared" si="55"/>
        <v>-44.531872509960166</v>
      </c>
    </row>
    <row r="135" spans="1:12" ht="12.75">
      <c r="A135" s="47" t="s">
        <v>48</v>
      </c>
      <c r="B135" s="47"/>
      <c r="C135" s="41" t="s">
        <v>49</v>
      </c>
      <c r="D135" s="42">
        <f t="shared" si="52"/>
        <v>0</v>
      </c>
      <c r="E135" s="43"/>
      <c r="F135" s="43"/>
      <c r="G135" s="43"/>
      <c r="H135" s="43"/>
      <c r="I135" s="44">
        <f t="shared" si="53"/>
        <v>0</v>
      </c>
      <c r="J135" s="43"/>
      <c r="K135" s="44" t="e">
        <f>J135/I135*100</f>
        <v>#DIV/0!</v>
      </c>
      <c r="L135" s="44" t="e">
        <f>J135/D135*100</f>
        <v>#DIV/0!</v>
      </c>
    </row>
    <row r="136" spans="1:12" ht="12.75" customHeight="1" hidden="1">
      <c r="A136" s="46" t="s">
        <v>18</v>
      </c>
      <c r="B136" s="46"/>
      <c r="C136" s="41" t="s">
        <v>15</v>
      </c>
      <c r="D136" s="42">
        <f t="shared" si="52"/>
        <v>0</v>
      </c>
      <c r="E136" s="43"/>
      <c r="F136" s="43"/>
      <c r="G136" s="43"/>
      <c r="H136" s="43"/>
      <c r="I136" s="44">
        <f t="shared" si="53"/>
        <v>0</v>
      </c>
      <c r="J136" s="43">
        <v>4.7</v>
      </c>
      <c r="K136" s="44"/>
      <c r="L136" s="44"/>
    </row>
    <row r="137" spans="1:12" ht="12.75">
      <c r="A137" s="27" t="s">
        <v>12</v>
      </c>
      <c r="B137" s="27"/>
      <c r="C137" s="41" t="s">
        <v>7</v>
      </c>
      <c r="D137" s="42">
        <v>1125</v>
      </c>
      <c r="E137" s="43">
        <v>1125</v>
      </c>
      <c r="F137" s="43"/>
      <c r="G137" s="43"/>
      <c r="H137" s="43"/>
      <c r="I137" s="44">
        <f t="shared" si="53"/>
        <v>1125</v>
      </c>
      <c r="J137" s="43">
        <v>1125</v>
      </c>
      <c r="K137" s="44">
        <f>J137/I137*100</f>
        <v>100</v>
      </c>
      <c r="L137" s="44">
        <f>J137/D137*100</f>
        <v>100</v>
      </c>
    </row>
    <row r="138" spans="1:12" ht="12.75">
      <c r="A138" s="46" t="s">
        <v>45</v>
      </c>
      <c r="B138" s="70"/>
      <c r="C138" s="50" t="s">
        <v>46</v>
      </c>
      <c r="D138" s="42">
        <f t="shared" si="52"/>
        <v>0</v>
      </c>
      <c r="E138" s="43"/>
      <c r="F138" s="43"/>
      <c r="G138" s="43"/>
      <c r="H138" s="43"/>
      <c r="I138" s="44">
        <f t="shared" si="53"/>
        <v>0</v>
      </c>
      <c r="J138" s="43"/>
      <c r="K138" s="44"/>
      <c r="L138" s="44"/>
    </row>
    <row r="139" spans="1:12" ht="12.75">
      <c r="A139" s="46" t="s">
        <v>50</v>
      </c>
      <c r="B139" s="70"/>
      <c r="C139" s="50" t="s">
        <v>51</v>
      </c>
      <c r="D139" s="42">
        <f t="shared" si="52"/>
        <v>0</v>
      </c>
      <c r="E139" s="43"/>
      <c r="F139" s="43"/>
      <c r="G139" s="43"/>
      <c r="H139" s="43"/>
      <c r="I139" s="40">
        <f>E139</f>
        <v>0</v>
      </c>
      <c r="J139" s="43"/>
      <c r="K139" s="40"/>
      <c r="L139" s="40"/>
    </row>
    <row r="140" spans="1:12" ht="12.75">
      <c r="A140" s="38" t="s">
        <v>1</v>
      </c>
      <c r="B140" s="38"/>
      <c r="C140" s="51" t="s">
        <v>0</v>
      </c>
      <c r="D140" s="52">
        <f aca="true" t="shared" si="56" ref="D140:J140">D141</f>
        <v>36632.4</v>
      </c>
      <c r="E140" s="52">
        <f t="shared" si="56"/>
        <v>10865.4</v>
      </c>
      <c r="F140" s="52">
        <f t="shared" si="56"/>
        <v>8603.5</v>
      </c>
      <c r="G140" s="52">
        <f t="shared" si="56"/>
        <v>8846.8</v>
      </c>
      <c r="H140" s="52">
        <f t="shared" si="56"/>
        <v>8316.7</v>
      </c>
      <c r="I140" s="52">
        <f t="shared" si="56"/>
        <v>19468.9</v>
      </c>
      <c r="J140" s="52">
        <f t="shared" si="56"/>
        <v>11368.8</v>
      </c>
      <c r="K140" s="40">
        <f t="shared" si="54"/>
        <v>58.394670474448986</v>
      </c>
      <c r="L140" s="40">
        <f t="shared" si="55"/>
        <v>31.03482163330822</v>
      </c>
    </row>
    <row r="141" spans="1:12" ht="24">
      <c r="A141" s="36" t="s">
        <v>22</v>
      </c>
      <c r="B141" s="45"/>
      <c r="C141" s="53" t="s">
        <v>21</v>
      </c>
      <c r="D141" s="42">
        <f t="shared" si="52"/>
        <v>36632.4</v>
      </c>
      <c r="E141" s="43">
        <v>10865.4</v>
      </c>
      <c r="F141" s="43">
        <v>8603.5</v>
      </c>
      <c r="G141" s="43">
        <v>8846.8</v>
      </c>
      <c r="H141" s="43">
        <v>8316.7</v>
      </c>
      <c r="I141" s="44">
        <f>E141+F141</f>
        <v>19468.9</v>
      </c>
      <c r="J141" s="43">
        <v>11368.8</v>
      </c>
      <c r="K141" s="44">
        <f t="shared" si="54"/>
        <v>58.394670474448986</v>
      </c>
      <c r="L141" s="44">
        <f t="shared" si="55"/>
        <v>31.03482163330822</v>
      </c>
    </row>
    <row r="142" spans="1:12" ht="12.75">
      <c r="A142" s="27"/>
      <c r="B142" s="28"/>
      <c r="C142" s="29" t="s">
        <v>4</v>
      </c>
      <c r="D142" s="1">
        <f>D140+D129</f>
        <v>51280.4</v>
      </c>
      <c r="E142" s="1">
        <f aca="true" t="shared" si="57" ref="E142:J142">E140+E129</f>
        <v>15264.4</v>
      </c>
      <c r="F142" s="1">
        <f t="shared" si="57"/>
        <v>12655</v>
      </c>
      <c r="G142" s="1">
        <f t="shared" si="57"/>
        <v>11915.8</v>
      </c>
      <c r="H142" s="1">
        <f t="shared" si="57"/>
        <v>11445.2</v>
      </c>
      <c r="I142" s="1">
        <f t="shared" si="57"/>
        <v>27919.4</v>
      </c>
      <c r="J142" s="1">
        <f t="shared" si="57"/>
        <v>14650.099999999999</v>
      </c>
      <c r="K142" s="40">
        <f t="shared" si="54"/>
        <v>52.472832510727294</v>
      </c>
      <c r="L142" s="40">
        <f t="shared" si="55"/>
        <v>28.568614909400083</v>
      </c>
    </row>
    <row r="143" spans="1:12" ht="12.75">
      <c r="A143" s="142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4"/>
    </row>
    <row r="144" spans="1:12" ht="12.75">
      <c r="A144" s="139" t="s">
        <v>37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1"/>
    </row>
    <row r="145" spans="1:12" ht="12.75">
      <c r="A145" s="38" t="s">
        <v>3</v>
      </c>
      <c r="B145" s="38"/>
      <c r="C145" s="39" t="s">
        <v>77</v>
      </c>
      <c r="D145" s="40">
        <f aca="true" t="shared" si="58" ref="D145:J145">D146+D147+D148+D149+D151+D152+D153+D150</f>
        <v>2541</v>
      </c>
      <c r="E145" s="40">
        <f t="shared" si="58"/>
        <v>573</v>
      </c>
      <c r="F145" s="40">
        <f t="shared" si="58"/>
        <v>634</v>
      </c>
      <c r="G145" s="40">
        <f t="shared" si="58"/>
        <v>502</v>
      </c>
      <c r="H145" s="40">
        <f t="shared" si="58"/>
        <v>832</v>
      </c>
      <c r="I145" s="40">
        <f t="shared" si="58"/>
        <v>1207</v>
      </c>
      <c r="J145" s="40">
        <f t="shared" si="58"/>
        <v>1314.3</v>
      </c>
      <c r="K145" s="40">
        <f>J145/I145*100</f>
        <v>108.88980944490471</v>
      </c>
      <c r="L145" s="40">
        <f>J145/D145*100</f>
        <v>51.7237308146399</v>
      </c>
    </row>
    <row r="146" spans="1:12" ht="12.75">
      <c r="A146" s="27" t="s">
        <v>27</v>
      </c>
      <c r="B146" s="27"/>
      <c r="C146" s="41" t="s">
        <v>26</v>
      </c>
      <c r="D146" s="42">
        <f aca="true" t="shared" si="59" ref="D146:D155">E146+F146+G146+H146</f>
        <v>1627</v>
      </c>
      <c r="E146" s="43">
        <v>410</v>
      </c>
      <c r="F146" s="43">
        <v>437</v>
      </c>
      <c r="G146" s="43">
        <v>410</v>
      </c>
      <c r="H146" s="43">
        <v>370</v>
      </c>
      <c r="I146" s="44">
        <f aca="true" t="shared" si="60" ref="I146:I155">E146+F146</f>
        <v>847</v>
      </c>
      <c r="J146" s="43">
        <v>948</v>
      </c>
      <c r="K146" s="44">
        <f aca="true" t="shared" si="61" ref="K146:K156">J146/I146*100</f>
        <v>111.92443919716648</v>
      </c>
      <c r="L146" s="44">
        <f aca="true" t="shared" si="62" ref="L146:L156">J146/D146*100</f>
        <v>58.26674861708666</v>
      </c>
    </row>
    <row r="147" spans="1:12" ht="12.75">
      <c r="A147" s="45" t="s">
        <v>9</v>
      </c>
      <c r="B147" s="45"/>
      <c r="C147" s="41" t="s">
        <v>6</v>
      </c>
      <c r="D147" s="42">
        <f t="shared" si="59"/>
        <v>549</v>
      </c>
      <c r="E147" s="43">
        <v>50</v>
      </c>
      <c r="F147" s="43">
        <v>50</v>
      </c>
      <c r="G147" s="43">
        <v>50</v>
      </c>
      <c r="H147" s="43">
        <v>399</v>
      </c>
      <c r="I147" s="44">
        <f t="shared" si="60"/>
        <v>100</v>
      </c>
      <c r="J147" s="43">
        <v>69.5</v>
      </c>
      <c r="K147" s="44">
        <f t="shared" si="61"/>
        <v>69.5</v>
      </c>
      <c r="L147" s="44">
        <f t="shared" si="62"/>
        <v>12.659380692167577</v>
      </c>
    </row>
    <row r="148" spans="1:12" ht="12.75">
      <c r="A148" s="45" t="s">
        <v>10</v>
      </c>
      <c r="B148" s="45"/>
      <c r="C148" s="41" t="s">
        <v>23</v>
      </c>
      <c r="D148" s="42">
        <f t="shared" si="59"/>
        <v>20</v>
      </c>
      <c r="E148" s="43">
        <v>6</v>
      </c>
      <c r="F148" s="43">
        <v>4</v>
      </c>
      <c r="G148" s="43">
        <v>6</v>
      </c>
      <c r="H148" s="43">
        <v>4</v>
      </c>
      <c r="I148" s="44">
        <f t="shared" si="60"/>
        <v>10</v>
      </c>
      <c r="J148" s="43">
        <v>22.1</v>
      </c>
      <c r="K148" s="44"/>
      <c r="L148" s="44"/>
    </row>
    <row r="149" spans="1:12" ht="12.75" customHeight="1" hidden="1">
      <c r="A149" s="34" t="s">
        <v>11</v>
      </c>
      <c r="B149" s="34"/>
      <c r="C149" s="41" t="s">
        <v>17</v>
      </c>
      <c r="D149" s="42">
        <f t="shared" si="59"/>
        <v>180</v>
      </c>
      <c r="E149" s="43">
        <v>87</v>
      </c>
      <c r="F149" s="43">
        <v>38</v>
      </c>
      <c r="G149" s="43">
        <v>26</v>
      </c>
      <c r="H149" s="43">
        <v>29</v>
      </c>
      <c r="I149" s="44">
        <f t="shared" si="60"/>
        <v>125</v>
      </c>
      <c r="J149" s="43">
        <v>154.7</v>
      </c>
      <c r="K149" s="44">
        <f t="shared" si="61"/>
        <v>123.75999999999998</v>
      </c>
      <c r="L149" s="44">
        <f t="shared" si="62"/>
        <v>85.94444444444443</v>
      </c>
    </row>
    <row r="150" spans="1:12" ht="12.75">
      <c r="A150" s="47" t="s">
        <v>48</v>
      </c>
      <c r="B150" s="47"/>
      <c r="C150" s="41" t="s">
        <v>49</v>
      </c>
      <c r="D150" s="42">
        <f t="shared" si="59"/>
        <v>80</v>
      </c>
      <c r="E150" s="43">
        <v>20</v>
      </c>
      <c r="F150" s="43">
        <v>20</v>
      </c>
      <c r="G150" s="43">
        <v>10</v>
      </c>
      <c r="H150" s="43">
        <v>30</v>
      </c>
      <c r="I150" s="44">
        <f t="shared" si="60"/>
        <v>40</v>
      </c>
      <c r="J150" s="43">
        <v>25.7</v>
      </c>
      <c r="K150" s="44">
        <f t="shared" si="61"/>
        <v>64.25</v>
      </c>
      <c r="L150" s="44">
        <f t="shared" si="62"/>
        <v>32.125</v>
      </c>
    </row>
    <row r="151" spans="1:12" ht="12.75">
      <c r="A151" s="46" t="s">
        <v>18</v>
      </c>
      <c r="B151" s="46"/>
      <c r="C151" s="41" t="s">
        <v>15</v>
      </c>
      <c r="D151" s="42">
        <f t="shared" si="59"/>
        <v>25</v>
      </c>
      <c r="E151" s="43"/>
      <c r="F151" s="43">
        <v>25</v>
      </c>
      <c r="G151" s="43"/>
      <c r="H151" s="43"/>
      <c r="I151" s="44">
        <f t="shared" si="60"/>
        <v>25</v>
      </c>
      <c r="J151" s="43">
        <v>34.3</v>
      </c>
      <c r="K151" s="44">
        <f t="shared" si="61"/>
        <v>137.2</v>
      </c>
      <c r="L151" s="44">
        <f t="shared" si="62"/>
        <v>137.2</v>
      </c>
    </row>
    <row r="152" spans="1:12" ht="12.75">
      <c r="A152" s="27" t="s">
        <v>12</v>
      </c>
      <c r="B152" s="27"/>
      <c r="C152" s="41" t="s">
        <v>7</v>
      </c>
      <c r="D152" s="42">
        <f t="shared" si="59"/>
        <v>0</v>
      </c>
      <c r="E152" s="43"/>
      <c r="F152" s="43"/>
      <c r="G152" s="43"/>
      <c r="H152" s="43"/>
      <c r="I152" s="44">
        <f t="shared" si="60"/>
        <v>0</v>
      </c>
      <c r="J152" s="43"/>
      <c r="K152" s="44" t="e">
        <f>J152/I152*100</f>
        <v>#DIV/0!</v>
      </c>
      <c r="L152" s="44" t="e">
        <f>J152/D152*100</f>
        <v>#DIV/0!</v>
      </c>
    </row>
    <row r="153" spans="1:12" ht="12.75">
      <c r="A153" s="64" t="s">
        <v>45</v>
      </c>
      <c r="B153" s="49"/>
      <c r="C153" s="50" t="s">
        <v>46</v>
      </c>
      <c r="D153" s="42">
        <f t="shared" si="59"/>
        <v>60</v>
      </c>
      <c r="E153" s="43"/>
      <c r="F153" s="43">
        <v>60</v>
      </c>
      <c r="G153" s="43"/>
      <c r="H153" s="43"/>
      <c r="I153" s="44">
        <f t="shared" si="60"/>
        <v>60</v>
      </c>
      <c r="J153" s="43">
        <v>60</v>
      </c>
      <c r="K153" s="44">
        <f>J153/I153*100</f>
        <v>100</v>
      </c>
      <c r="L153" s="44">
        <f>J153/D153*100</f>
        <v>100</v>
      </c>
    </row>
    <row r="154" spans="1:12" ht="12.75">
      <c r="A154" s="38" t="s">
        <v>1</v>
      </c>
      <c r="B154" s="38"/>
      <c r="C154" s="51" t="s">
        <v>0</v>
      </c>
      <c r="D154" s="52">
        <f aca="true" t="shared" si="63" ref="D154:J154">D155</f>
        <v>29073.600000000002</v>
      </c>
      <c r="E154" s="52">
        <f t="shared" si="63"/>
        <v>12329.6</v>
      </c>
      <c r="F154" s="52">
        <f t="shared" si="63"/>
        <v>6685.3</v>
      </c>
      <c r="G154" s="52">
        <f t="shared" si="63"/>
        <v>5431.7</v>
      </c>
      <c r="H154" s="52">
        <f t="shared" si="63"/>
        <v>4627</v>
      </c>
      <c r="I154" s="52">
        <f t="shared" si="63"/>
        <v>19014.9</v>
      </c>
      <c r="J154" s="52">
        <f t="shared" si="63"/>
        <v>10909.2</v>
      </c>
      <c r="K154" s="40">
        <f t="shared" si="61"/>
        <v>57.37185049618982</v>
      </c>
      <c r="L154" s="40">
        <f t="shared" si="62"/>
        <v>37.52270100709922</v>
      </c>
    </row>
    <row r="155" spans="1:12" ht="24">
      <c r="A155" s="36" t="s">
        <v>22</v>
      </c>
      <c r="B155" s="45"/>
      <c r="C155" s="53" t="s">
        <v>21</v>
      </c>
      <c r="D155" s="42">
        <f t="shared" si="59"/>
        <v>29073.600000000002</v>
      </c>
      <c r="E155" s="43">
        <v>12329.6</v>
      </c>
      <c r="F155" s="43">
        <v>6685.3</v>
      </c>
      <c r="G155" s="43">
        <v>5431.7</v>
      </c>
      <c r="H155" s="43">
        <v>4627</v>
      </c>
      <c r="I155" s="44">
        <f t="shared" si="60"/>
        <v>19014.9</v>
      </c>
      <c r="J155" s="43">
        <v>10909.2</v>
      </c>
      <c r="K155" s="44">
        <f t="shared" si="61"/>
        <v>57.37185049618982</v>
      </c>
      <c r="L155" s="44">
        <f t="shared" si="62"/>
        <v>37.52270100709922</v>
      </c>
    </row>
    <row r="156" spans="1:12" ht="12.75">
      <c r="A156" s="27"/>
      <c r="B156" s="28"/>
      <c r="C156" s="29" t="s">
        <v>4</v>
      </c>
      <c r="D156" s="1">
        <f>D154+D145</f>
        <v>31614.600000000002</v>
      </c>
      <c r="E156" s="1">
        <f aca="true" t="shared" si="64" ref="E156:J156">E154+E145</f>
        <v>12902.6</v>
      </c>
      <c r="F156" s="1">
        <f t="shared" si="64"/>
        <v>7319.3</v>
      </c>
      <c r="G156" s="1">
        <f t="shared" si="64"/>
        <v>5933.7</v>
      </c>
      <c r="H156" s="1">
        <f t="shared" si="64"/>
        <v>5459</v>
      </c>
      <c r="I156" s="1">
        <f t="shared" si="64"/>
        <v>20221.9</v>
      </c>
      <c r="J156" s="1">
        <f t="shared" si="64"/>
        <v>12223.5</v>
      </c>
      <c r="K156" s="40">
        <f t="shared" si="61"/>
        <v>60.44684228484959</v>
      </c>
      <c r="L156" s="40">
        <f t="shared" si="62"/>
        <v>38.66409823309483</v>
      </c>
    </row>
    <row r="157" spans="1:12" ht="12.75">
      <c r="A157" s="142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4"/>
    </row>
    <row r="158" spans="1:12" ht="17.25" customHeight="1" hidden="1">
      <c r="A158" s="139" t="s">
        <v>38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1"/>
    </row>
    <row r="159" spans="1:12" ht="12.75">
      <c r="A159" s="38" t="s">
        <v>3</v>
      </c>
      <c r="B159" s="38"/>
      <c r="C159" s="39" t="s">
        <v>77</v>
      </c>
      <c r="D159" s="40">
        <f>D160+D161+D162+D163+D164+D166+D168+D167+D165</f>
        <v>14443.8</v>
      </c>
      <c r="E159" s="40">
        <f aca="true" t="shared" si="65" ref="E159:J159">E160+E161+E162+E163+E164+E166+E168+E167+E165</f>
        <v>2999.5</v>
      </c>
      <c r="F159" s="40">
        <f t="shared" si="65"/>
        <v>4421.3</v>
      </c>
      <c r="G159" s="40">
        <f t="shared" si="65"/>
        <v>3297.5</v>
      </c>
      <c r="H159" s="40">
        <f t="shared" si="65"/>
        <v>3725.5</v>
      </c>
      <c r="I159" s="40">
        <f t="shared" si="65"/>
        <v>7420.8</v>
      </c>
      <c r="J159" s="40">
        <f t="shared" si="65"/>
        <v>5310.1</v>
      </c>
      <c r="K159" s="40">
        <f>J159/I159*100</f>
        <v>71.5569749892195</v>
      </c>
      <c r="L159" s="40">
        <f>J159/D159*100</f>
        <v>36.76387100347554</v>
      </c>
    </row>
    <row r="160" spans="1:12" ht="12.75">
      <c r="A160" s="27" t="s">
        <v>27</v>
      </c>
      <c r="B160" s="27"/>
      <c r="C160" s="41" t="s">
        <v>26</v>
      </c>
      <c r="D160" s="42">
        <f>E160+F160+G160+H160</f>
        <v>11221</v>
      </c>
      <c r="E160" s="43">
        <v>2553</v>
      </c>
      <c r="F160" s="43">
        <v>2804</v>
      </c>
      <c r="G160" s="43">
        <v>2803</v>
      </c>
      <c r="H160" s="43">
        <v>3061</v>
      </c>
      <c r="I160" s="44">
        <f aca="true" t="shared" si="66" ref="I160:I170">E160+F160</f>
        <v>5357</v>
      </c>
      <c r="J160" s="43">
        <v>3665.8</v>
      </c>
      <c r="K160" s="44">
        <f aca="true" t="shared" si="67" ref="K160:K171">J160/I160*100</f>
        <v>68.43009146910585</v>
      </c>
      <c r="L160" s="44">
        <f aca="true" t="shared" si="68" ref="L160:L171">J160/D160*100</f>
        <v>32.66910257552803</v>
      </c>
    </row>
    <row r="161" spans="1:12" ht="12.75">
      <c r="A161" s="45" t="s">
        <v>8</v>
      </c>
      <c r="B161" s="45"/>
      <c r="C161" s="41" t="s">
        <v>5</v>
      </c>
      <c r="D161" s="42">
        <f>E161+F161+G161+H161</f>
        <v>0</v>
      </c>
      <c r="E161" s="43"/>
      <c r="F161" s="43"/>
      <c r="G161" s="43"/>
      <c r="H161" s="43"/>
      <c r="I161" s="44">
        <f t="shared" si="66"/>
        <v>0</v>
      </c>
      <c r="J161" s="43"/>
      <c r="K161" s="44"/>
      <c r="L161" s="44"/>
    </row>
    <row r="162" spans="1:12" ht="12.75">
      <c r="A162" s="45" t="s">
        <v>9</v>
      </c>
      <c r="B162" s="45"/>
      <c r="C162" s="41" t="s">
        <v>6</v>
      </c>
      <c r="D162" s="42">
        <f aca="true" t="shared" si="69" ref="D162:D170">E162+F162+G162+H162</f>
        <v>1404</v>
      </c>
      <c r="E162" s="43">
        <v>133.5</v>
      </c>
      <c r="F162" s="43">
        <v>833.5</v>
      </c>
      <c r="G162" s="43">
        <v>151.5</v>
      </c>
      <c r="H162" s="43">
        <v>285.5</v>
      </c>
      <c r="I162" s="44">
        <f t="shared" si="66"/>
        <v>967</v>
      </c>
      <c r="J162" s="43">
        <v>1092</v>
      </c>
      <c r="K162" s="44">
        <f t="shared" si="67"/>
        <v>112.92657704239917</v>
      </c>
      <c r="L162" s="44">
        <f t="shared" si="68"/>
        <v>77.77777777777779</v>
      </c>
    </row>
    <row r="163" spans="1:12" ht="12.75">
      <c r="A163" s="45" t="s">
        <v>10</v>
      </c>
      <c r="B163" s="45"/>
      <c r="C163" s="41" t="s">
        <v>23</v>
      </c>
      <c r="D163" s="42">
        <f t="shared" si="69"/>
        <v>213</v>
      </c>
      <c r="E163" s="43">
        <v>43</v>
      </c>
      <c r="F163" s="43">
        <v>50</v>
      </c>
      <c r="G163" s="43">
        <v>60</v>
      </c>
      <c r="H163" s="43">
        <v>60</v>
      </c>
      <c r="I163" s="44">
        <f t="shared" si="66"/>
        <v>93</v>
      </c>
      <c r="J163" s="43">
        <v>64.8</v>
      </c>
      <c r="K163" s="44">
        <f t="shared" si="67"/>
        <v>69.6774193548387</v>
      </c>
      <c r="L163" s="44">
        <f t="shared" si="68"/>
        <v>30.422535211267604</v>
      </c>
    </row>
    <row r="164" spans="1:12" ht="24">
      <c r="A164" s="34" t="s">
        <v>11</v>
      </c>
      <c r="B164" s="34"/>
      <c r="C164" s="41" t="s">
        <v>17</v>
      </c>
      <c r="D164" s="42">
        <f t="shared" si="69"/>
        <v>933</v>
      </c>
      <c r="E164" s="43">
        <v>178</v>
      </c>
      <c r="F164" s="43">
        <v>233</v>
      </c>
      <c r="G164" s="43">
        <v>233</v>
      </c>
      <c r="H164" s="43">
        <v>289</v>
      </c>
      <c r="I164" s="44">
        <f t="shared" si="66"/>
        <v>411</v>
      </c>
      <c r="J164" s="43">
        <v>309</v>
      </c>
      <c r="K164" s="44">
        <f t="shared" si="67"/>
        <v>75.18248175182481</v>
      </c>
      <c r="L164" s="44">
        <f t="shared" si="68"/>
        <v>33.11897106109325</v>
      </c>
    </row>
    <row r="165" spans="1:12" ht="12.75">
      <c r="A165" s="47" t="s">
        <v>48</v>
      </c>
      <c r="B165" s="47"/>
      <c r="C165" s="41" t="s">
        <v>49</v>
      </c>
      <c r="D165" s="42">
        <f t="shared" si="69"/>
        <v>140</v>
      </c>
      <c r="E165" s="43">
        <v>75</v>
      </c>
      <c r="F165" s="43">
        <v>45</v>
      </c>
      <c r="G165" s="43">
        <v>20</v>
      </c>
      <c r="H165" s="43"/>
      <c r="I165" s="44">
        <f t="shared" si="66"/>
        <v>120</v>
      </c>
      <c r="J165" s="43">
        <v>115.7</v>
      </c>
      <c r="K165" s="44">
        <f t="shared" si="67"/>
        <v>96.41666666666667</v>
      </c>
      <c r="L165" s="44">
        <f t="shared" si="68"/>
        <v>82.64285714285714</v>
      </c>
    </row>
    <row r="166" spans="1:12" ht="12.75">
      <c r="A166" s="47" t="s">
        <v>18</v>
      </c>
      <c r="B166" s="47"/>
      <c r="C166" s="41" t="s">
        <v>15</v>
      </c>
      <c r="D166" s="42">
        <f t="shared" si="69"/>
        <v>137</v>
      </c>
      <c r="E166" s="43">
        <v>17</v>
      </c>
      <c r="F166" s="43">
        <v>60</v>
      </c>
      <c r="G166" s="43">
        <v>30</v>
      </c>
      <c r="H166" s="43">
        <v>30</v>
      </c>
      <c r="I166" s="44">
        <f t="shared" si="66"/>
        <v>77</v>
      </c>
      <c r="J166" s="43">
        <v>62.8</v>
      </c>
      <c r="K166" s="44">
        <f t="shared" si="67"/>
        <v>81.55844155844156</v>
      </c>
      <c r="L166" s="44">
        <f t="shared" si="68"/>
        <v>45.839416058394164</v>
      </c>
    </row>
    <row r="167" spans="1:12" ht="12.75">
      <c r="A167" s="27" t="s">
        <v>12</v>
      </c>
      <c r="B167" s="27"/>
      <c r="C167" s="41" t="s">
        <v>7</v>
      </c>
      <c r="D167" s="42">
        <f t="shared" si="69"/>
        <v>395.8</v>
      </c>
      <c r="E167" s="43"/>
      <c r="F167" s="43">
        <v>395.8</v>
      </c>
      <c r="G167" s="43"/>
      <c r="H167" s="43"/>
      <c r="I167" s="44">
        <f t="shared" si="66"/>
        <v>395.8</v>
      </c>
      <c r="J167" s="43"/>
      <c r="K167" s="44"/>
      <c r="L167" s="44"/>
    </row>
    <row r="168" spans="1:12" ht="12.75">
      <c r="A168" s="64" t="s">
        <v>45</v>
      </c>
      <c r="B168" s="49"/>
      <c r="C168" s="50" t="s">
        <v>46</v>
      </c>
      <c r="D168" s="42">
        <f t="shared" si="69"/>
        <v>0</v>
      </c>
      <c r="E168" s="43"/>
      <c r="F168" s="43"/>
      <c r="G168" s="43"/>
      <c r="H168" s="43"/>
      <c r="I168" s="44">
        <f t="shared" si="66"/>
        <v>0</v>
      </c>
      <c r="J168" s="43"/>
      <c r="K168" s="44"/>
      <c r="L168" s="44"/>
    </row>
    <row r="169" spans="1:12" ht="12.75">
      <c r="A169" s="38" t="s">
        <v>1</v>
      </c>
      <c r="B169" s="38"/>
      <c r="C169" s="51" t="s">
        <v>0</v>
      </c>
      <c r="D169" s="58">
        <f aca="true" t="shared" si="70" ref="D169:I169">D170</f>
        <v>44098.2</v>
      </c>
      <c r="E169" s="58">
        <f t="shared" si="70"/>
        <v>16341</v>
      </c>
      <c r="F169" s="58">
        <f t="shared" si="70"/>
        <v>13855.2</v>
      </c>
      <c r="G169" s="58">
        <f t="shared" si="70"/>
        <v>5296</v>
      </c>
      <c r="H169" s="58">
        <f t="shared" si="70"/>
        <v>8606</v>
      </c>
      <c r="I169" s="58">
        <f t="shared" si="70"/>
        <v>30196.2</v>
      </c>
      <c r="J169" s="52">
        <f>J170</f>
        <v>15098.9</v>
      </c>
      <c r="K169" s="40">
        <f t="shared" si="67"/>
        <v>50.00264933998317</v>
      </c>
      <c r="L169" s="40">
        <f t="shared" si="68"/>
        <v>34.23926600178692</v>
      </c>
    </row>
    <row r="170" spans="1:12" ht="24">
      <c r="A170" s="36" t="s">
        <v>22</v>
      </c>
      <c r="B170" s="45"/>
      <c r="C170" s="53" t="s">
        <v>21</v>
      </c>
      <c r="D170" s="42">
        <f t="shared" si="69"/>
        <v>44098.2</v>
      </c>
      <c r="E170" s="43">
        <v>16341</v>
      </c>
      <c r="F170" s="43">
        <f>13612.7+242.5</f>
        <v>13855.2</v>
      </c>
      <c r="G170" s="43">
        <v>5296</v>
      </c>
      <c r="H170" s="43">
        <v>8606</v>
      </c>
      <c r="I170" s="44">
        <f t="shared" si="66"/>
        <v>30196.2</v>
      </c>
      <c r="J170" s="43">
        <v>15098.9</v>
      </c>
      <c r="K170" s="44">
        <f t="shared" si="67"/>
        <v>50.00264933998317</v>
      </c>
      <c r="L170" s="44">
        <f t="shared" si="68"/>
        <v>34.23926600178692</v>
      </c>
    </row>
    <row r="171" spans="1:12" ht="12.75">
      <c r="A171" s="27"/>
      <c r="B171" s="28"/>
      <c r="C171" s="29" t="s">
        <v>4</v>
      </c>
      <c r="D171" s="1">
        <f>D169+D159</f>
        <v>58542</v>
      </c>
      <c r="E171" s="1">
        <f aca="true" t="shared" si="71" ref="E171:J171">E169+E159</f>
        <v>19340.5</v>
      </c>
      <c r="F171" s="1">
        <f t="shared" si="71"/>
        <v>18276.5</v>
      </c>
      <c r="G171" s="1">
        <f t="shared" si="71"/>
        <v>8593.5</v>
      </c>
      <c r="H171" s="1">
        <f t="shared" si="71"/>
        <v>12331.5</v>
      </c>
      <c r="I171" s="1">
        <f t="shared" si="71"/>
        <v>37617</v>
      </c>
      <c r="J171" s="1">
        <f t="shared" si="71"/>
        <v>20409</v>
      </c>
      <c r="K171" s="40">
        <f t="shared" si="67"/>
        <v>54.25472525719754</v>
      </c>
      <c r="L171" s="40">
        <f t="shared" si="68"/>
        <v>34.862150251101774</v>
      </c>
    </row>
    <row r="172" spans="1:12" ht="12.75">
      <c r="A172" s="142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4"/>
    </row>
    <row r="173" spans="1:12" ht="12.75">
      <c r="A173" s="139" t="s">
        <v>39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1"/>
    </row>
    <row r="174" spans="1:12" ht="12.75">
      <c r="A174" s="38" t="s">
        <v>3</v>
      </c>
      <c r="B174" s="38"/>
      <c r="C174" s="39" t="s">
        <v>77</v>
      </c>
      <c r="D174" s="40">
        <f>D175+D176+D178+D179+D177+D180+D181+D182</f>
        <v>1278</v>
      </c>
      <c r="E174" s="40">
        <f aca="true" t="shared" si="72" ref="E174:J174">E175+E176+E178+E179+E177+E180+E181+E182</f>
        <v>161</v>
      </c>
      <c r="F174" s="40">
        <f t="shared" si="72"/>
        <v>378</v>
      </c>
      <c r="G174" s="40">
        <f t="shared" si="72"/>
        <v>377</v>
      </c>
      <c r="H174" s="40">
        <f t="shared" si="72"/>
        <v>362</v>
      </c>
      <c r="I174" s="40">
        <f>E174</f>
        <v>161</v>
      </c>
      <c r="J174" s="40">
        <f t="shared" si="72"/>
        <v>381.2</v>
      </c>
      <c r="K174" s="40">
        <f>J174/I174*100</f>
        <v>236.7701863354037</v>
      </c>
      <c r="L174" s="40">
        <f>J174/D174*100</f>
        <v>29.827856025039125</v>
      </c>
    </row>
    <row r="175" spans="1:12" ht="12.75">
      <c r="A175" s="27" t="s">
        <v>27</v>
      </c>
      <c r="B175" s="27"/>
      <c r="C175" s="41" t="s">
        <v>26</v>
      </c>
      <c r="D175" s="42">
        <f aca="true" t="shared" si="73" ref="D175:D184">E175+F175+G175+H175</f>
        <v>920</v>
      </c>
      <c r="E175" s="43">
        <v>125</v>
      </c>
      <c r="F175" s="43">
        <v>248</v>
      </c>
      <c r="G175" s="43">
        <v>280</v>
      </c>
      <c r="H175" s="43">
        <v>267</v>
      </c>
      <c r="I175" s="44">
        <f aca="true" t="shared" si="74" ref="I175:I181">E175+F175</f>
        <v>373</v>
      </c>
      <c r="J175" s="43">
        <v>253.1</v>
      </c>
      <c r="K175" s="44">
        <f>J175/I175*100</f>
        <v>67.85522788203752</v>
      </c>
      <c r="L175" s="44">
        <f aca="true" t="shared" si="75" ref="L175:L185">J175/D175*100</f>
        <v>27.510869565217387</v>
      </c>
    </row>
    <row r="176" spans="1:12" ht="12.75">
      <c r="A176" s="45" t="s">
        <v>9</v>
      </c>
      <c r="B176" s="45"/>
      <c r="C176" s="41" t="s">
        <v>6</v>
      </c>
      <c r="D176" s="42">
        <f t="shared" si="73"/>
        <v>178</v>
      </c>
      <c r="E176" s="43">
        <v>31</v>
      </c>
      <c r="F176" s="43">
        <v>33</v>
      </c>
      <c r="G176" s="43">
        <v>53</v>
      </c>
      <c r="H176" s="43">
        <v>61</v>
      </c>
      <c r="I176" s="44">
        <f t="shared" si="74"/>
        <v>64</v>
      </c>
      <c r="J176" s="43">
        <v>35.5</v>
      </c>
      <c r="K176" s="44">
        <f>J176/I176*100</f>
        <v>55.46875</v>
      </c>
      <c r="L176" s="44">
        <f t="shared" si="75"/>
        <v>19.9438202247191</v>
      </c>
    </row>
    <row r="177" spans="1:12" ht="12.75" customHeight="1" hidden="1">
      <c r="A177" s="45" t="s">
        <v>10</v>
      </c>
      <c r="B177" s="45"/>
      <c r="C177" s="41" t="s">
        <v>23</v>
      </c>
      <c r="D177" s="42">
        <f t="shared" si="73"/>
        <v>27</v>
      </c>
      <c r="E177" s="43">
        <v>5</v>
      </c>
      <c r="F177" s="43">
        <v>5</v>
      </c>
      <c r="G177" s="43">
        <v>9</v>
      </c>
      <c r="H177" s="43">
        <v>8</v>
      </c>
      <c r="I177" s="44">
        <f t="shared" si="74"/>
        <v>10</v>
      </c>
      <c r="J177" s="43">
        <v>7.2</v>
      </c>
      <c r="K177" s="44">
        <f>J177/I177*100</f>
        <v>72</v>
      </c>
      <c r="L177" s="44">
        <f t="shared" si="75"/>
        <v>26.666666666666668</v>
      </c>
    </row>
    <row r="178" spans="1:12" ht="24">
      <c r="A178" s="34" t="s">
        <v>11</v>
      </c>
      <c r="B178" s="34"/>
      <c r="C178" s="41" t="s">
        <v>17</v>
      </c>
      <c r="D178" s="42">
        <f t="shared" si="73"/>
        <v>103</v>
      </c>
      <c r="E178" s="43"/>
      <c r="F178" s="43">
        <v>42</v>
      </c>
      <c r="G178" s="43">
        <v>35</v>
      </c>
      <c r="H178" s="43">
        <v>26</v>
      </c>
      <c r="I178" s="44">
        <f t="shared" si="74"/>
        <v>42</v>
      </c>
      <c r="J178" s="43">
        <v>27.7</v>
      </c>
      <c r="K178" s="44">
        <f>J178/I178*100</f>
        <v>65.95238095238095</v>
      </c>
      <c r="L178" s="44">
        <f t="shared" si="75"/>
        <v>26.893203883495143</v>
      </c>
    </row>
    <row r="179" spans="1:12" ht="12.75" customHeight="1" hidden="1">
      <c r="A179" s="46" t="s">
        <v>18</v>
      </c>
      <c r="B179" s="46"/>
      <c r="C179" s="41" t="s">
        <v>15</v>
      </c>
      <c r="D179" s="42">
        <f t="shared" si="73"/>
        <v>0</v>
      </c>
      <c r="E179" s="43"/>
      <c r="F179" s="43"/>
      <c r="G179" s="43"/>
      <c r="H179" s="43"/>
      <c r="I179" s="44">
        <f t="shared" si="74"/>
        <v>0</v>
      </c>
      <c r="J179" s="43"/>
      <c r="K179" s="44"/>
      <c r="L179" s="44"/>
    </row>
    <row r="180" spans="1:12" ht="12.75">
      <c r="A180" s="46" t="s">
        <v>12</v>
      </c>
      <c r="B180" s="70"/>
      <c r="C180" s="41" t="s">
        <v>7</v>
      </c>
      <c r="D180" s="42">
        <f t="shared" si="73"/>
        <v>50</v>
      </c>
      <c r="E180" s="43"/>
      <c r="F180" s="43">
        <v>50</v>
      </c>
      <c r="G180" s="43"/>
      <c r="H180" s="43"/>
      <c r="I180" s="44">
        <f t="shared" si="74"/>
        <v>50</v>
      </c>
      <c r="J180" s="43">
        <v>50</v>
      </c>
      <c r="K180" s="44"/>
      <c r="L180" s="44"/>
    </row>
    <row r="181" spans="1:12" ht="12.75">
      <c r="A181" s="64" t="s">
        <v>45</v>
      </c>
      <c r="B181" s="49"/>
      <c r="C181" s="50" t="s">
        <v>46</v>
      </c>
      <c r="D181" s="42">
        <f t="shared" si="73"/>
        <v>0</v>
      </c>
      <c r="E181" s="43"/>
      <c r="F181" s="43"/>
      <c r="G181" s="43"/>
      <c r="H181" s="43"/>
      <c r="I181" s="44">
        <f t="shared" si="74"/>
        <v>0</v>
      </c>
      <c r="J181" s="43">
        <v>7.7</v>
      </c>
      <c r="K181" s="44"/>
      <c r="L181" s="44"/>
    </row>
    <row r="182" spans="1:12" ht="12.75">
      <c r="A182" s="48" t="s">
        <v>50</v>
      </c>
      <c r="B182" s="49"/>
      <c r="C182" s="50" t="s">
        <v>51</v>
      </c>
      <c r="D182" s="42">
        <f t="shared" si="73"/>
        <v>0</v>
      </c>
      <c r="E182" s="42"/>
      <c r="F182" s="42"/>
      <c r="G182" s="42"/>
      <c r="H182" s="42"/>
      <c r="I182" s="40">
        <f>E182</f>
        <v>0</v>
      </c>
      <c r="J182" s="43"/>
      <c r="K182" s="40"/>
      <c r="L182" s="40"/>
    </row>
    <row r="183" spans="1:12" ht="12.75">
      <c r="A183" s="38" t="s">
        <v>1</v>
      </c>
      <c r="B183" s="38"/>
      <c r="C183" s="51" t="s">
        <v>0</v>
      </c>
      <c r="D183" s="52">
        <f aca="true" t="shared" si="76" ref="D183:I183">D184</f>
        <v>24149.699999999997</v>
      </c>
      <c r="E183" s="52">
        <f t="shared" si="76"/>
        <v>9596.4</v>
      </c>
      <c r="F183" s="52">
        <f t="shared" si="76"/>
        <v>5636.1</v>
      </c>
      <c r="G183" s="52">
        <f t="shared" si="76"/>
        <v>4811.3</v>
      </c>
      <c r="H183" s="52">
        <f t="shared" si="76"/>
        <v>4105.9</v>
      </c>
      <c r="I183" s="52">
        <f t="shared" si="76"/>
        <v>15232.5</v>
      </c>
      <c r="J183" s="52">
        <f>J184</f>
        <v>6258.7</v>
      </c>
      <c r="K183" s="40">
        <f>J183/I183*100</f>
        <v>41.08780567864763</v>
      </c>
      <c r="L183" s="40">
        <f t="shared" si="75"/>
        <v>25.91626397015284</v>
      </c>
    </row>
    <row r="184" spans="1:12" ht="24">
      <c r="A184" s="36" t="s">
        <v>22</v>
      </c>
      <c r="B184" s="45"/>
      <c r="C184" s="53" t="s">
        <v>21</v>
      </c>
      <c r="D184" s="42">
        <f t="shared" si="73"/>
        <v>24149.699999999997</v>
      </c>
      <c r="E184" s="43">
        <v>9596.4</v>
      </c>
      <c r="F184" s="43">
        <f>5699.5-63.4</f>
        <v>5636.1</v>
      </c>
      <c r="G184" s="43">
        <v>4811.3</v>
      </c>
      <c r="H184" s="43">
        <v>4105.9</v>
      </c>
      <c r="I184" s="44">
        <f>E184+F184</f>
        <v>15232.5</v>
      </c>
      <c r="J184" s="43">
        <v>6258.7</v>
      </c>
      <c r="K184" s="44">
        <f>J184/I184*100</f>
        <v>41.08780567864763</v>
      </c>
      <c r="L184" s="44">
        <f t="shared" si="75"/>
        <v>25.91626397015284</v>
      </c>
    </row>
    <row r="185" spans="1:12" ht="12.75">
      <c r="A185" s="27"/>
      <c r="B185" s="28"/>
      <c r="C185" s="29" t="s">
        <v>4</v>
      </c>
      <c r="D185" s="1">
        <f>D183+D174</f>
        <v>25427.699999999997</v>
      </c>
      <c r="E185" s="1">
        <f aca="true" t="shared" si="77" ref="E185:J185">E183+E174</f>
        <v>9757.4</v>
      </c>
      <c r="F185" s="1">
        <f t="shared" si="77"/>
        <v>6014.1</v>
      </c>
      <c r="G185" s="1">
        <f t="shared" si="77"/>
        <v>5188.3</v>
      </c>
      <c r="H185" s="1">
        <f t="shared" si="77"/>
        <v>4467.9</v>
      </c>
      <c r="I185" s="1">
        <f t="shared" si="77"/>
        <v>15393.5</v>
      </c>
      <c r="J185" s="1">
        <f t="shared" si="77"/>
        <v>6639.9</v>
      </c>
      <c r="K185" s="40">
        <f>J185/I185*100</f>
        <v>43.13443986098029</v>
      </c>
      <c r="L185" s="40">
        <f t="shared" si="75"/>
        <v>26.11286117108508</v>
      </c>
    </row>
    <row r="186" spans="1:12" ht="12.75">
      <c r="A186" s="142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4"/>
    </row>
    <row r="187" spans="1:12" ht="12.75">
      <c r="A187" s="139" t="s">
        <v>40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1"/>
    </row>
    <row r="188" spans="1:12" ht="12.75">
      <c r="A188" s="38" t="s">
        <v>3</v>
      </c>
      <c r="B188" s="71"/>
      <c r="C188" s="39" t="s">
        <v>77</v>
      </c>
      <c r="D188" s="40">
        <f aca="true" t="shared" si="78" ref="D188:J188">D189+D190+D191+D192+D194+D195+D197+D199+D196+D193+D202+D200+D198+D201</f>
        <v>765811.8</v>
      </c>
      <c r="E188" s="40">
        <f t="shared" si="78"/>
        <v>179405.6</v>
      </c>
      <c r="F188" s="40">
        <f t="shared" si="78"/>
        <v>197329.4</v>
      </c>
      <c r="G188" s="40">
        <f t="shared" si="78"/>
        <v>188329.3</v>
      </c>
      <c r="H188" s="40">
        <f t="shared" si="78"/>
        <v>200747.49999999997</v>
      </c>
      <c r="I188" s="40">
        <f t="shared" si="78"/>
        <v>376735</v>
      </c>
      <c r="J188" s="40">
        <f t="shared" si="78"/>
        <v>255800.1</v>
      </c>
      <c r="K188" s="40">
        <f>J188/I188*100</f>
        <v>67.89921297463735</v>
      </c>
      <c r="L188" s="40">
        <f>J188/D188*100</f>
        <v>33.40247564741102</v>
      </c>
    </row>
    <row r="189" spans="1:12" ht="12.75">
      <c r="A189" s="27" t="s">
        <v>27</v>
      </c>
      <c r="B189" s="72" t="s">
        <v>62</v>
      </c>
      <c r="C189" s="41" t="s">
        <v>26</v>
      </c>
      <c r="D189" s="42">
        <f aca="true" t="shared" si="79" ref="D189:D204">E189+F189+G189+H189</f>
        <v>548667</v>
      </c>
      <c r="E189" s="43">
        <f>E10+E32+E44+E58+E72+E89+E103+E116+E130+E146+E160+E175</f>
        <v>131172.8</v>
      </c>
      <c r="F189" s="43">
        <f>F10+F32+F44+F58+F72+F89+F103+F116+F130+F146+F160+F175</f>
        <v>143202.89999999997</v>
      </c>
      <c r="G189" s="43">
        <f>G10+G32+G44+G58+G72+G89+G103+G116+G130+G146+G160+G175</f>
        <v>132587.7</v>
      </c>
      <c r="H189" s="43">
        <f>H10+H32+H44+H58+H72+H89+H103+H116+H130+H146+H160+H175</f>
        <v>141703.59999999998</v>
      </c>
      <c r="I189" s="44">
        <f aca="true" t="shared" si="80" ref="I189:I200">E189+F189</f>
        <v>274375.69999999995</v>
      </c>
      <c r="J189" s="43">
        <f>J10+J32+J44+J58+J72+J89+J103+J116+J130+J146+J160+J175</f>
        <v>175050.8</v>
      </c>
      <c r="K189" s="44">
        <f aca="true" t="shared" si="81" ref="K189:K207">J189/I189*100</f>
        <v>63.79967322179042</v>
      </c>
      <c r="L189" s="44">
        <f aca="true" t="shared" si="82" ref="L189:L207">J189/D189*100</f>
        <v>31.904743678770547</v>
      </c>
    </row>
    <row r="190" spans="1:12" ht="12.75">
      <c r="A190" s="45" t="s">
        <v>8</v>
      </c>
      <c r="B190" s="73" t="s">
        <v>63</v>
      </c>
      <c r="C190" s="41" t="s">
        <v>5</v>
      </c>
      <c r="D190" s="43">
        <f>D11+D161+D131+D45+D59</f>
        <v>28437</v>
      </c>
      <c r="E190" s="43">
        <f>E11+E45+E59+E131</f>
        <v>8292.6</v>
      </c>
      <c r="F190" s="43">
        <f>F11+F45+F59+F131</f>
        <v>7720.4</v>
      </c>
      <c r="G190" s="43">
        <f>G11+G45+G59+G131</f>
        <v>6373.1</v>
      </c>
      <c r="H190" s="43">
        <f>H11+H45+H59+H131</f>
        <v>6050.9</v>
      </c>
      <c r="I190" s="44">
        <f t="shared" si="80"/>
        <v>16013</v>
      </c>
      <c r="J190" s="43">
        <f>J11+J45+J59+J131</f>
        <v>15392.1</v>
      </c>
      <c r="K190" s="44">
        <f t="shared" si="81"/>
        <v>96.12252544807345</v>
      </c>
      <c r="L190" s="44">
        <f t="shared" si="82"/>
        <v>54.12701761789218</v>
      </c>
    </row>
    <row r="191" spans="1:12" ht="12.75">
      <c r="A191" s="45" t="s">
        <v>9</v>
      </c>
      <c r="B191" s="73" t="s">
        <v>64</v>
      </c>
      <c r="C191" s="41" t="s">
        <v>6</v>
      </c>
      <c r="D191" s="42">
        <f t="shared" si="79"/>
        <v>31414</v>
      </c>
      <c r="E191" s="43">
        <f>E12+E33+E46+E60+E74+E90+E104+E117+E132+E147+E162+E176</f>
        <v>5491.700000000001</v>
      </c>
      <c r="F191" s="43">
        <f>F12+F33+F46+F60+F74+F90+F104+F117+F132+F147+F162+F176</f>
        <v>4826.5</v>
      </c>
      <c r="G191" s="43">
        <f>G12+G33+G46+G60+G74+G90+G104+G117+G132+G147+G162+G176</f>
        <v>10832.8</v>
      </c>
      <c r="H191" s="43">
        <f>H12+H33+H46+H60+H74+H90+H104+H117+H132+H147+H162+H176</f>
        <v>10263</v>
      </c>
      <c r="I191" s="44">
        <f t="shared" si="80"/>
        <v>10318.2</v>
      </c>
      <c r="J191" s="43">
        <f>J12+J33+J46+J60+J74+J90+J104+J117+J132+J147+J162+J176</f>
        <v>12083.599999999999</v>
      </c>
      <c r="K191" s="44">
        <f t="shared" si="81"/>
        <v>117.10957337520107</v>
      </c>
      <c r="L191" s="44">
        <f t="shared" si="82"/>
        <v>38.465652256955494</v>
      </c>
    </row>
    <row r="192" spans="1:12" ht="12.75">
      <c r="A192" s="45" t="s">
        <v>10</v>
      </c>
      <c r="B192" s="73" t="s">
        <v>57</v>
      </c>
      <c r="C192" s="41" t="s">
        <v>23</v>
      </c>
      <c r="D192" s="42">
        <f t="shared" si="79"/>
        <v>4660.000000000001</v>
      </c>
      <c r="E192" s="43">
        <f>E13+E34+E91+E105+E118+E133+E148+E163+E177</f>
        <v>165.4</v>
      </c>
      <c r="F192" s="43">
        <f>F13+F34+F91+F105+F118+F133+F148+F163+F177</f>
        <v>1426.2</v>
      </c>
      <c r="G192" s="43">
        <f>G13+G34+G91+G105+G118+G133+G148+G163+G177</f>
        <v>1537.8000000000002</v>
      </c>
      <c r="H192" s="43">
        <f>H13+H34+H91+H105+H118+H133+H148+H163+H177</f>
        <v>1530.6000000000001</v>
      </c>
      <c r="I192" s="44">
        <f t="shared" si="80"/>
        <v>1591.6000000000001</v>
      </c>
      <c r="J192" s="43">
        <f>J13+J34+J91+J105+J118+J133+J148+J163+J177</f>
        <v>1414.8999999999999</v>
      </c>
      <c r="K192" s="44">
        <f t="shared" si="81"/>
        <v>88.89796431264135</v>
      </c>
      <c r="L192" s="44">
        <f t="shared" si="82"/>
        <v>30.362660944206</v>
      </c>
    </row>
    <row r="193" spans="1:12" ht="24">
      <c r="A193" s="45" t="s">
        <v>43</v>
      </c>
      <c r="B193" s="73" t="s">
        <v>65</v>
      </c>
      <c r="C193" s="41" t="s">
        <v>44</v>
      </c>
      <c r="D193" s="42">
        <f t="shared" si="79"/>
        <v>0</v>
      </c>
      <c r="E193" s="74">
        <f>E14</f>
        <v>0</v>
      </c>
      <c r="F193" s="74">
        <f>F14</f>
        <v>0</v>
      </c>
      <c r="G193" s="74">
        <f>G14</f>
        <v>0</v>
      </c>
      <c r="H193" s="74">
        <f>H14</f>
        <v>0</v>
      </c>
      <c r="I193" s="44">
        <f t="shared" si="80"/>
        <v>0</v>
      </c>
      <c r="J193" s="74">
        <f>J14</f>
        <v>2.3</v>
      </c>
      <c r="K193" s="44"/>
      <c r="L193" s="44"/>
    </row>
    <row r="194" spans="1:12" ht="24">
      <c r="A194" s="34" t="s">
        <v>11</v>
      </c>
      <c r="B194" s="75" t="s">
        <v>56</v>
      </c>
      <c r="C194" s="41" t="s">
        <v>17</v>
      </c>
      <c r="D194" s="42">
        <f t="shared" si="79"/>
        <v>79194</v>
      </c>
      <c r="E194" s="43">
        <f>E15+E35+E48+E62+E76+E92+E106+E119+E134+E149+E164+E178</f>
        <v>20611.2</v>
      </c>
      <c r="F194" s="43">
        <f>F15+F35+F48+F62+F76+F92+F106+F119+F134+F149+F164+F178</f>
        <v>17600.3</v>
      </c>
      <c r="G194" s="43">
        <f>G15+G35+G48+G62+G76+G92+G106+G119+G134+G149+G164+G178</f>
        <v>18663</v>
      </c>
      <c r="H194" s="43">
        <f>H15+H35+H48+H62+H76+H92+H106+H119+H134+H149+H164+H178</f>
        <v>22319.499999999996</v>
      </c>
      <c r="I194" s="44">
        <f t="shared" si="80"/>
        <v>38211.5</v>
      </c>
      <c r="J194" s="43">
        <f>J15+J35+J48+J62+J76+J92+J106+J119+J134+J149+J164+J178</f>
        <v>22823.2</v>
      </c>
      <c r="K194" s="44">
        <f t="shared" si="81"/>
        <v>59.728615730866366</v>
      </c>
      <c r="L194" s="44">
        <f t="shared" si="82"/>
        <v>28.81935500164154</v>
      </c>
    </row>
    <row r="195" spans="1:12" ht="12.75">
      <c r="A195" s="46" t="s">
        <v>14</v>
      </c>
      <c r="B195" s="76" t="s">
        <v>55</v>
      </c>
      <c r="C195" s="41" t="s">
        <v>13</v>
      </c>
      <c r="D195" s="42">
        <f t="shared" si="79"/>
        <v>12581</v>
      </c>
      <c r="E195" s="43">
        <f>E16</f>
        <v>532.8</v>
      </c>
      <c r="F195" s="43">
        <f>F16</f>
        <v>6148.2</v>
      </c>
      <c r="G195" s="43">
        <f>G16</f>
        <v>2950</v>
      </c>
      <c r="H195" s="43">
        <f>H16</f>
        <v>2950</v>
      </c>
      <c r="I195" s="44">
        <f t="shared" si="80"/>
        <v>6681</v>
      </c>
      <c r="J195" s="43">
        <f>J16</f>
        <v>7149.9</v>
      </c>
      <c r="K195" s="44">
        <f t="shared" si="81"/>
        <v>107.01841041760214</v>
      </c>
      <c r="L195" s="44">
        <f t="shared" si="82"/>
        <v>56.8309355377156</v>
      </c>
    </row>
    <row r="196" spans="1:12" ht="12.75">
      <c r="A196" s="47" t="s">
        <v>48</v>
      </c>
      <c r="B196" s="77" t="s">
        <v>66</v>
      </c>
      <c r="C196" s="41" t="s">
        <v>49</v>
      </c>
      <c r="D196" s="42">
        <f t="shared" si="79"/>
        <v>39995</v>
      </c>
      <c r="E196" s="78">
        <f>E17+E77+E93+E120+E150++E165</f>
        <v>5717.099999999999</v>
      </c>
      <c r="F196" s="78">
        <f>F17+F77+F93+F120+F150++F165</f>
        <v>11564.3</v>
      </c>
      <c r="G196" s="78">
        <f>G17+G77+G93+G120+G150++G165</f>
        <v>11288.4</v>
      </c>
      <c r="H196" s="78">
        <f>H17+H77+H93+H120+H150++H165</f>
        <v>11425.2</v>
      </c>
      <c r="I196" s="44">
        <f t="shared" si="80"/>
        <v>17281.399999999998</v>
      </c>
      <c r="J196" s="78">
        <f>J17+J77+J93+J120+J150++J165</f>
        <v>8422.200000000003</v>
      </c>
      <c r="K196" s="44">
        <f>J196/I196*100</f>
        <v>48.7356348443992</v>
      </c>
      <c r="L196" s="44">
        <f>J196/D196*100</f>
        <v>21.05813226653332</v>
      </c>
    </row>
    <row r="197" spans="1:12" ht="12.75">
      <c r="A197" s="47" t="s">
        <v>18</v>
      </c>
      <c r="B197" s="77" t="s">
        <v>61</v>
      </c>
      <c r="C197" s="41" t="s">
        <v>15</v>
      </c>
      <c r="D197" s="42">
        <f t="shared" si="79"/>
        <v>12276</v>
      </c>
      <c r="E197" s="43">
        <f>E18+E36+E49+E63+E78+E94+E136+E121+E151+E166+E179</f>
        <v>1185</v>
      </c>
      <c r="F197" s="43">
        <f>F18+F36+F49+F63+F78+F94+F136+F121+F151+F166+F179</f>
        <v>3755.2</v>
      </c>
      <c r="G197" s="43">
        <f>G18+G36+G49+G63+G78+G94+G136+G121+G151+G166+G179</f>
        <v>3467.9</v>
      </c>
      <c r="H197" s="43">
        <f>H18+H36+H49+H63+H78+H94+H136+H121+H151+H166+H179</f>
        <v>3867.9</v>
      </c>
      <c r="I197" s="44">
        <f t="shared" si="80"/>
        <v>4940.2</v>
      </c>
      <c r="J197" s="43">
        <f>J18+J36+J49+J63+J78+J94+J136+J121+J151+J166+J179</f>
        <v>5207.699999999999</v>
      </c>
      <c r="K197" s="44">
        <f t="shared" si="81"/>
        <v>105.41476053601066</v>
      </c>
      <c r="L197" s="44">
        <f t="shared" si="82"/>
        <v>42.421798631476044</v>
      </c>
    </row>
    <row r="198" spans="1:12" ht="12.75" customHeight="1" hidden="1">
      <c r="A198" s="47" t="s">
        <v>71</v>
      </c>
      <c r="B198" s="47"/>
      <c r="C198" s="41" t="s">
        <v>72</v>
      </c>
      <c r="D198" s="42">
        <f t="shared" si="79"/>
        <v>7</v>
      </c>
      <c r="E198" s="43">
        <f>E19</f>
        <v>3.3</v>
      </c>
      <c r="F198" s="43">
        <f>F19</f>
        <v>0.7</v>
      </c>
      <c r="G198" s="43">
        <f>G19</f>
        <v>2</v>
      </c>
      <c r="H198" s="43">
        <f>H19</f>
        <v>1</v>
      </c>
      <c r="I198" s="44">
        <f t="shared" si="80"/>
        <v>4</v>
      </c>
      <c r="J198" s="43">
        <f>J19</f>
        <v>4.3</v>
      </c>
      <c r="K198" s="44">
        <f t="shared" si="81"/>
        <v>107.5</v>
      </c>
      <c r="L198" s="44">
        <f t="shared" si="82"/>
        <v>61.42857142857142</v>
      </c>
    </row>
    <row r="199" spans="1:12" ht="12.75" customHeight="1" hidden="1">
      <c r="A199" s="27" t="s">
        <v>12</v>
      </c>
      <c r="B199" s="72" t="s">
        <v>58</v>
      </c>
      <c r="C199" s="41" t="s">
        <v>7</v>
      </c>
      <c r="D199" s="42">
        <f t="shared" si="79"/>
        <v>8520.8</v>
      </c>
      <c r="E199" s="43">
        <f>E20+E50+E64+E79+E95+E122+E137+E167+E180</f>
        <v>6233.7</v>
      </c>
      <c r="F199" s="43">
        <f>F20+F50+F64+F79+F95+F122+F137+F167+F180</f>
        <v>1024.7</v>
      </c>
      <c r="G199" s="43">
        <f>G20+G50+G64+G79+G95+G122+G137+G167+G180</f>
        <v>626.6</v>
      </c>
      <c r="H199" s="43">
        <f>H20+H50+H64+H79+H95+H122+H137+H167+H180</f>
        <v>635.8</v>
      </c>
      <c r="I199" s="44">
        <f t="shared" si="80"/>
        <v>7258.4</v>
      </c>
      <c r="J199" s="43">
        <f>J20+J50+J64+J79+J95+J122+J137+J167+J180</f>
        <v>7429.2</v>
      </c>
      <c r="K199" s="44">
        <f t="shared" si="81"/>
        <v>102.35313567728426</v>
      </c>
      <c r="L199" s="44">
        <f t="shared" si="82"/>
        <v>87.188996338372</v>
      </c>
    </row>
    <row r="200" spans="1:12" ht="12.75">
      <c r="A200" s="48" t="s">
        <v>45</v>
      </c>
      <c r="B200" s="79" t="s">
        <v>65</v>
      </c>
      <c r="C200" s="50" t="s">
        <v>46</v>
      </c>
      <c r="D200" s="42">
        <f t="shared" si="79"/>
        <v>60</v>
      </c>
      <c r="E200" s="43">
        <f>E21+E37+E51+E65+E80+E96+E109+E123+E138+E153+E168+E181</f>
        <v>0</v>
      </c>
      <c r="F200" s="43">
        <f>F21+F37+F51+F65+F80+F96+F109+F123+F138+F153+F168+F181</f>
        <v>60</v>
      </c>
      <c r="G200" s="43">
        <f>G21+G37+G51+G65+G80+G96+G109+G123+G138+G153+G168+G181</f>
        <v>0</v>
      </c>
      <c r="H200" s="43">
        <f>H21+H37+H51+H65+H80+H96+H109+H123+H138+H153+H168+H181</f>
        <v>0</v>
      </c>
      <c r="I200" s="44">
        <f t="shared" si="80"/>
        <v>60</v>
      </c>
      <c r="J200" s="43">
        <f>J21+J37+J51+J65+J80+J96+J109+J123+J138+J153+J168+J181</f>
        <v>819.9000000000001</v>
      </c>
      <c r="K200" s="44"/>
      <c r="L200" s="44"/>
    </row>
    <row r="201" spans="1:12" ht="12.75">
      <c r="A201" s="48" t="s">
        <v>69</v>
      </c>
      <c r="B201" s="49"/>
      <c r="C201" s="50" t="s">
        <v>70</v>
      </c>
      <c r="D201" s="42">
        <f t="shared" si="79"/>
        <v>0</v>
      </c>
      <c r="E201" s="43">
        <f aca="true" t="shared" si="83" ref="E201:J202">E22</f>
        <v>0</v>
      </c>
      <c r="F201" s="43">
        <f>F22</f>
        <v>0</v>
      </c>
      <c r="G201" s="43">
        <f t="shared" si="83"/>
        <v>0</v>
      </c>
      <c r="H201" s="43">
        <f t="shared" si="83"/>
        <v>0</v>
      </c>
      <c r="I201" s="44">
        <f>E201</f>
        <v>0</v>
      </c>
      <c r="J201" s="43">
        <f t="shared" si="83"/>
        <v>0</v>
      </c>
      <c r="K201" s="44"/>
      <c r="L201" s="44"/>
    </row>
    <row r="202" spans="1:12" ht="12.75">
      <c r="A202" s="48" t="s">
        <v>50</v>
      </c>
      <c r="B202" s="79" t="s">
        <v>65</v>
      </c>
      <c r="C202" s="50" t="s">
        <v>51</v>
      </c>
      <c r="D202" s="42">
        <f t="shared" si="79"/>
        <v>0</v>
      </c>
      <c r="E202" s="43">
        <f t="shared" si="83"/>
        <v>0</v>
      </c>
      <c r="F202" s="43">
        <f>F23</f>
        <v>0</v>
      </c>
      <c r="G202" s="43">
        <f t="shared" si="83"/>
        <v>0</v>
      </c>
      <c r="H202" s="43">
        <f t="shared" si="83"/>
        <v>0</v>
      </c>
      <c r="I202" s="44">
        <f>E202</f>
        <v>0</v>
      </c>
      <c r="J202" s="43">
        <f>J23+J182+J81+J139</f>
        <v>0</v>
      </c>
      <c r="K202" s="44"/>
      <c r="L202" s="44"/>
    </row>
    <row r="203" spans="1:12" ht="12.75">
      <c r="A203" s="38" t="s">
        <v>1</v>
      </c>
      <c r="B203" s="71"/>
      <c r="C203" s="51" t="s">
        <v>0</v>
      </c>
      <c r="D203" s="52">
        <f aca="true" t="shared" si="84" ref="D203:J203">D204+D205+D206</f>
        <v>3045988.4</v>
      </c>
      <c r="E203" s="52">
        <f t="shared" si="84"/>
        <v>774922.5</v>
      </c>
      <c r="F203" s="52">
        <f t="shared" si="84"/>
        <v>1221410.7999999998</v>
      </c>
      <c r="G203" s="52">
        <f t="shared" si="84"/>
        <v>466300.7</v>
      </c>
      <c r="H203" s="52">
        <f t="shared" si="84"/>
        <v>583354.4</v>
      </c>
      <c r="I203" s="52">
        <f t="shared" si="84"/>
        <v>1996333.2999999998</v>
      </c>
      <c r="J203" s="52">
        <f t="shared" si="84"/>
        <v>769140</v>
      </c>
      <c r="K203" s="40">
        <f t="shared" si="81"/>
        <v>38.52763463896535</v>
      </c>
      <c r="L203" s="40">
        <f t="shared" si="82"/>
        <v>25.250916910911414</v>
      </c>
    </row>
    <row r="204" spans="1:12" ht="24">
      <c r="A204" s="36" t="s">
        <v>22</v>
      </c>
      <c r="B204" s="73" t="s">
        <v>59</v>
      </c>
      <c r="C204" s="53" t="s">
        <v>21</v>
      </c>
      <c r="D204" s="42">
        <f t="shared" si="79"/>
        <v>3007966.4</v>
      </c>
      <c r="E204" s="42">
        <f>E25-5725.2</f>
        <v>768602.5</v>
      </c>
      <c r="F204" s="42">
        <f>F25-9471.1</f>
        <v>1204408.7999999998</v>
      </c>
      <c r="G204" s="42">
        <f>G25-7729</f>
        <v>460700.7</v>
      </c>
      <c r="H204" s="42">
        <f>H25-6584</f>
        <v>574254.4</v>
      </c>
      <c r="I204" s="44">
        <f>E204+F204</f>
        <v>1973011.2999999998</v>
      </c>
      <c r="J204" s="42">
        <f>J25-5725.2</f>
        <v>758410.4</v>
      </c>
      <c r="K204" s="44">
        <f t="shared" si="81"/>
        <v>38.43923245649937</v>
      </c>
      <c r="L204" s="44">
        <f t="shared" si="82"/>
        <v>25.213393341095834</v>
      </c>
    </row>
    <row r="205" spans="1:12" ht="12.75">
      <c r="A205" s="35" t="s">
        <v>2</v>
      </c>
      <c r="B205" s="35" t="s">
        <v>60</v>
      </c>
      <c r="C205" s="54" t="s">
        <v>19</v>
      </c>
      <c r="D205" s="42">
        <f>E205+F205+G205+H205</f>
        <v>38022</v>
      </c>
      <c r="E205" s="43">
        <f>E26+E84</f>
        <v>6320</v>
      </c>
      <c r="F205" s="43">
        <f>F26+F84</f>
        <v>17002</v>
      </c>
      <c r="G205" s="43">
        <f>G26+G84</f>
        <v>5600</v>
      </c>
      <c r="H205" s="43">
        <f>H26+H84</f>
        <v>9100</v>
      </c>
      <c r="I205" s="44">
        <f>E205+F205</f>
        <v>23322</v>
      </c>
      <c r="J205" s="43">
        <f>J26+J84</f>
        <v>11339.6</v>
      </c>
      <c r="K205" s="44">
        <f t="shared" si="81"/>
        <v>48.62190206671812</v>
      </c>
      <c r="L205" s="44">
        <f t="shared" si="82"/>
        <v>29.823786229025302</v>
      </c>
    </row>
    <row r="206" spans="1:12" ht="24">
      <c r="A206" s="35" t="s">
        <v>74</v>
      </c>
      <c r="B206" s="80"/>
      <c r="C206" s="56" t="s">
        <v>75</v>
      </c>
      <c r="D206" s="42">
        <f>E206+F206+G206+H206</f>
        <v>0</v>
      </c>
      <c r="E206" s="43">
        <f aca="true" t="shared" si="85" ref="E206:J206">E27</f>
        <v>0</v>
      </c>
      <c r="F206" s="43">
        <f t="shared" si="85"/>
        <v>0</v>
      </c>
      <c r="G206" s="43">
        <f t="shared" si="85"/>
        <v>0</v>
      </c>
      <c r="H206" s="43">
        <f t="shared" si="85"/>
        <v>0</v>
      </c>
      <c r="I206" s="44">
        <f>E206+F206</f>
        <v>0</v>
      </c>
      <c r="J206" s="43">
        <f t="shared" si="85"/>
        <v>-610</v>
      </c>
      <c r="K206" s="40"/>
      <c r="L206" s="40"/>
    </row>
    <row r="207" spans="1:12" ht="12.75">
      <c r="A207" s="27"/>
      <c r="B207" s="28"/>
      <c r="C207" s="29" t="s">
        <v>4</v>
      </c>
      <c r="D207" s="1">
        <f>D203+D188</f>
        <v>3811800.2</v>
      </c>
      <c r="E207" s="1">
        <f aca="true" t="shared" si="86" ref="E207:J207">E203+E188</f>
        <v>954328.1</v>
      </c>
      <c r="F207" s="1">
        <f t="shared" si="86"/>
        <v>1418740.1999999997</v>
      </c>
      <c r="G207" s="1">
        <f t="shared" si="86"/>
        <v>654630</v>
      </c>
      <c r="H207" s="1">
        <f t="shared" si="86"/>
        <v>784101.9</v>
      </c>
      <c r="I207" s="1">
        <f t="shared" si="86"/>
        <v>2373068.3</v>
      </c>
      <c r="J207" s="1">
        <f t="shared" si="86"/>
        <v>1024940.1</v>
      </c>
      <c r="K207" s="40">
        <f t="shared" si="81"/>
        <v>43.190501512324786</v>
      </c>
      <c r="L207" s="40">
        <f t="shared" si="82"/>
        <v>26.888610268712405</v>
      </c>
    </row>
    <row r="208" spans="1:11" ht="12.75">
      <c r="A208" s="3"/>
      <c r="C208" s="31"/>
      <c r="D208" s="9"/>
      <c r="E208" s="6"/>
      <c r="F208" s="6">
        <f>F24</f>
        <v>1227879.9</v>
      </c>
      <c r="G208" s="6">
        <f>G24</f>
        <v>474029.7</v>
      </c>
      <c r="H208" s="6">
        <f>H24</f>
        <v>589938.4</v>
      </c>
      <c r="I208" s="7"/>
      <c r="J208" s="8"/>
      <c r="K208" s="8"/>
    </row>
    <row r="209" spans="3:11" ht="12.75">
      <c r="C209" s="32"/>
      <c r="D209" s="6"/>
      <c r="E209" s="6">
        <f>E208-E200</f>
        <v>0</v>
      </c>
      <c r="F209" s="6">
        <f>F208-F200</f>
        <v>1227819.9</v>
      </c>
      <c r="G209" s="6">
        <f>G208-G200</f>
        <v>474029.7</v>
      </c>
      <c r="H209" s="6">
        <f>H208-H200</f>
        <v>589938.4</v>
      </c>
      <c r="I209" s="7"/>
      <c r="J209" s="8"/>
      <c r="K209" s="8"/>
    </row>
    <row r="210" spans="3:11" ht="12.75">
      <c r="C210" s="32"/>
      <c r="D210" s="9"/>
      <c r="E210" s="6" t="e">
        <f>#REF!+#REF!+#REF!+#REF!+#REF!+#REF!+#REF!+#REF!+#REF!+#REF!</f>
        <v>#REF!</v>
      </c>
      <c r="F210" s="6" t="e">
        <f>#REF!+#REF!+#REF!+#REF!+#REF!+#REF!+#REF!+#REF!+#REF!+#REF!</f>
        <v>#REF!</v>
      </c>
      <c r="G210" s="6" t="e">
        <f>#REF!+#REF!+#REF!+#REF!+#REF!+#REF!+#REF!+#REF!+#REF!+#REF!</f>
        <v>#REF!</v>
      </c>
      <c r="H210" s="6" t="e">
        <f>#REF!+#REF!+#REF!+#REF!+#REF!+#REF!+#REF!+#REF!+#REF!+#REF!</f>
        <v>#REF!</v>
      </c>
      <c r="I210" s="7"/>
      <c r="J210" s="8"/>
      <c r="K210" s="8"/>
    </row>
    <row r="211" spans="3:11" ht="12.75">
      <c r="C211" s="32"/>
      <c r="D211" s="9"/>
      <c r="E211" s="6" t="e">
        <f>E210-#REF!</f>
        <v>#REF!</v>
      </c>
      <c r="F211" s="6" t="e">
        <f>F210-#REF!</f>
        <v>#REF!</v>
      </c>
      <c r="G211" s="6" t="e">
        <f>G210-#REF!</f>
        <v>#REF!</v>
      </c>
      <c r="H211" s="6" t="e">
        <f>H210-#REF!</f>
        <v>#REF!</v>
      </c>
      <c r="I211" s="7"/>
      <c r="J211" s="8"/>
      <c r="K211" s="8"/>
    </row>
    <row r="212" spans="3:11" ht="12.75">
      <c r="C212" s="32"/>
      <c r="D212" s="9"/>
      <c r="E212" s="6" t="e">
        <f>E206+E208+E210</f>
        <v>#REF!</v>
      </c>
      <c r="F212" s="6"/>
      <c r="G212" s="9"/>
      <c r="H212" s="9"/>
      <c r="I212" s="7"/>
      <c r="J212" s="8"/>
      <c r="K212" s="8"/>
    </row>
    <row r="213" spans="3:11" ht="12.75">
      <c r="C213" s="31"/>
      <c r="D213" s="9"/>
      <c r="E213" s="6">
        <f>E28+E40+E53+E66+E83+E97+E110+E123+E139+E153+E168+E182-E180-E166-E151-E137-E121-E108-E95-E80-E64-E38-E51</f>
        <v>1017455.8999999999</v>
      </c>
      <c r="F213" s="6">
        <f>F28+F40+F53+F66+F83+F97+F110+F123+F139+F153+F168+F182-F180-F166-F151-F137-F121-F108-F95-F80-F64-F38-F51</f>
        <v>1452300.9999999998</v>
      </c>
      <c r="G213" s="6">
        <f>G28+G40+G53+G66+G83+G97+G110+G123+G139+G153+G168+G182-G180-G166-G151-G137-G121-G108-G95-G80-G64-G38-G51</f>
        <v>679405.6</v>
      </c>
      <c r="H213" s="6">
        <f>H28+H40+H53+H66+H83+H97+H110+H123+H139+H153+H168+H182-H180-H166-H151-H137-H121-H108-H95-H80-H64-H38-H51</f>
        <v>802400.8999999999</v>
      </c>
      <c r="I213" s="7"/>
      <c r="J213" s="8"/>
      <c r="K213" s="8"/>
    </row>
    <row r="214" spans="3:11" ht="12.75">
      <c r="C214" s="31"/>
      <c r="D214" s="9"/>
      <c r="E214" s="6">
        <f>E213-E204</f>
        <v>248853.3999999999</v>
      </c>
      <c r="F214" s="6">
        <f>F213-F204</f>
        <v>247892.19999999995</v>
      </c>
      <c r="G214" s="6">
        <f>G213-G204</f>
        <v>218704.89999999997</v>
      </c>
      <c r="H214" s="6">
        <f>H213-H204</f>
        <v>228146.49999999988</v>
      </c>
      <c r="I214" s="7"/>
      <c r="J214" s="8"/>
      <c r="K214" s="8"/>
    </row>
    <row r="215" spans="3:11" ht="12.75">
      <c r="C215" s="31"/>
      <c r="D215" s="9"/>
      <c r="E215" s="6"/>
      <c r="F215" s="6"/>
      <c r="G215" s="9"/>
      <c r="H215" s="9"/>
      <c r="I215" s="7"/>
      <c r="J215" s="8"/>
      <c r="K215" s="8"/>
    </row>
    <row r="216" spans="3:11" ht="12.75">
      <c r="C216" s="30"/>
      <c r="D216" s="8"/>
      <c r="E216" s="7"/>
      <c r="F216" s="7"/>
      <c r="G216" s="8"/>
      <c r="H216" s="8"/>
      <c r="I216" s="7"/>
      <c r="J216" s="8"/>
      <c r="K216" s="8"/>
    </row>
    <row r="217" spans="3:11" ht="12.75">
      <c r="C217" s="30"/>
      <c r="D217" s="8"/>
      <c r="E217" s="7"/>
      <c r="F217" s="7"/>
      <c r="G217" s="8"/>
      <c r="H217" s="8"/>
      <c r="I217" s="7"/>
      <c r="J217" s="8"/>
      <c r="K217" s="8"/>
    </row>
    <row r="218" spans="3:11" ht="12.75">
      <c r="C218" s="30"/>
      <c r="D218" s="8"/>
      <c r="E218" s="7"/>
      <c r="F218" s="7"/>
      <c r="G218" s="8"/>
      <c r="H218" s="8"/>
      <c r="I218" s="7"/>
      <c r="J218" s="8"/>
      <c r="K218" s="8"/>
    </row>
    <row r="219" spans="3:11" ht="12.75">
      <c r="C219" s="30"/>
      <c r="D219" s="8"/>
      <c r="E219" s="7"/>
      <c r="F219" s="7"/>
      <c r="G219" s="8"/>
      <c r="H219" s="8"/>
      <c r="I219" s="7"/>
      <c r="J219" s="8"/>
      <c r="K219" s="8"/>
    </row>
    <row r="220" spans="4:11" ht="12.75">
      <c r="D220" s="8"/>
      <c r="E220" s="7"/>
      <c r="F220" s="7"/>
      <c r="G220" s="8"/>
      <c r="H220" s="8"/>
      <c r="I220" s="7"/>
      <c r="J220" s="8"/>
      <c r="K220" s="8"/>
    </row>
    <row r="221" spans="4:11" ht="12.75">
      <c r="D221" s="8"/>
      <c r="E221" s="7"/>
      <c r="F221" s="7"/>
      <c r="G221" s="8"/>
      <c r="H221" s="8"/>
      <c r="I221" s="7"/>
      <c r="J221" s="8"/>
      <c r="K221" s="8"/>
    </row>
    <row r="222" spans="4:11" ht="12.75">
      <c r="D222" s="8"/>
      <c r="E222" s="7"/>
      <c r="F222" s="7"/>
      <c r="G222" s="8"/>
      <c r="H222" s="8"/>
      <c r="I222" s="7"/>
      <c r="J222" s="8"/>
      <c r="K222" s="8"/>
    </row>
    <row r="223" spans="3:11" ht="12.75">
      <c r="C223" s="30"/>
      <c r="D223" s="8"/>
      <c r="E223" s="7"/>
      <c r="F223" s="7"/>
      <c r="G223" s="8"/>
      <c r="H223" s="8"/>
      <c r="I223" s="7"/>
      <c r="J223" s="8"/>
      <c r="K223" s="8"/>
    </row>
    <row r="224" spans="3:11" ht="12.75">
      <c r="C224" s="30"/>
      <c r="D224" s="8"/>
      <c r="E224" s="7"/>
      <c r="F224" s="7"/>
      <c r="G224" s="8"/>
      <c r="H224" s="8"/>
      <c r="I224" s="7"/>
      <c r="J224" s="8"/>
      <c r="K224" s="8"/>
    </row>
    <row r="225" spans="3:11" ht="12.75">
      <c r="C225" s="30"/>
      <c r="D225" s="8"/>
      <c r="E225" s="7"/>
      <c r="F225" s="7"/>
      <c r="G225" s="8"/>
      <c r="H225" s="8"/>
      <c r="I225" s="7"/>
      <c r="J225" s="8"/>
      <c r="K225" s="8"/>
    </row>
    <row r="226" spans="3:11" ht="12.75">
      <c r="C226" s="30"/>
      <c r="D226" s="8"/>
      <c r="E226" s="7"/>
      <c r="F226" s="7"/>
      <c r="G226" s="8"/>
      <c r="H226" s="8"/>
      <c r="I226" s="7"/>
      <c r="J226" s="8"/>
      <c r="K226" s="8"/>
    </row>
    <row r="227" spans="3:11" ht="12.75">
      <c r="C227" s="30"/>
      <c r="D227" s="7"/>
      <c r="E227" s="7"/>
      <c r="F227" s="7"/>
      <c r="G227" s="7"/>
      <c r="H227" s="7"/>
      <c r="I227" s="7"/>
      <c r="J227" s="7"/>
      <c r="K227" s="8"/>
    </row>
    <row r="228" spans="3:11" ht="12.75">
      <c r="C228" s="30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30"/>
      <c r="D229" s="10"/>
      <c r="E229" s="7"/>
      <c r="F229" s="7"/>
      <c r="G229" s="7"/>
      <c r="H229" s="7"/>
      <c r="I229" s="7"/>
      <c r="J229" s="8"/>
      <c r="K229" s="8"/>
    </row>
  </sheetData>
  <sheetProtection/>
  <mergeCells count="27">
    <mergeCell ref="A158:L158"/>
    <mergeCell ref="A100:L100"/>
    <mergeCell ref="A172:L172"/>
    <mergeCell ref="A173:L173"/>
    <mergeCell ref="A186:L186"/>
    <mergeCell ref="A187:L187"/>
    <mergeCell ref="A127:L127"/>
    <mergeCell ref="A128:L128"/>
    <mergeCell ref="A143:L143"/>
    <mergeCell ref="A144:L144"/>
    <mergeCell ref="A157:L157"/>
    <mergeCell ref="A8:L8"/>
    <mergeCell ref="A56:L56"/>
    <mergeCell ref="A69:L69"/>
    <mergeCell ref="A70:L70"/>
    <mergeCell ref="A86:L86"/>
    <mergeCell ref="A87:L87"/>
    <mergeCell ref="A2:L2"/>
    <mergeCell ref="A101:L101"/>
    <mergeCell ref="A113:L113"/>
    <mergeCell ref="A114:L114"/>
    <mergeCell ref="A55:L55"/>
    <mergeCell ref="A1:C1"/>
    <mergeCell ref="A42:L42"/>
    <mergeCell ref="C41:L41"/>
    <mergeCell ref="A30:L30"/>
    <mergeCell ref="A29:L29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B6" sqref="B6:K8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9" max="9" width="12.00390625" style="0" customWidth="1"/>
    <col min="10" max="10" width="10.25390625" style="0" customWidth="1"/>
  </cols>
  <sheetData>
    <row r="1" spans="1:11" ht="14.25" customHeight="1">
      <c r="A1" s="170" t="s">
        <v>238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3.5" thickBot="1">
      <c r="A2" s="81"/>
      <c r="B2" s="82"/>
      <c r="C2" s="83"/>
      <c r="D2" s="84"/>
      <c r="E2" s="85"/>
      <c r="F2" s="86"/>
      <c r="G2" s="87"/>
      <c r="H2" s="87"/>
      <c r="I2" s="88"/>
      <c r="J2" s="89"/>
      <c r="K2" s="89"/>
    </row>
    <row r="3" spans="1:11" ht="12.75" customHeight="1">
      <c r="A3" s="171" t="s">
        <v>78</v>
      </c>
      <c r="B3" s="173" t="s">
        <v>79</v>
      </c>
      <c r="C3" s="175" t="s">
        <v>80</v>
      </c>
      <c r="D3" s="175"/>
      <c r="E3" s="175"/>
      <c r="F3" s="176" t="s">
        <v>81</v>
      </c>
      <c r="G3" s="176"/>
      <c r="H3" s="176"/>
      <c r="I3" s="177" t="s">
        <v>82</v>
      </c>
      <c r="J3" s="177"/>
      <c r="K3" s="178"/>
    </row>
    <row r="4" spans="1:11" ht="12.75" customHeight="1">
      <c r="A4" s="172"/>
      <c r="B4" s="174"/>
      <c r="C4" s="164" t="s">
        <v>83</v>
      </c>
      <c r="D4" s="164" t="s">
        <v>239</v>
      </c>
      <c r="E4" s="164" t="s">
        <v>84</v>
      </c>
      <c r="F4" s="164" t="s">
        <v>83</v>
      </c>
      <c r="G4" s="159" t="s">
        <v>239</v>
      </c>
      <c r="H4" s="159" t="s">
        <v>84</v>
      </c>
      <c r="I4" s="161" t="s">
        <v>83</v>
      </c>
      <c r="J4" s="163" t="s">
        <v>240</v>
      </c>
      <c r="K4" s="166" t="s">
        <v>84</v>
      </c>
    </row>
    <row r="5" spans="1:11" ht="24.75" customHeight="1">
      <c r="A5" s="172"/>
      <c r="B5" s="174"/>
      <c r="C5" s="160"/>
      <c r="D5" s="164"/>
      <c r="E5" s="165"/>
      <c r="F5" s="160"/>
      <c r="G5" s="159"/>
      <c r="H5" s="160"/>
      <c r="I5" s="162"/>
      <c r="J5" s="163"/>
      <c r="K5" s="167"/>
    </row>
    <row r="6" spans="1:11" ht="12.75">
      <c r="A6" s="172"/>
      <c r="B6" s="168" t="s">
        <v>85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1:11" ht="12.75">
      <c r="A7" s="172"/>
      <c r="B7" s="168"/>
      <c r="C7" s="168"/>
      <c r="D7" s="168"/>
      <c r="E7" s="168"/>
      <c r="F7" s="168"/>
      <c r="G7" s="168"/>
      <c r="H7" s="168"/>
      <c r="I7" s="168"/>
      <c r="J7" s="168"/>
      <c r="K7" s="169"/>
    </row>
    <row r="8" spans="1:11" ht="12.75">
      <c r="A8" s="172"/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ht="12.75">
      <c r="A9" s="93" t="s">
        <v>86</v>
      </c>
      <c r="B9" s="94" t="s">
        <v>87</v>
      </c>
      <c r="C9" s="95">
        <f>SUM(C10:C17)</f>
        <v>251716.3</v>
      </c>
      <c r="D9" s="95">
        <f>SUM(D10:D17)</f>
        <v>83634.5</v>
      </c>
      <c r="E9" s="95">
        <f>D9/C9*100</f>
        <v>33.22569893169414</v>
      </c>
      <c r="F9" s="95">
        <f>F10+F11+F12+F13+F14+F15+F16+F17</f>
        <v>176094.19999999998</v>
      </c>
      <c r="G9" s="95">
        <f>SUM(G10:G17)</f>
        <v>50246.6</v>
      </c>
      <c r="H9" s="96">
        <f>G9/F9*100</f>
        <v>28.533932406632363</v>
      </c>
      <c r="I9" s="95">
        <f>SUM(I10:I17)</f>
        <v>427216.5</v>
      </c>
      <c r="J9" s="95">
        <f>SUM(J10:J17)</f>
        <v>133287.1</v>
      </c>
      <c r="K9" s="98">
        <f>J9/I9*100</f>
        <v>31.198958841711406</v>
      </c>
    </row>
    <row r="10" spans="1:11" ht="12.75">
      <c r="A10" s="99" t="s">
        <v>88</v>
      </c>
      <c r="B10" s="100" t="s">
        <v>89</v>
      </c>
      <c r="C10" s="90">
        <v>13167</v>
      </c>
      <c r="D10" s="90">
        <v>5511.6</v>
      </c>
      <c r="E10" s="90">
        <f>D10/C10*100</f>
        <v>41.85919343814081</v>
      </c>
      <c r="F10" s="101">
        <v>31918.8</v>
      </c>
      <c r="G10" s="91">
        <v>11184.9</v>
      </c>
      <c r="H10" s="101">
        <f>G10/F10*100</f>
        <v>35.0417308921388</v>
      </c>
      <c r="I10" s="102">
        <f aca="true" t="shared" si="0" ref="I10:J80">C10+F10</f>
        <v>45085.8</v>
      </c>
      <c r="J10" s="92">
        <f t="shared" si="0"/>
        <v>16696.5</v>
      </c>
      <c r="K10" s="103">
        <f aca="true" t="shared" si="1" ref="K10:K82">J10/I10*100</f>
        <v>37.03272427238731</v>
      </c>
    </row>
    <row r="11" spans="1:11" ht="22.5">
      <c r="A11" s="99" t="s">
        <v>90</v>
      </c>
      <c r="B11" s="100" t="s">
        <v>91</v>
      </c>
      <c r="C11" s="90">
        <v>25233</v>
      </c>
      <c r="D11" s="90">
        <v>9924.7</v>
      </c>
      <c r="E11" s="90">
        <f aca="true" t="shared" si="2" ref="E11:E19">D11/C11*100</f>
        <v>39.33222367534578</v>
      </c>
      <c r="F11" s="101">
        <v>0</v>
      </c>
      <c r="G11" s="91">
        <v>0</v>
      </c>
      <c r="H11" s="101">
        <v>0</v>
      </c>
      <c r="I11" s="102">
        <f t="shared" si="0"/>
        <v>25233</v>
      </c>
      <c r="J11" s="92">
        <f t="shared" si="0"/>
        <v>9924.7</v>
      </c>
      <c r="K11" s="103">
        <f t="shared" si="1"/>
        <v>39.33222367534578</v>
      </c>
    </row>
    <row r="12" spans="1:11" ht="12.75">
      <c r="A12" s="99" t="s">
        <v>92</v>
      </c>
      <c r="B12" s="100" t="s">
        <v>93</v>
      </c>
      <c r="C12" s="90">
        <v>143462</v>
      </c>
      <c r="D12" s="90">
        <v>46431.6</v>
      </c>
      <c r="E12" s="90">
        <f t="shared" si="2"/>
        <v>32.36508622492367</v>
      </c>
      <c r="F12" s="101">
        <v>114278.5</v>
      </c>
      <c r="G12" s="91">
        <v>31644.7</v>
      </c>
      <c r="H12" s="101">
        <f aca="true" t="shared" si="3" ref="H12:H19">G12/F12*100</f>
        <v>27.69086048556815</v>
      </c>
      <c r="I12" s="102">
        <f t="shared" si="0"/>
        <v>257740.5</v>
      </c>
      <c r="J12" s="92">
        <f t="shared" si="0"/>
        <v>78076.3</v>
      </c>
      <c r="K12" s="103">
        <f t="shared" si="1"/>
        <v>30.292600503219326</v>
      </c>
    </row>
    <row r="13" spans="1:11" ht="12.75">
      <c r="A13" s="99" t="s">
        <v>94</v>
      </c>
      <c r="B13" s="100" t="s">
        <v>95</v>
      </c>
      <c r="C13" s="90">
        <v>9.4</v>
      </c>
      <c r="D13" s="90">
        <v>0</v>
      </c>
      <c r="E13" s="90">
        <f t="shared" si="2"/>
        <v>0</v>
      </c>
      <c r="F13" s="101">
        <v>0</v>
      </c>
      <c r="G13" s="91">
        <v>0</v>
      </c>
      <c r="H13" s="101">
        <v>0</v>
      </c>
      <c r="I13" s="102">
        <f t="shared" si="0"/>
        <v>9.4</v>
      </c>
      <c r="J13" s="92">
        <f t="shared" si="0"/>
        <v>0</v>
      </c>
      <c r="K13" s="103">
        <f t="shared" si="1"/>
        <v>0</v>
      </c>
    </row>
    <row r="14" spans="1:11" ht="12.75">
      <c r="A14" s="99" t="s">
        <v>96</v>
      </c>
      <c r="B14" s="100" t="s">
        <v>97</v>
      </c>
      <c r="C14" s="90">
        <v>23417</v>
      </c>
      <c r="D14" s="90">
        <v>9866.6</v>
      </c>
      <c r="E14" s="90">
        <f t="shared" si="2"/>
        <v>42.13434684203784</v>
      </c>
      <c r="F14" s="101">
        <v>594</v>
      </c>
      <c r="G14" s="91">
        <v>0</v>
      </c>
      <c r="H14" s="101">
        <v>0</v>
      </c>
      <c r="I14" s="102">
        <f>C14+F14-594</f>
        <v>23417</v>
      </c>
      <c r="J14" s="92">
        <f>D14+G14-594</f>
        <v>9272.6</v>
      </c>
      <c r="K14" s="103">
        <f t="shared" si="1"/>
        <v>39.59772814621856</v>
      </c>
    </row>
    <row r="15" spans="1:11" ht="12.75">
      <c r="A15" s="99" t="s">
        <v>98</v>
      </c>
      <c r="B15" s="100" t="s">
        <v>99</v>
      </c>
      <c r="C15" s="90">
        <v>0</v>
      </c>
      <c r="D15" s="90">
        <v>0</v>
      </c>
      <c r="E15" s="90">
        <v>0</v>
      </c>
      <c r="F15" s="101">
        <v>0</v>
      </c>
      <c r="G15" s="91">
        <v>0</v>
      </c>
      <c r="H15" s="101">
        <v>0</v>
      </c>
      <c r="I15" s="102">
        <f t="shared" si="0"/>
        <v>0</v>
      </c>
      <c r="J15" s="92">
        <f t="shared" si="0"/>
        <v>0</v>
      </c>
      <c r="K15" s="103">
        <v>0</v>
      </c>
    </row>
    <row r="16" spans="1:11" ht="12.75">
      <c r="A16" s="104" t="s">
        <v>100</v>
      </c>
      <c r="B16" s="100" t="s">
        <v>101</v>
      </c>
      <c r="C16" s="90">
        <v>4536</v>
      </c>
      <c r="D16" s="90">
        <v>0</v>
      </c>
      <c r="E16" s="90">
        <f t="shared" si="2"/>
        <v>0</v>
      </c>
      <c r="F16" s="101">
        <v>1221</v>
      </c>
      <c r="G16" s="91">
        <v>0</v>
      </c>
      <c r="H16" s="101">
        <f t="shared" si="3"/>
        <v>0</v>
      </c>
      <c r="I16" s="102">
        <f t="shared" si="0"/>
        <v>5757</v>
      </c>
      <c r="J16" s="92">
        <f t="shared" si="0"/>
        <v>0</v>
      </c>
      <c r="K16" s="103">
        <f t="shared" si="1"/>
        <v>0</v>
      </c>
    </row>
    <row r="17" spans="1:11" ht="12.75">
      <c r="A17" s="99" t="s">
        <v>102</v>
      </c>
      <c r="B17" s="100" t="s">
        <v>103</v>
      </c>
      <c r="C17" s="90">
        <v>41891.9</v>
      </c>
      <c r="D17" s="90">
        <v>11900</v>
      </c>
      <c r="E17" s="90">
        <f t="shared" si="2"/>
        <v>28.406446114881394</v>
      </c>
      <c r="F17" s="101">
        <v>28081.9</v>
      </c>
      <c r="G17" s="91">
        <v>7417</v>
      </c>
      <c r="H17" s="101">
        <f t="shared" si="3"/>
        <v>26.412030525000084</v>
      </c>
      <c r="I17" s="102">
        <f t="shared" si="0"/>
        <v>69973.8</v>
      </c>
      <c r="J17" s="92">
        <f t="shared" si="0"/>
        <v>19317</v>
      </c>
      <c r="K17" s="103">
        <f t="shared" si="1"/>
        <v>27.606046834672405</v>
      </c>
    </row>
    <row r="18" spans="1:11" ht="12.75">
      <c r="A18" s="93" t="s">
        <v>104</v>
      </c>
      <c r="B18" s="94" t="s">
        <v>105</v>
      </c>
      <c r="C18" s="95">
        <f aca="true" t="shared" si="4" ref="C18:J18">C19</f>
        <v>4771.1</v>
      </c>
      <c r="D18" s="95">
        <f t="shared" si="4"/>
        <v>4771.1</v>
      </c>
      <c r="E18" s="95">
        <f t="shared" si="4"/>
        <v>100</v>
      </c>
      <c r="F18" s="95">
        <f t="shared" si="4"/>
        <v>4771.1</v>
      </c>
      <c r="G18" s="95">
        <f t="shared" si="4"/>
        <v>1295.6</v>
      </c>
      <c r="H18" s="105">
        <f t="shared" si="4"/>
        <v>27.155163379514153</v>
      </c>
      <c r="I18" s="95">
        <f t="shared" si="4"/>
        <v>4771.1</v>
      </c>
      <c r="J18" s="95">
        <f t="shared" si="4"/>
        <v>1295.6000000000004</v>
      </c>
      <c r="K18" s="106">
        <f t="shared" si="1"/>
        <v>27.155163379514164</v>
      </c>
    </row>
    <row r="19" spans="1:11" ht="12.75">
      <c r="A19" s="99" t="s">
        <v>106</v>
      </c>
      <c r="B19" s="100" t="s">
        <v>107</v>
      </c>
      <c r="C19" s="90">
        <v>4771.1</v>
      </c>
      <c r="D19" s="90">
        <v>4771.1</v>
      </c>
      <c r="E19" s="90">
        <f t="shared" si="2"/>
        <v>100</v>
      </c>
      <c r="F19" s="101">
        <v>4771.1</v>
      </c>
      <c r="G19" s="91">
        <v>1295.6</v>
      </c>
      <c r="H19" s="101">
        <f t="shared" si="3"/>
        <v>27.155163379514153</v>
      </c>
      <c r="I19" s="102">
        <f>C19+F19-4771.1</f>
        <v>4771.1</v>
      </c>
      <c r="J19" s="92">
        <f>D19+G19-4771.1</f>
        <v>1295.6000000000004</v>
      </c>
      <c r="K19" s="103">
        <f t="shared" si="1"/>
        <v>27.155163379514164</v>
      </c>
    </row>
    <row r="20" spans="1:11" ht="12.75" customHeight="1">
      <c r="A20" s="157" t="s">
        <v>108</v>
      </c>
      <c r="B20" s="158" t="s">
        <v>109</v>
      </c>
      <c r="C20" s="156">
        <f>C23+C24+C22</f>
        <v>12593.2</v>
      </c>
      <c r="D20" s="156">
        <f>D23+D24+D22</f>
        <v>2082.6</v>
      </c>
      <c r="E20" s="156">
        <f>D20/C20*100</f>
        <v>16.537496426642946</v>
      </c>
      <c r="F20" s="156">
        <f>F23+F24+F22</f>
        <v>8952.4</v>
      </c>
      <c r="G20" s="156">
        <f>G23+G24+G22</f>
        <v>1363.6</v>
      </c>
      <c r="H20" s="156">
        <f>G20/F20*100</f>
        <v>15.23166971985166</v>
      </c>
      <c r="I20" s="156">
        <f>I23+I24+I22</f>
        <v>20926.6</v>
      </c>
      <c r="J20" s="156">
        <f>D20+G20-619</f>
        <v>2827.2</v>
      </c>
      <c r="K20" s="156">
        <f>J20/I20*100</f>
        <v>13.510078082440529</v>
      </c>
    </row>
    <row r="21" spans="1:11" ht="12.75">
      <c r="A21" s="157"/>
      <c r="B21" s="158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2.75">
      <c r="A22" s="104" t="s">
        <v>110</v>
      </c>
      <c r="B22" s="100" t="s">
        <v>111</v>
      </c>
      <c r="C22" s="90">
        <v>4578.2</v>
      </c>
      <c r="D22" s="90">
        <v>1851.5</v>
      </c>
      <c r="E22" s="90">
        <f aca="true" t="shared" si="5" ref="E22:E95">D22/C22*100</f>
        <v>40.44165829365253</v>
      </c>
      <c r="F22" s="107">
        <v>619</v>
      </c>
      <c r="G22" s="91">
        <v>131</v>
      </c>
      <c r="H22" s="101">
        <f>G22/F22*100</f>
        <v>21.163166397415186</v>
      </c>
      <c r="I22" s="102">
        <f>C22+F22-619</f>
        <v>4578.2</v>
      </c>
      <c r="J22" s="92">
        <f>D22+G22-619</f>
        <v>1363.5</v>
      </c>
      <c r="K22" s="103">
        <f>J22/I22*100</f>
        <v>29.782447250010925</v>
      </c>
    </row>
    <row r="23" spans="1:11" ht="12.75">
      <c r="A23" s="99" t="s">
        <v>112</v>
      </c>
      <c r="B23" s="100" t="s">
        <v>113</v>
      </c>
      <c r="C23" s="90">
        <v>6885</v>
      </c>
      <c r="D23" s="90">
        <v>231.1</v>
      </c>
      <c r="E23" s="90">
        <f t="shared" si="5"/>
        <v>3.356572258533043</v>
      </c>
      <c r="F23" s="101">
        <v>8333.4</v>
      </c>
      <c r="G23" s="91">
        <v>1232.6</v>
      </c>
      <c r="H23" s="101">
        <f>G23/F23*100</f>
        <v>14.791081671346628</v>
      </c>
      <c r="I23" s="102">
        <f t="shared" si="0"/>
        <v>15218.4</v>
      </c>
      <c r="J23" s="92">
        <f t="shared" si="0"/>
        <v>1463.6999999999998</v>
      </c>
      <c r="K23" s="103">
        <f t="shared" si="1"/>
        <v>9.617962466487935</v>
      </c>
    </row>
    <row r="24" spans="1:11" ht="22.5">
      <c r="A24" s="104" t="s">
        <v>114</v>
      </c>
      <c r="B24" s="100" t="s">
        <v>115</v>
      </c>
      <c r="C24" s="90">
        <v>1130</v>
      </c>
      <c r="D24" s="90"/>
      <c r="E24" s="90">
        <v>0</v>
      </c>
      <c r="F24" s="101">
        <v>0</v>
      </c>
      <c r="G24" s="91">
        <v>0</v>
      </c>
      <c r="H24" s="101">
        <v>0</v>
      </c>
      <c r="I24" s="102">
        <f t="shared" si="0"/>
        <v>1130</v>
      </c>
      <c r="J24" s="92">
        <f t="shared" si="0"/>
        <v>0</v>
      </c>
      <c r="K24" s="103">
        <v>0</v>
      </c>
    </row>
    <row r="25" spans="1:11" ht="12.75">
      <c r="A25" s="93" t="s">
        <v>116</v>
      </c>
      <c r="B25" s="94" t="s">
        <v>117</v>
      </c>
      <c r="C25" s="95">
        <f>SUM(C26:C42)</f>
        <v>214637.50000000003</v>
      </c>
      <c r="D25" s="95">
        <f>SUM(D26:D42)</f>
        <v>45021.3</v>
      </c>
      <c r="E25" s="95">
        <f>D25/C25*100</f>
        <v>20.97550521227651</v>
      </c>
      <c r="F25" s="95">
        <f>SUM(F26:F42)</f>
        <v>114895.50000000001</v>
      </c>
      <c r="G25" s="95">
        <f>SUM(G26:G42)</f>
        <v>11144.800000000001</v>
      </c>
      <c r="H25" s="96">
        <f>G25/F25*100</f>
        <v>9.699944732387255</v>
      </c>
      <c r="I25" s="95">
        <f>SUM(I26:I42)</f>
        <v>261184.1</v>
      </c>
      <c r="J25" s="95">
        <f>SUM(J26:J42)</f>
        <v>45978.5</v>
      </c>
      <c r="K25" s="98">
        <f t="shared" si="1"/>
        <v>17.603866391560587</v>
      </c>
    </row>
    <row r="26" spans="1:11" ht="22.5">
      <c r="A26" s="104" t="s">
        <v>118</v>
      </c>
      <c r="B26" s="108" t="s">
        <v>119</v>
      </c>
      <c r="C26" s="90">
        <v>8211.8</v>
      </c>
      <c r="D26" s="90">
        <v>1190.4</v>
      </c>
      <c r="E26" s="90">
        <f t="shared" si="5"/>
        <v>14.49621276699384</v>
      </c>
      <c r="F26" s="109">
        <v>2557.8</v>
      </c>
      <c r="G26" s="110">
        <v>1059.1</v>
      </c>
      <c r="H26" s="101">
        <f>G26/F26*100</f>
        <v>41.40667761357416</v>
      </c>
      <c r="I26" s="102">
        <f>C26+F26-1066.3</f>
        <v>9703.3</v>
      </c>
      <c r="J26" s="102">
        <f>D26+G26-1066.3</f>
        <v>1183.2</v>
      </c>
      <c r="K26" s="103">
        <f t="shared" si="1"/>
        <v>12.19378974163429</v>
      </c>
    </row>
    <row r="27" spans="1:11" ht="12.75">
      <c r="A27" s="99" t="s">
        <v>120</v>
      </c>
      <c r="B27" s="100" t="s">
        <v>121</v>
      </c>
      <c r="C27" s="90">
        <v>42516</v>
      </c>
      <c r="D27" s="90">
        <v>17752.8</v>
      </c>
      <c r="E27" s="90">
        <f t="shared" si="5"/>
        <v>41.75557437200113</v>
      </c>
      <c r="F27" s="101">
        <v>0</v>
      </c>
      <c r="G27" s="91">
        <v>0</v>
      </c>
      <c r="H27" s="101">
        <v>0</v>
      </c>
      <c r="I27" s="102">
        <f t="shared" si="0"/>
        <v>42516</v>
      </c>
      <c r="J27" s="92">
        <f t="shared" si="0"/>
        <v>17752.8</v>
      </c>
      <c r="K27" s="103">
        <f t="shared" si="1"/>
        <v>41.75557437200113</v>
      </c>
    </row>
    <row r="28" spans="1:11" ht="12.75">
      <c r="A28" s="99" t="s">
        <v>122</v>
      </c>
      <c r="B28" s="100" t="s">
        <v>123</v>
      </c>
      <c r="C28" s="90">
        <v>6650</v>
      </c>
      <c r="D28" s="90">
        <v>2745.7</v>
      </c>
      <c r="E28" s="90">
        <f t="shared" si="5"/>
        <v>41.288721804511276</v>
      </c>
      <c r="F28" s="101">
        <v>0</v>
      </c>
      <c r="G28" s="91">
        <v>0</v>
      </c>
      <c r="H28" s="101">
        <v>0</v>
      </c>
      <c r="I28" s="102">
        <f t="shared" si="0"/>
        <v>6650</v>
      </c>
      <c r="J28" s="92">
        <f t="shared" si="0"/>
        <v>2745.7</v>
      </c>
      <c r="K28" s="103">
        <f t="shared" si="1"/>
        <v>41.288721804511276</v>
      </c>
    </row>
    <row r="29" spans="1:11" ht="12.75">
      <c r="A29" s="99" t="s">
        <v>122</v>
      </c>
      <c r="B29" s="100" t="s">
        <v>124</v>
      </c>
      <c r="C29" s="90">
        <v>13085.6</v>
      </c>
      <c r="D29" s="90">
        <v>4896.4</v>
      </c>
      <c r="E29" s="90">
        <f t="shared" si="5"/>
        <v>37.41823072690591</v>
      </c>
      <c r="F29" s="107">
        <v>12094</v>
      </c>
      <c r="G29" s="107">
        <v>2229</v>
      </c>
      <c r="H29" s="101">
        <f>G29/F29*100</f>
        <v>18.43062675706962</v>
      </c>
      <c r="I29" s="102">
        <f t="shared" si="0"/>
        <v>25179.6</v>
      </c>
      <c r="J29" s="92">
        <f t="shared" si="0"/>
        <v>7125.4</v>
      </c>
      <c r="K29" s="103">
        <f t="shared" si="1"/>
        <v>28.298304977044907</v>
      </c>
    </row>
    <row r="30" spans="1:11" ht="12.75">
      <c r="A30" s="99" t="s">
        <v>122</v>
      </c>
      <c r="B30" s="100" t="s">
        <v>125</v>
      </c>
      <c r="C30" s="90">
        <v>7931</v>
      </c>
      <c r="D30" s="90">
        <v>0</v>
      </c>
      <c r="E30" s="90">
        <f t="shared" si="5"/>
        <v>0</v>
      </c>
      <c r="F30" s="107">
        <v>0</v>
      </c>
      <c r="G30" s="107">
        <v>0</v>
      </c>
      <c r="H30" s="101">
        <v>0</v>
      </c>
      <c r="I30" s="102">
        <f t="shared" si="0"/>
        <v>7931</v>
      </c>
      <c r="J30" s="92">
        <f t="shared" si="0"/>
        <v>0</v>
      </c>
      <c r="K30" s="103">
        <f t="shared" si="1"/>
        <v>0</v>
      </c>
    </row>
    <row r="31" spans="1:11" ht="12.75">
      <c r="A31" s="99" t="s">
        <v>126</v>
      </c>
      <c r="B31" s="100" t="s">
        <v>127</v>
      </c>
      <c r="C31" s="90">
        <v>67212</v>
      </c>
      <c r="D31" s="90"/>
      <c r="E31" s="90">
        <v>0</v>
      </c>
      <c r="F31" s="107">
        <v>54771.9</v>
      </c>
      <c r="G31" s="107">
        <v>1760</v>
      </c>
      <c r="H31" s="101">
        <v>0</v>
      </c>
      <c r="I31" s="102">
        <f>C31+F31-58161.3</f>
        <v>63822.59999999999</v>
      </c>
      <c r="J31" s="92">
        <f t="shared" si="0"/>
        <v>1760</v>
      </c>
      <c r="K31" s="103">
        <v>0</v>
      </c>
    </row>
    <row r="32" spans="1:11" ht="33.75">
      <c r="A32" s="99" t="s">
        <v>126</v>
      </c>
      <c r="B32" s="111" t="s">
        <v>128</v>
      </c>
      <c r="C32" s="90">
        <v>2384.1</v>
      </c>
      <c r="D32" s="90">
        <v>441.4</v>
      </c>
      <c r="E32" s="90">
        <v>0</v>
      </c>
      <c r="F32" s="107"/>
      <c r="G32" s="107"/>
      <c r="H32" s="101">
        <v>0</v>
      </c>
      <c r="I32" s="102">
        <f t="shared" si="0"/>
        <v>2384.1</v>
      </c>
      <c r="J32" s="92">
        <f t="shared" si="0"/>
        <v>441.4</v>
      </c>
      <c r="K32" s="103">
        <v>0</v>
      </c>
    </row>
    <row r="33" spans="1:11" ht="22.5">
      <c r="A33" s="104" t="s">
        <v>126</v>
      </c>
      <c r="B33" s="111" t="s">
        <v>229</v>
      </c>
      <c r="C33" s="90"/>
      <c r="D33" s="90"/>
      <c r="E33" s="90"/>
      <c r="F33" s="107">
        <v>134.8</v>
      </c>
      <c r="G33" s="107">
        <v>0</v>
      </c>
      <c r="H33" s="101">
        <v>0</v>
      </c>
      <c r="I33" s="102">
        <f t="shared" si="0"/>
        <v>134.8</v>
      </c>
      <c r="J33" s="92">
        <f t="shared" si="0"/>
        <v>0</v>
      </c>
      <c r="K33" s="103">
        <v>0</v>
      </c>
    </row>
    <row r="34" spans="1:11" ht="12.75">
      <c r="A34" s="104" t="s">
        <v>126</v>
      </c>
      <c r="B34" s="100" t="s">
        <v>222</v>
      </c>
      <c r="C34" s="90">
        <v>0</v>
      </c>
      <c r="D34" s="90">
        <v>0</v>
      </c>
      <c r="E34" s="90">
        <v>0</v>
      </c>
      <c r="F34" s="110">
        <v>32586.5</v>
      </c>
      <c r="G34" s="110">
        <v>4326.6</v>
      </c>
      <c r="H34" s="101">
        <f>G34/F34*100</f>
        <v>13.27727740015037</v>
      </c>
      <c r="I34" s="102">
        <f>C34+F34</f>
        <v>32586.5</v>
      </c>
      <c r="J34" s="92">
        <f>D34+G34</f>
        <v>4326.6</v>
      </c>
      <c r="K34" s="103">
        <f>J34/I34*100</f>
        <v>13.27727740015037</v>
      </c>
    </row>
    <row r="35" spans="1:11" ht="12.75">
      <c r="A35" s="99" t="s">
        <v>129</v>
      </c>
      <c r="B35" s="100" t="s">
        <v>130</v>
      </c>
      <c r="C35" s="90">
        <v>3499</v>
      </c>
      <c r="D35" s="90">
        <v>916.8</v>
      </c>
      <c r="E35" s="90">
        <f t="shared" si="5"/>
        <v>26.201771934838526</v>
      </c>
      <c r="F35" s="107">
        <v>2427.1</v>
      </c>
      <c r="G35" s="107">
        <v>1042.2</v>
      </c>
      <c r="H35" s="101">
        <f>G35/F35*100</f>
        <v>42.940134316674225</v>
      </c>
      <c r="I35" s="102">
        <f t="shared" si="0"/>
        <v>5926.1</v>
      </c>
      <c r="J35" s="92">
        <f t="shared" si="0"/>
        <v>1959</v>
      </c>
      <c r="K35" s="103">
        <f t="shared" si="1"/>
        <v>33.05715394610283</v>
      </c>
    </row>
    <row r="36" spans="1:11" ht="12.75">
      <c r="A36" s="99" t="s">
        <v>131</v>
      </c>
      <c r="B36" s="100" t="s">
        <v>132</v>
      </c>
      <c r="C36" s="109">
        <v>3500</v>
      </c>
      <c r="D36" s="90">
        <v>195</v>
      </c>
      <c r="E36" s="90">
        <f t="shared" si="5"/>
        <v>5.571428571428571</v>
      </c>
      <c r="F36" s="107">
        <v>1184.1</v>
      </c>
      <c r="G36" s="107">
        <v>727.9</v>
      </c>
      <c r="H36" s="101">
        <f>G36/F36*100</f>
        <v>61.4728485769783</v>
      </c>
      <c r="I36" s="102">
        <f t="shared" si="0"/>
        <v>4684.1</v>
      </c>
      <c r="J36" s="92">
        <f t="shared" si="0"/>
        <v>922.9</v>
      </c>
      <c r="K36" s="103">
        <f t="shared" si="1"/>
        <v>19.702824448666764</v>
      </c>
    </row>
    <row r="37" spans="1:11" ht="56.25">
      <c r="A37" s="99" t="s">
        <v>131</v>
      </c>
      <c r="B37" s="111" t="s">
        <v>133</v>
      </c>
      <c r="C37" s="109">
        <v>16000</v>
      </c>
      <c r="D37" s="90">
        <v>0</v>
      </c>
      <c r="E37" s="90">
        <f t="shared" si="5"/>
        <v>0</v>
      </c>
      <c r="F37" s="107">
        <v>0</v>
      </c>
      <c r="G37" s="107">
        <v>0</v>
      </c>
      <c r="H37" s="101">
        <v>0</v>
      </c>
      <c r="I37" s="102">
        <f t="shared" si="0"/>
        <v>16000</v>
      </c>
      <c r="J37" s="92">
        <f t="shared" si="0"/>
        <v>0</v>
      </c>
      <c r="K37" s="103">
        <f t="shared" si="1"/>
        <v>0</v>
      </c>
    </row>
    <row r="38" spans="1:11" ht="33.75">
      <c r="A38" s="99" t="s">
        <v>131</v>
      </c>
      <c r="B38" s="111" t="s">
        <v>134</v>
      </c>
      <c r="C38" s="109">
        <v>2713.5</v>
      </c>
      <c r="D38" s="101">
        <v>0</v>
      </c>
      <c r="E38" s="90">
        <f t="shared" si="5"/>
        <v>0</v>
      </c>
      <c r="F38" s="101">
        <v>0</v>
      </c>
      <c r="G38" s="91">
        <v>0</v>
      </c>
      <c r="H38" s="101">
        <v>0</v>
      </c>
      <c r="I38" s="102">
        <f t="shared" si="0"/>
        <v>2713.5</v>
      </c>
      <c r="J38" s="92">
        <f t="shared" si="0"/>
        <v>0</v>
      </c>
      <c r="K38" s="103">
        <f t="shared" si="1"/>
        <v>0</v>
      </c>
    </row>
    <row r="39" spans="1:11" ht="33.75">
      <c r="A39" s="99" t="s">
        <v>131</v>
      </c>
      <c r="B39" s="111" t="s">
        <v>135</v>
      </c>
      <c r="C39" s="109">
        <v>3000</v>
      </c>
      <c r="D39" s="101">
        <v>195.9</v>
      </c>
      <c r="E39" s="90">
        <f t="shared" si="5"/>
        <v>6.529999999999999</v>
      </c>
      <c r="F39" s="101">
        <v>0</v>
      </c>
      <c r="G39" s="91">
        <v>0</v>
      </c>
      <c r="H39" s="101">
        <v>0</v>
      </c>
      <c r="I39" s="102">
        <f t="shared" si="0"/>
        <v>3000</v>
      </c>
      <c r="J39" s="92">
        <f t="shared" si="0"/>
        <v>195.9</v>
      </c>
      <c r="K39" s="103">
        <f t="shared" si="1"/>
        <v>6.529999999999999</v>
      </c>
    </row>
    <row r="40" spans="1:11" ht="22.5">
      <c r="A40" s="104" t="s">
        <v>131</v>
      </c>
      <c r="B40" s="111" t="s">
        <v>136</v>
      </c>
      <c r="C40" s="109">
        <v>5277.3</v>
      </c>
      <c r="D40" s="101">
        <v>0</v>
      </c>
      <c r="E40" s="90">
        <v>0</v>
      </c>
      <c r="F40" s="101">
        <v>0</v>
      </c>
      <c r="G40" s="91">
        <v>0</v>
      </c>
      <c r="H40" s="101">
        <v>0</v>
      </c>
      <c r="I40" s="102">
        <f>C40+F40</f>
        <v>5277.3</v>
      </c>
      <c r="J40" s="92">
        <f>D40+G40</f>
        <v>0</v>
      </c>
      <c r="K40" s="103">
        <v>0</v>
      </c>
    </row>
    <row r="41" spans="1:11" ht="22.5">
      <c r="A41" s="104" t="s">
        <v>131</v>
      </c>
      <c r="B41" s="111" t="s">
        <v>137</v>
      </c>
      <c r="C41" s="109">
        <v>1588.6</v>
      </c>
      <c r="D41" s="101">
        <v>212.2</v>
      </c>
      <c r="E41" s="90">
        <f>D41/C41*100</f>
        <v>13.357673423139872</v>
      </c>
      <c r="F41" s="101">
        <v>0</v>
      </c>
      <c r="G41" s="91">
        <v>0</v>
      </c>
      <c r="H41" s="101">
        <v>0</v>
      </c>
      <c r="I41" s="102">
        <f>C41+F41</f>
        <v>1588.6</v>
      </c>
      <c r="J41" s="92">
        <f>D41+G41</f>
        <v>212.2</v>
      </c>
      <c r="K41" s="103">
        <f>J41/I41*100</f>
        <v>13.357673423139872</v>
      </c>
    </row>
    <row r="42" spans="1:11" ht="33.75">
      <c r="A42" s="104" t="s">
        <v>131</v>
      </c>
      <c r="B42" s="111" t="s">
        <v>138</v>
      </c>
      <c r="C42" s="109">
        <v>31068.6</v>
      </c>
      <c r="D42" s="101">
        <f>15109.2+1365.5</f>
        <v>16474.7</v>
      </c>
      <c r="E42" s="90">
        <f>D42/C42*100</f>
        <v>53.02685026039152</v>
      </c>
      <c r="F42" s="101">
        <v>9139.3</v>
      </c>
      <c r="G42" s="91">
        <v>0</v>
      </c>
      <c r="H42" s="101">
        <v>0</v>
      </c>
      <c r="I42" s="102">
        <f>C42+F42-9121.3</f>
        <v>31086.599999999995</v>
      </c>
      <c r="J42" s="92">
        <f>D42+G42-9121.3</f>
        <v>7353.4000000000015</v>
      </c>
      <c r="K42" s="103">
        <v>0</v>
      </c>
    </row>
    <row r="43" spans="1:11" ht="12.75">
      <c r="A43" s="93" t="s">
        <v>139</v>
      </c>
      <c r="B43" s="94" t="s">
        <v>140</v>
      </c>
      <c r="C43" s="95">
        <f>SUM(C44:C65)</f>
        <v>474627.60000000003</v>
      </c>
      <c r="D43" s="95">
        <f>SUM(D44:D65)</f>
        <v>58326.9</v>
      </c>
      <c r="E43" s="95">
        <f>D43/C43*100</f>
        <v>12.288981930254371</v>
      </c>
      <c r="F43" s="97">
        <f>SUM(F44:F65)</f>
        <v>105962.5</v>
      </c>
      <c r="G43" s="97">
        <f>SUM(G44:G65)</f>
        <v>18347.6</v>
      </c>
      <c r="H43" s="97">
        <f>G43/F43*100</f>
        <v>17.315182257874245</v>
      </c>
      <c r="I43" s="95">
        <f>SUM(I44:I65)</f>
        <v>555633.8999999999</v>
      </c>
      <c r="J43" s="95">
        <f>SUM(J44:J65)</f>
        <v>59724.600000000006</v>
      </c>
      <c r="K43" s="98">
        <f t="shared" si="1"/>
        <v>10.748912188403194</v>
      </c>
    </row>
    <row r="44" spans="1:11" ht="12.75">
      <c r="A44" s="99" t="s">
        <v>141</v>
      </c>
      <c r="B44" s="100" t="s">
        <v>142</v>
      </c>
      <c r="C44" s="90">
        <v>540</v>
      </c>
      <c r="D44" s="90">
        <v>0</v>
      </c>
      <c r="E44" s="90">
        <f t="shared" si="5"/>
        <v>0</v>
      </c>
      <c r="F44" s="107">
        <v>31901.8</v>
      </c>
      <c r="G44" s="107">
        <v>4620.4</v>
      </c>
      <c r="H44" s="101">
        <f>G44/F44*100</f>
        <v>14.483195305594041</v>
      </c>
      <c r="I44" s="102">
        <f t="shared" si="0"/>
        <v>32441.8</v>
      </c>
      <c r="J44" s="92">
        <f t="shared" si="0"/>
        <v>4620.4</v>
      </c>
      <c r="K44" s="103">
        <f t="shared" si="1"/>
        <v>14.242119734416708</v>
      </c>
    </row>
    <row r="45" spans="1:11" ht="45">
      <c r="A45" s="99" t="s">
        <v>141</v>
      </c>
      <c r="B45" s="100" t="s">
        <v>223</v>
      </c>
      <c r="C45" s="90">
        <f>136158.8</f>
        <v>136158.8</v>
      </c>
      <c r="D45" s="90">
        <v>9979</v>
      </c>
      <c r="E45" s="90">
        <f t="shared" si="5"/>
        <v>7.32894238198339</v>
      </c>
      <c r="F45" s="101">
        <v>0</v>
      </c>
      <c r="G45" s="91">
        <v>0</v>
      </c>
      <c r="H45" s="101">
        <v>0</v>
      </c>
      <c r="I45" s="102">
        <f>C45+F45</f>
        <v>136158.8</v>
      </c>
      <c r="J45" s="92">
        <f>D45+G45</f>
        <v>9979</v>
      </c>
      <c r="K45" s="103">
        <v>0</v>
      </c>
    </row>
    <row r="46" spans="1:11" ht="33.75">
      <c r="A46" s="99" t="s">
        <v>141</v>
      </c>
      <c r="B46" s="100" t="s">
        <v>224</v>
      </c>
      <c r="C46" s="90">
        <f>17361.4-285</f>
        <v>17076.4</v>
      </c>
      <c r="D46" s="90">
        <v>1073.1</v>
      </c>
      <c r="E46" s="90">
        <f t="shared" si="5"/>
        <v>6.284111405214213</v>
      </c>
      <c r="F46" s="101">
        <v>0</v>
      </c>
      <c r="G46" s="91">
        <v>0</v>
      </c>
      <c r="H46" s="101">
        <v>0</v>
      </c>
      <c r="I46" s="102">
        <f t="shared" si="0"/>
        <v>17076.4</v>
      </c>
      <c r="J46" s="92">
        <f t="shared" si="0"/>
        <v>1073.1</v>
      </c>
      <c r="K46" s="103">
        <f t="shared" si="1"/>
        <v>6.284111405214213</v>
      </c>
    </row>
    <row r="47" spans="1:11" ht="22.5">
      <c r="A47" s="104" t="s">
        <v>141</v>
      </c>
      <c r="B47" s="100" t="s">
        <v>225</v>
      </c>
      <c r="C47" s="90">
        <v>285</v>
      </c>
      <c r="D47" s="90">
        <v>0</v>
      </c>
      <c r="E47" s="90">
        <v>0</v>
      </c>
      <c r="F47" s="101">
        <v>0</v>
      </c>
      <c r="G47" s="91">
        <v>0</v>
      </c>
      <c r="H47" s="101">
        <v>0</v>
      </c>
      <c r="I47" s="102">
        <f t="shared" si="0"/>
        <v>285</v>
      </c>
      <c r="J47" s="92">
        <f t="shared" si="0"/>
        <v>0</v>
      </c>
      <c r="K47" s="103">
        <f t="shared" si="1"/>
        <v>0</v>
      </c>
    </row>
    <row r="48" spans="1:11" ht="12.75">
      <c r="A48" s="99" t="s">
        <v>141</v>
      </c>
      <c r="B48" s="100" t="s">
        <v>143</v>
      </c>
      <c r="C48" s="90">
        <v>0</v>
      </c>
      <c r="D48" s="90">
        <v>0</v>
      </c>
      <c r="E48" s="90">
        <v>0</v>
      </c>
      <c r="F48" s="101">
        <v>134.3</v>
      </c>
      <c r="G48" s="91">
        <v>0</v>
      </c>
      <c r="H48" s="101">
        <v>0</v>
      </c>
      <c r="I48" s="102">
        <f t="shared" si="0"/>
        <v>134.3</v>
      </c>
      <c r="J48" s="92">
        <f t="shared" si="0"/>
        <v>0</v>
      </c>
      <c r="K48" s="103">
        <v>0</v>
      </c>
    </row>
    <row r="49" spans="1:11" ht="33.75">
      <c r="A49" s="99" t="s">
        <v>144</v>
      </c>
      <c r="B49" s="100" t="s">
        <v>145</v>
      </c>
      <c r="C49" s="109">
        <v>5786.2</v>
      </c>
      <c r="D49" s="90">
        <v>1640.1</v>
      </c>
      <c r="E49" s="90">
        <f t="shared" si="5"/>
        <v>28.34502782482458</v>
      </c>
      <c r="F49" s="101">
        <v>3000</v>
      </c>
      <c r="G49" s="91">
        <v>3000</v>
      </c>
      <c r="H49" s="101">
        <f>G49/F49*100</f>
        <v>100</v>
      </c>
      <c r="I49" s="102">
        <f t="shared" si="0"/>
        <v>8786.2</v>
      </c>
      <c r="J49" s="92">
        <f t="shared" si="0"/>
        <v>4640.1</v>
      </c>
      <c r="K49" s="103">
        <f t="shared" si="1"/>
        <v>52.81122669641029</v>
      </c>
    </row>
    <row r="50" spans="1:11" ht="33.75">
      <c r="A50" s="99" t="s">
        <v>144</v>
      </c>
      <c r="B50" s="100" t="s">
        <v>146</v>
      </c>
      <c r="C50" s="109">
        <v>10419.8</v>
      </c>
      <c r="D50" s="112">
        <v>1722.3</v>
      </c>
      <c r="E50" s="90">
        <f t="shared" si="5"/>
        <v>16.529108044300276</v>
      </c>
      <c r="F50" s="107">
        <v>450</v>
      </c>
      <c r="G50" s="107">
        <v>0</v>
      </c>
      <c r="H50" s="101">
        <v>0</v>
      </c>
      <c r="I50" s="102">
        <f t="shared" si="0"/>
        <v>10869.8</v>
      </c>
      <c r="J50" s="92">
        <f t="shared" si="0"/>
        <v>1722.3</v>
      </c>
      <c r="K50" s="103">
        <f t="shared" si="1"/>
        <v>15.84481775193656</v>
      </c>
    </row>
    <row r="51" spans="1:11" ht="12.75">
      <c r="A51" s="99" t="s">
        <v>144</v>
      </c>
      <c r="B51" s="100" t="s">
        <v>147</v>
      </c>
      <c r="C51" s="109">
        <v>2143.4</v>
      </c>
      <c r="D51" s="112">
        <v>1365.4</v>
      </c>
      <c r="E51" s="90">
        <f>D51/C51*100</f>
        <v>63.70252869273118</v>
      </c>
      <c r="F51" s="101">
        <v>14562</v>
      </c>
      <c r="G51" s="107">
        <v>1440.8</v>
      </c>
      <c r="H51" s="101">
        <f>G51/F51*100</f>
        <v>9.894245295975827</v>
      </c>
      <c r="I51" s="102">
        <f>C51+F51-1365.4</f>
        <v>15340.000000000002</v>
      </c>
      <c r="J51" s="92">
        <f>D51+G51-1365.4</f>
        <v>1440.7999999999997</v>
      </c>
      <c r="K51" s="103">
        <f>J51/I51*100</f>
        <v>9.392438070404168</v>
      </c>
    </row>
    <row r="52" spans="1:11" ht="33.75">
      <c r="A52" s="99" t="s">
        <v>144</v>
      </c>
      <c r="B52" s="100" t="s">
        <v>241</v>
      </c>
      <c r="C52" s="109">
        <v>17718</v>
      </c>
      <c r="D52" s="112">
        <v>6134.2</v>
      </c>
      <c r="E52" s="90">
        <v>0</v>
      </c>
      <c r="F52" s="101">
        <v>0</v>
      </c>
      <c r="G52" s="107">
        <v>0</v>
      </c>
      <c r="H52" s="101">
        <v>0</v>
      </c>
      <c r="I52" s="102">
        <f>C52+F52</f>
        <v>17718</v>
      </c>
      <c r="J52" s="92">
        <f>D52+G52</f>
        <v>6134.2</v>
      </c>
      <c r="K52" s="103">
        <v>0</v>
      </c>
    </row>
    <row r="53" spans="1:11" ht="33.75">
      <c r="A53" s="104" t="s">
        <v>144</v>
      </c>
      <c r="B53" s="100" t="s">
        <v>242</v>
      </c>
      <c r="C53" s="109">
        <v>178.7</v>
      </c>
      <c r="D53" s="112">
        <v>0</v>
      </c>
      <c r="E53" s="90">
        <f t="shared" si="5"/>
        <v>0</v>
      </c>
      <c r="F53" s="101">
        <v>0</v>
      </c>
      <c r="G53" s="107">
        <v>0</v>
      </c>
      <c r="H53" s="101">
        <v>0</v>
      </c>
      <c r="I53" s="113">
        <f>C53+F53</f>
        <v>178.7</v>
      </c>
      <c r="J53" s="102">
        <f>D53+G53</f>
        <v>0</v>
      </c>
      <c r="K53" s="92">
        <f>J53/I53*100</f>
        <v>0</v>
      </c>
    </row>
    <row r="54" spans="1:11" ht="33.75">
      <c r="A54" s="99" t="s">
        <v>144</v>
      </c>
      <c r="B54" s="111" t="s">
        <v>226</v>
      </c>
      <c r="C54" s="109">
        <v>51927.6</v>
      </c>
      <c r="D54" s="112">
        <v>17419.9</v>
      </c>
      <c r="E54" s="90">
        <f t="shared" si="5"/>
        <v>33.546514762862145</v>
      </c>
      <c r="F54" s="101"/>
      <c r="G54" s="107">
        <v>0</v>
      </c>
      <c r="H54" s="101">
        <v>0</v>
      </c>
      <c r="I54" s="102">
        <f t="shared" si="0"/>
        <v>51927.6</v>
      </c>
      <c r="J54" s="92">
        <f t="shared" si="0"/>
        <v>17419.9</v>
      </c>
      <c r="K54" s="103">
        <f t="shared" si="1"/>
        <v>33.546514762862145</v>
      </c>
    </row>
    <row r="55" spans="1:11" ht="33.75">
      <c r="A55" s="99" t="s">
        <v>144</v>
      </c>
      <c r="B55" s="111" t="s">
        <v>227</v>
      </c>
      <c r="C55" s="109">
        <f>138610.1+24390+2800</f>
        <v>165800.1</v>
      </c>
      <c r="D55" s="90">
        <v>2537.6</v>
      </c>
      <c r="E55" s="90">
        <f t="shared" si="5"/>
        <v>1.530517774114732</v>
      </c>
      <c r="F55" s="101">
        <v>0</v>
      </c>
      <c r="G55" s="107">
        <v>0</v>
      </c>
      <c r="H55" s="101">
        <v>0</v>
      </c>
      <c r="I55" s="102">
        <f t="shared" si="0"/>
        <v>165800.1</v>
      </c>
      <c r="J55" s="92">
        <f t="shared" si="0"/>
        <v>2537.6</v>
      </c>
      <c r="K55" s="103">
        <f t="shared" si="1"/>
        <v>1.530517774114732</v>
      </c>
    </row>
    <row r="56" spans="1:11" ht="56.25">
      <c r="A56" s="104" t="s">
        <v>144</v>
      </c>
      <c r="B56" s="111" t="s">
        <v>228</v>
      </c>
      <c r="C56" s="109">
        <v>16857</v>
      </c>
      <c r="D56" s="112">
        <v>0</v>
      </c>
      <c r="E56" s="90">
        <f t="shared" si="5"/>
        <v>0</v>
      </c>
      <c r="F56" s="101">
        <v>8006.3</v>
      </c>
      <c r="G56" s="107">
        <v>0</v>
      </c>
      <c r="H56" s="101">
        <v>0</v>
      </c>
      <c r="I56" s="102">
        <f>C56+F56-8006.3</f>
        <v>16857</v>
      </c>
      <c r="J56" s="92">
        <f t="shared" si="0"/>
        <v>0</v>
      </c>
      <c r="K56" s="103">
        <f t="shared" si="1"/>
        <v>0</v>
      </c>
    </row>
    <row r="57" spans="1:11" ht="22.5">
      <c r="A57" s="99" t="s">
        <v>144</v>
      </c>
      <c r="B57" s="100" t="s">
        <v>148</v>
      </c>
      <c r="C57" s="109">
        <v>5411.5</v>
      </c>
      <c r="D57" s="90">
        <v>136.4</v>
      </c>
      <c r="E57" s="90">
        <f t="shared" si="5"/>
        <v>2.520558070775201</v>
      </c>
      <c r="F57" s="101">
        <v>0</v>
      </c>
      <c r="G57" s="107">
        <v>0</v>
      </c>
      <c r="H57" s="101">
        <v>0</v>
      </c>
      <c r="I57" s="102">
        <f t="shared" si="0"/>
        <v>5411.5</v>
      </c>
      <c r="J57" s="92">
        <f t="shared" si="0"/>
        <v>136.4</v>
      </c>
      <c r="K57" s="103">
        <f t="shared" si="1"/>
        <v>2.520558070775201</v>
      </c>
    </row>
    <row r="58" spans="1:11" ht="22.5">
      <c r="A58" s="99" t="s">
        <v>144</v>
      </c>
      <c r="B58" s="100" t="s">
        <v>149</v>
      </c>
      <c r="C58" s="109">
        <v>634.9</v>
      </c>
      <c r="D58" s="90">
        <v>326.3</v>
      </c>
      <c r="E58" s="90">
        <f t="shared" si="5"/>
        <v>51.39392030240983</v>
      </c>
      <c r="F58" s="101">
        <v>0</v>
      </c>
      <c r="G58" s="107">
        <v>0</v>
      </c>
      <c r="H58" s="101">
        <v>0</v>
      </c>
      <c r="I58" s="102">
        <f t="shared" si="0"/>
        <v>634.9</v>
      </c>
      <c r="J58" s="92">
        <f t="shared" si="0"/>
        <v>326.3</v>
      </c>
      <c r="K58" s="103">
        <f t="shared" si="1"/>
        <v>51.39392030240983</v>
      </c>
    </row>
    <row r="59" spans="1:11" ht="22.5">
      <c r="A59" s="99" t="s">
        <v>144</v>
      </c>
      <c r="B59" s="100" t="s">
        <v>150</v>
      </c>
      <c r="C59" s="109">
        <v>1281</v>
      </c>
      <c r="D59" s="90">
        <v>225.2</v>
      </c>
      <c r="E59" s="90">
        <f t="shared" si="5"/>
        <v>17.580015612802498</v>
      </c>
      <c r="F59" s="101">
        <v>0</v>
      </c>
      <c r="G59" s="107">
        <v>0</v>
      </c>
      <c r="H59" s="101">
        <v>0</v>
      </c>
      <c r="I59" s="102">
        <f t="shared" si="0"/>
        <v>1281</v>
      </c>
      <c r="J59" s="92">
        <f t="shared" si="0"/>
        <v>225.2</v>
      </c>
      <c r="K59" s="103">
        <f t="shared" si="1"/>
        <v>17.580015612802498</v>
      </c>
    </row>
    <row r="60" spans="1:11" ht="22.5">
      <c r="A60" s="99" t="s">
        <v>144</v>
      </c>
      <c r="B60" s="100" t="s">
        <v>151</v>
      </c>
      <c r="C60" s="109">
        <v>229.2</v>
      </c>
      <c r="D60" s="90">
        <v>49.3</v>
      </c>
      <c r="E60" s="90">
        <f t="shared" si="5"/>
        <v>21.509598603839443</v>
      </c>
      <c r="F60" s="101">
        <v>0</v>
      </c>
      <c r="G60" s="107">
        <v>0</v>
      </c>
      <c r="H60" s="101">
        <v>0</v>
      </c>
      <c r="I60" s="102">
        <f>C60+F60</f>
        <v>229.2</v>
      </c>
      <c r="J60" s="92">
        <f>D60+G60</f>
        <v>49.3</v>
      </c>
      <c r="K60" s="103">
        <v>0</v>
      </c>
    </row>
    <row r="61" spans="1:11" ht="33.75">
      <c r="A61" s="104" t="s">
        <v>144</v>
      </c>
      <c r="B61" s="100" t="s">
        <v>152</v>
      </c>
      <c r="C61" s="109">
        <v>7442</v>
      </c>
      <c r="D61" s="90">
        <v>133.6</v>
      </c>
      <c r="E61" s="90">
        <f t="shared" si="5"/>
        <v>1.7952163396936307</v>
      </c>
      <c r="F61" s="101">
        <v>0</v>
      </c>
      <c r="G61" s="107">
        <v>0</v>
      </c>
      <c r="H61" s="101">
        <v>0</v>
      </c>
      <c r="I61" s="102">
        <f t="shared" si="0"/>
        <v>7442</v>
      </c>
      <c r="J61" s="92">
        <f t="shared" si="0"/>
        <v>133.6</v>
      </c>
      <c r="K61" s="103">
        <v>0</v>
      </c>
    </row>
    <row r="62" spans="1:11" ht="33.75">
      <c r="A62" s="99" t="s">
        <v>153</v>
      </c>
      <c r="B62" s="100" t="s">
        <v>243</v>
      </c>
      <c r="C62" s="90">
        <v>4800</v>
      </c>
      <c r="D62" s="90">
        <v>0</v>
      </c>
      <c r="E62" s="90">
        <v>0</v>
      </c>
      <c r="F62" s="110">
        <v>0</v>
      </c>
      <c r="G62" s="110">
        <v>0</v>
      </c>
      <c r="H62" s="101">
        <v>0</v>
      </c>
      <c r="I62" s="102">
        <f t="shared" si="0"/>
        <v>4800</v>
      </c>
      <c r="J62" s="92">
        <f t="shared" si="0"/>
        <v>0</v>
      </c>
      <c r="K62" s="103">
        <v>0</v>
      </c>
    </row>
    <row r="63" spans="1:11" ht="22.5">
      <c r="A63" s="104" t="s">
        <v>153</v>
      </c>
      <c r="B63" s="100" t="s">
        <v>229</v>
      </c>
      <c r="C63" s="90">
        <v>2144.1</v>
      </c>
      <c r="D63" s="90">
        <v>2144.1</v>
      </c>
      <c r="E63" s="90">
        <v>0</v>
      </c>
      <c r="F63" s="110">
        <v>2247.6</v>
      </c>
      <c r="G63" s="110">
        <v>0</v>
      </c>
      <c r="H63" s="101">
        <v>0</v>
      </c>
      <c r="I63" s="102">
        <f>C63+F63-2144.1</f>
        <v>2247.6</v>
      </c>
      <c r="J63" s="92">
        <f>D63+G63-2144.1</f>
        <v>0</v>
      </c>
      <c r="K63" s="103">
        <v>0</v>
      </c>
    </row>
    <row r="64" spans="1:11" ht="22.5">
      <c r="A64" s="99" t="s">
        <v>153</v>
      </c>
      <c r="B64" s="100" t="s">
        <v>244</v>
      </c>
      <c r="C64" s="90">
        <v>21440.5</v>
      </c>
      <c r="D64" s="90">
        <v>13440.4</v>
      </c>
      <c r="E64" s="90">
        <f>D64/C64*100</f>
        <v>62.68697091952147</v>
      </c>
      <c r="F64" s="110">
        <v>13440.4</v>
      </c>
      <c r="G64" s="110">
        <v>698.4</v>
      </c>
      <c r="H64" s="101">
        <f>G64/F64*100</f>
        <v>5.196273920419035</v>
      </c>
      <c r="I64" s="102">
        <f>C64+F64-13440.4</f>
        <v>21440.5</v>
      </c>
      <c r="J64" s="92">
        <f>D64+G64-13440.4</f>
        <v>698.3999999999996</v>
      </c>
      <c r="K64" s="103">
        <f>J64/I64*100</f>
        <v>3.257386721391757</v>
      </c>
    </row>
    <row r="65" spans="1:11" ht="22.5">
      <c r="A65" s="99" t="s">
        <v>153</v>
      </c>
      <c r="B65" s="100" t="s">
        <v>154</v>
      </c>
      <c r="C65" s="90">
        <v>6353.4</v>
      </c>
      <c r="D65" s="90">
        <v>0</v>
      </c>
      <c r="E65" s="90">
        <f t="shared" si="5"/>
        <v>0</v>
      </c>
      <c r="F65" s="110">
        <f>47908.1-F63-F64</f>
        <v>32220.1</v>
      </c>
      <c r="G65" s="110">
        <f>9286.4-G64</f>
        <v>8588</v>
      </c>
      <c r="H65" s="101">
        <f>G65/F65*100</f>
        <v>26.65416929183957</v>
      </c>
      <c r="I65" s="102">
        <f t="shared" si="0"/>
        <v>38573.5</v>
      </c>
      <c r="J65" s="92">
        <f t="shared" si="0"/>
        <v>8588</v>
      </c>
      <c r="K65" s="103">
        <f t="shared" si="1"/>
        <v>22.26398952648839</v>
      </c>
    </row>
    <row r="66" spans="1:11" ht="12.75">
      <c r="A66" s="114" t="s">
        <v>155</v>
      </c>
      <c r="B66" s="115" t="s">
        <v>156</v>
      </c>
      <c r="C66" s="97">
        <f aca="true" t="shared" si="6" ref="C66:H66">C67</f>
        <v>350</v>
      </c>
      <c r="D66" s="97">
        <f t="shared" si="6"/>
        <v>0</v>
      </c>
      <c r="E66" s="95">
        <f>D66/C66*100</f>
        <v>0</v>
      </c>
      <c r="F66" s="97">
        <f t="shared" si="6"/>
        <v>0</v>
      </c>
      <c r="G66" s="97">
        <f t="shared" si="6"/>
        <v>0</v>
      </c>
      <c r="H66" s="96">
        <f t="shared" si="6"/>
        <v>0</v>
      </c>
      <c r="I66" s="97">
        <f t="shared" si="0"/>
        <v>350</v>
      </c>
      <c r="J66" s="97">
        <f t="shared" si="0"/>
        <v>0</v>
      </c>
      <c r="K66" s="98">
        <f t="shared" si="1"/>
        <v>0</v>
      </c>
    </row>
    <row r="67" spans="1:11" ht="22.5">
      <c r="A67" s="104" t="s">
        <v>157</v>
      </c>
      <c r="B67" s="116" t="s">
        <v>158</v>
      </c>
      <c r="C67" s="101">
        <v>350</v>
      </c>
      <c r="D67" s="101">
        <v>0</v>
      </c>
      <c r="E67" s="90">
        <f t="shared" si="5"/>
        <v>0</v>
      </c>
      <c r="F67" s="101">
        <v>0</v>
      </c>
      <c r="G67" s="91">
        <v>0</v>
      </c>
      <c r="H67" s="101">
        <v>0</v>
      </c>
      <c r="I67" s="102">
        <f t="shared" si="0"/>
        <v>350</v>
      </c>
      <c r="J67" s="92">
        <f t="shared" si="0"/>
        <v>0</v>
      </c>
      <c r="K67" s="103">
        <f t="shared" si="1"/>
        <v>0</v>
      </c>
    </row>
    <row r="68" spans="1:11" ht="12.75">
      <c r="A68" s="93" t="s">
        <v>159</v>
      </c>
      <c r="B68" s="94" t="s">
        <v>160</v>
      </c>
      <c r="C68" s="95">
        <f>SUM(C69:C80)</f>
        <v>2305289.7</v>
      </c>
      <c r="D68" s="95">
        <f>SUM(D69:D80)</f>
        <v>443464.5</v>
      </c>
      <c r="E68" s="95">
        <f>D68/C68*100</f>
        <v>19.236823033564935</v>
      </c>
      <c r="F68" s="97">
        <f>F69+F73+F74+F79+F80</f>
        <v>4578</v>
      </c>
      <c r="G68" s="97">
        <f>SUM(G69:G80)</f>
        <v>1245.9</v>
      </c>
      <c r="H68" s="96">
        <f>G68/F68*100</f>
        <v>27.214941022280474</v>
      </c>
      <c r="I68" s="95">
        <f>SUM(I69:I80)</f>
        <v>2309867.7</v>
      </c>
      <c r="J68" s="95">
        <f>SUM(J69:J80)</f>
        <v>444710.4</v>
      </c>
      <c r="K68" s="98">
        <f t="shared" si="1"/>
        <v>19.252635118452886</v>
      </c>
    </row>
    <row r="69" spans="1:11" ht="12.75">
      <c r="A69" s="99" t="s">
        <v>161</v>
      </c>
      <c r="B69" s="100" t="s">
        <v>162</v>
      </c>
      <c r="C69" s="90">
        <v>340251.4</v>
      </c>
      <c r="D69" s="90">
        <v>122145.4</v>
      </c>
      <c r="E69" s="90">
        <f t="shared" si="5"/>
        <v>35.89857381924071</v>
      </c>
      <c r="F69" s="101">
        <v>0</v>
      </c>
      <c r="G69" s="91">
        <v>0</v>
      </c>
      <c r="H69" s="101">
        <v>0</v>
      </c>
      <c r="I69" s="102">
        <f t="shared" si="0"/>
        <v>340251.4</v>
      </c>
      <c r="J69" s="92">
        <f t="shared" si="0"/>
        <v>122145.4</v>
      </c>
      <c r="K69" s="103">
        <f t="shared" si="1"/>
        <v>35.89857381924071</v>
      </c>
    </row>
    <row r="70" spans="1:11" ht="33.75">
      <c r="A70" s="104" t="s">
        <v>161</v>
      </c>
      <c r="B70" s="100" t="s">
        <v>245</v>
      </c>
      <c r="C70" s="90">
        <v>2900.3</v>
      </c>
      <c r="D70" s="90"/>
      <c r="E70" s="90"/>
      <c r="F70" s="101"/>
      <c r="G70" s="91"/>
      <c r="H70" s="101"/>
      <c r="I70" s="102">
        <f t="shared" si="0"/>
        <v>2900.3</v>
      </c>
      <c r="J70" s="92">
        <f t="shared" si="0"/>
        <v>0</v>
      </c>
      <c r="K70" s="103">
        <f t="shared" si="1"/>
        <v>0</v>
      </c>
    </row>
    <row r="71" spans="1:11" ht="33.75">
      <c r="A71" s="117" t="s">
        <v>161</v>
      </c>
      <c r="B71" s="118" t="s">
        <v>246</v>
      </c>
      <c r="C71" s="90">
        <v>45689</v>
      </c>
      <c r="D71" s="90">
        <v>0</v>
      </c>
      <c r="E71" s="90">
        <f>D71/C71*100</f>
        <v>0</v>
      </c>
      <c r="F71" s="101">
        <v>0</v>
      </c>
      <c r="G71" s="91">
        <v>0</v>
      </c>
      <c r="H71" s="101">
        <v>0</v>
      </c>
      <c r="I71" s="102">
        <f t="shared" si="0"/>
        <v>45689</v>
      </c>
      <c r="J71" s="92">
        <f t="shared" si="0"/>
        <v>0</v>
      </c>
      <c r="K71" s="103">
        <f t="shared" si="1"/>
        <v>0</v>
      </c>
    </row>
    <row r="72" spans="1:11" ht="56.25">
      <c r="A72" s="117" t="s">
        <v>161</v>
      </c>
      <c r="B72" s="118" t="s">
        <v>163</v>
      </c>
      <c r="C72" s="90">
        <v>5077</v>
      </c>
      <c r="D72" s="90">
        <v>0</v>
      </c>
      <c r="E72" s="90">
        <v>0</v>
      </c>
      <c r="F72" s="101">
        <v>0</v>
      </c>
      <c r="G72" s="91">
        <v>0</v>
      </c>
      <c r="H72" s="101">
        <v>0</v>
      </c>
      <c r="I72" s="102">
        <f t="shared" si="0"/>
        <v>5077</v>
      </c>
      <c r="J72" s="92">
        <f t="shared" si="0"/>
        <v>0</v>
      </c>
      <c r="K72" s="103">
        <v>0</v>
      </c>
    </row>
    <row r="73" spans="1:11" ht="12.75">
      <c r="A73" s="99" t="s">
        <v>164</v>
      </c>
      <c r="B73" s="100" t="s">
        <v>165</v>
      </c>
      <c r="C73" s="90">
        <f>1858283.1-C74-C76-C78-C77-C75</f>
        <v>1063933.0000000002</v>
      </c>
      <c r="D73" s="90">
        <f>310876-D74-D76-D77-D78-D75</f>
        <v>291959</v>
      </c>
      <c r="E73" s="90">
        <f t="shared" si="5"/>
        <v>27.441483627258478</v>
      </c>
      <c r="F73" s="101">
        <v>0</v>
      </c>
      <c r="G73" s="91">
        <v>0</v>
      </c>
      <c r="H73" s="101">
        <v>0</v>
      </c>
      <c r="I73" s="102">
        <f t="shared" si="0"/>
        <v>1063933.0000000002</v>
      </c>
      <c r="J73" s="92">
        <f t="shared" si="0"/>
        <v>291959</v>
      </c>
      <c r="K73" s="103">
        <f t="shared" si="1"/>
        <v>27.441483627258478</v>
      </c>
    </row>
    <row r="74" spans="1:11" ht="12.75">
      <c r="A74" s="99" t="s">
        <v>164</v>
      </c>
      <c r="B74" s="100" t="s">
        <v>166</v>
      </c>
      <c r="C74" s="90">
        <v>40118</v>
      </c>
      <c r="D74" s="90">
        <v>14105.7</v>
      </c>
      <c r="E74" s="90">
        <f t="shared" si="5"/>
        <v>35.16052644698141</v>
      </c>
      <c r="F74" s="101">
        <v>0</v>
      </c>
      <c r="G74" s="91">
        <v>0</v>
      </c>
      <c r="H74" s="101">
        <v>0</v>
      </c>
      <c r="I74" s="102">
        <f t="shared" si="0"/>
        <v>40118</v>
      </c>
      <c r="J74" s="92">
        <f t="shared" si="0"/>
        <v>14105.7</v>
      </c>
      <c r="K74" s="103">
        <f t="shared" si="1"/>
        <v>35.16052644698141</v>
      </c>
    </row>
    <row r="75" spans="1:11" ht="33.75">
      <c r="A75" s="104" t="s">
        <v>164</v>
      </c>
      <c r="B75" s="100" t="s">
        <v>245</v>
      </c>
      <c r="C75" s="90">
        <v>5144.7</v>
      </c>
      <c r="D75" s="90">
        <v>109</v>
      </c>
      <c r="E75" s="90">
        <f t="shared" si="5"/>
        <v>2.1186852488969232</v>
      </c>
      <c r="F75" s="101">
        <v>0</v>
      </c>
      <c r="G75" s="91">
        <v>0</v>
      </c>
      <c r="H75" s="101">
        <v>0</v>
      </c>
      <c r="I75" s="102">
        <f t="shared" si="0"/>
        <v>5144.7</v>
      </c>
      <c r="J75" s="92">
        <f t="shared" si="0"/>
        <v>109</v>
      </c>
      <c r="K75" s="103">
        <f t="shared" si="1"/>
        <v>2.1186852488969232</v>
      </c>
    </row>
    <row r="76" spans="1:11" ht="22.5">
      <c r="A76" s="99" t="s">
        <v>164</v>
      </c>
      <c r="B76" s="100" t="s">
        <v>167</v>
      </c>
      <c r="C76" s="90">
        <v>109676.4</v>
      </c>
      <c r="D76" s="90">
        <v>3098</v>
      </c>
      <c r="E76" s="90">
        <f t="shared" si="5"/>
        <v>2.824673311669603</v>
      </c>
      <c r="F76" s="101">
        <v>0</v>
      </c>
      <c r="G76" s="91">
        <v>0</v>
      </c>
      <c r="H76" s="101">
        <v>0</v>
      </c>
      <c r="I76" s="102">
        <f t="shared" si="0"/>
        <v>109676.4</v>
      </c>
      <c r="J76" s="92">
        <f t="shared" si="0"/>
        <v>3098</v>
      </c>
      <c r="K76" s="103">
        <f t="shared" si="1"/>
        <v>2.824673311669603</v>
      </c>
    </row>
    <row r="77" spans="1:11" ht="22.5">
      <c r="A77" s="104" t="s">
        <v>164</v>
      </c>
      <c r="B77" s="100" t="s">
        <v>230</v>
      </c>
      <c r="C77" s="90">
        <v>128</v>
      </c>
      <c r="D77" s="90">
        <v>20</v>
      </c>
      <c r="E77" s="90">
        <f t="shared" si="5"/>
        <v>15.625</v>
      </c>
      <c r="F77" s="101"/>
      <c r="G77" s="91"/>
      <c r="H77" s="101"/>
      <c r="I77" s="102">
        <f t="shared" si="0"/>
        <v>128</v>
      </c>
      <c r="J77" s="92">
        <f t="shared" si="0"/>
        <v>20</v>
      </c>
      <c r="K77" s="103">
        <f t="shared" si="1"/>
        <v>15.625</v>
      </c>
    </row>
    <row r="78" spans="1:11" ht="33.75">
      <c r="A78" s="99" t="s">
        <v>164</v>
      </c>
      <c r="B78" s="100" t="s">
        <v>168</v>
      </c>
      <c r="C78" s="90">
        <v>639283</v>
      </c>
      <c r="D78" s="90">
        <v>1584.3</v>
      </c>
      <c r="E78" s="90">
        <f>D78/C78*100</f>
        <v>0.24782451590297255</v>
      </c>
      <c r="F78" s="101">
        <v>0</v>
      </c>
      <c r="G78" s="91">
        <v>0</v>
      </c>
      <c r="H78" s="101">
        <v>0</v>
      </c>
      <c r="I78" s="102">
        <f>C78+F78</f>
        <v>639283</v>
      </c>
      <c r="J78" s="92">
        <f>D78+G78</f>
        <v>1584.3</v>
      </c>
      <c r="K78" s="103">
        <f>J78/I78*100</f>
        <v>0.24782451590297255</v>
      </c>
    </row>
    <row r="79" spans="1:11" ht="12.75">
      <c r="A79" s="99" t="s">
        <v>169</v>
      </c>
      <c r="B79" s="100" t="s">
        <v>170</v>
      </c>
      <c r="C79" s="90">
        <v>18641.7</v>
      </c>
      <c r="D79" s="90">
        <v>362</v>
      </c>
      <c r="E79" s="90">
        <f t="shared" si="5"/>
        <v>1.9418829827751762</v>
      </c>
      <c r="F79" s="101">
        <v>4578</v>
      </c>
      <c r="G79" s="91">
        <v>1245.9</v>
      </c>
      <c r="H79" s="101">
        <f>G79/F79*100</f>
        <v>27.214941022280474</v>
      </c>
      <c r="I79" s="102">
        <f t="shared" si="0"/>
        <v>23219.7</v>
      </c>
      <c r="J79" s="92">
        <f t="shared" si="0"/>
        <v>1607.9</v>
      </c>
      <c r="K79" s="103">
        <f t="shared" si="1"/>
        <v>6.924723402972475</v>
      </c>
    </row>
    <row r="80" spans="1:11" ht="12.75">
      <c r="A80" s="99" t="s">
        <v>171</v>
      </c>
      <c r="B80" s="100" t="s">
        <v>172</v>
      </c>
      <c r="C80" s="90">
        <v>34447.2</v>
      </c>
      <c r="D80" s="90">
        <v>10081.1</v>
      </c>
      <c r="E80" s="90">
        <f t="shared" si="5"/>
        <v>29.265368447943523</v>
      </c>
      <c r="F80" s="101">
        <v>0</v>
      </c>
      <c r="G80" s="91">
        <v>0</v>
      </c>
      <c r="H80" s="101">
        <v>0</v>
      </c>
      <c r="I80" s="102">
        <f t="shared" si="0"/>
        <v>34447.2</v>
      </c>
      <c r="J80" s="92">
        <f t="shared" si="0"/>
        <v>10081.1</v>
      </c>
      <c r="K80" s="103">
        <f t="shared" si="1"/>
        <v>29.265368447943523</v>
      </c>
    </row>
    <row r="81" spans="1:11" ht="12.75">
      <c r="A81" s="93" t="s">
        <v>173</v>
      </c>
      <c r="B81" s="94" t="s">
        <v>174</v>
      </c>
      <c r="C81" s="95">
        <f>SUM(C82:C86)</f>
        <v>347190</v>
      </c>
      <c r="D81" s="95">
        <f>SUM(D82:D86)</f>
        <v>36382.4</v>
      </c>
      <c r="E81" s="95">
        <f>D81/C81*100</f>
        <v>10.479103660819725</v>
      </c>
      <c r="F81" s="97">
        <f>SUM(F82:F86)</f>
        <v>76680.3</v>
      </c>
      <c r="G81" s="97">
        <f>SUM(G82:G86)</f>
        <v>20379.2</v>
      </c>
      <c r="H81" s="96">
        <f>G81/F81*100</f>
        <v>26.57683916207944</v>
      </c>
      <c r="I81" s="97">
        <f>SUM(I82:I86)</f>
        <v>421369.9</v>
      </c>
      <c r="J81" s="97">
        <f>SUM(J82:J86)</f>
        <v>56504.600000000006</v>
      </c>
      <c r="K81" s="98">
        <f t="shared" si="1"/>
        <v>13.409738094723899</v>
      </c>
    </row>
    <row r="82" spans="1:11" ht="12.75">
      <c r="A82" s="99" t="s">
        <v>175</v>
      </c>
      <c r="B82" s="100" t="s">
        <v>176</v>
      </c>
      <c r="C82" s="90">
        <f>337050.7-C83-C84</f>
        <v>106773.60000000002</v>
      </c>
      <c r="D82" s="90">
        <f>33421.6-D83-D84</f>
        <v>14717.1</v>
      </c>
      <c r="E82" s="90">
        <f t="shared" si="5"/>
        <v>13.783463328013665</v>
      </c>
      <c r="F82" s="101">
        <v>70640.3</v>
      </c>
      <c r="G82" s="91">
        <v>20193.3</v>
      </c>
      <c r="H82" s="101">
        <f>G82/F82*100</f>
        <v>28.586090376173374</v>
      </c>
      <c r="I82" s="102">
        <f>C82+F82-2500.4</f>
        <v>174913.50000000003</v>
      </c>
      <c r="J82" s="92">
        <f>D82+G82-257</f>
        <v>34653.4</v>
      </c>
      <c r="K82" s="103">
        <f t="shared" si="1"/>
        <v>19.811735514983116</v>
      </c>
    </row>
    <row r="83" spans="1:11" ht="45">
      <c r="A83" s="117" t="s">
        <v>175</v>
      </c>
      <c r="B83" s="118" t="s">
        <v>177</v>
      </c>
      <c r="C83" s="90">
        <v>192525.4</v>
      </c>
      <c r="D83" s="90">
        <v>17025.6</v>
      </c>
      <c r="E83" s="90">
        <f t="shared" si="5"/>
        <v>8.843300676170522</v>
      </c>
      <c r="F83" s="101">
        <v>0</v>
      </c>
      <c r="G83" s="91">
        <v>0</v>
      </c>
      <c r="H83" s="101">
        <v>0</v>
      </c>
      <c r="I83" s="102">
        <f>C83+F83</f>
        <v>192525.4</v>
      </c>
      <c r="J83" s="92">
        <f>D83+G83</f>
        <v>17025.6</v>
      </c>
      <c r="K83" s="103">
        <f>J83/I83*100</f>
        <v>8.843300676170522</v>
      </c>
    </row>
    <row r="84" spans="1:11" ht="45">
      <c r="A84" s="117" t="s">
        <v>175</v>
      </c>
      <c r="B84" s="118" t="s">
        <v>178</v>
      </c>
      <c r="C84" s="90">
        <v>37751.7</v>
      </c>
      <c r="D84" s="90">
        <v>1678.9</v>
      </c>
      <c r="E84" s="90">
        <f t="shared" si="5"/>
        <v>4.447216946521614</v>
      </c>
      <c r="F84" s="101">
        <v>0</v>
      </c>
      <c r="G84" s="91">
        <v>0</v>
      </c>
      <c r="H84" s="101">
        <v>0</v>
      </c>
      <c r="I84" s="102">
        <f>C84+F84</f>
        <v>37751.7</v>
      </c>
      <c r="J84" s="92">
        <f>D84+G84</f>
        <v>1678.9</v>
      </c>
      <c r="K84" s="103">
        <f>J84/I84*100</f>
        <v>4.447216946521614</v>
      </c>
    </row>
    <row r="85" spans="1:11" ht="12.75">
      <c r="A85" s="99" t="s">
        <v>179</v>
      </c>
      <c r="B85" s="100" t="s">
        <v>180</v>
      </c>
      <c r="C85" s="90">
        <v>619</v>
      </c>
      <c r="D85" s="90">
        <v>289</v>
      </c>
      <c r="E85" s="90">
        <f t="shared" si="5"/>
        <v>46.68820678513732</v>
      </c>
      <c r="F85" s="101">
        <v>623</v>
      </c>
      <c r="G85" s="91">
        <v>185.9</v>
      </c>
      <c r="H85" s="101">
        <f>G85/F85*100</f>
        <v>29.839486356340288</v>
      </c>
      <c r="I85" s="102">
        <f aca="true" t="shared" si="7" ref="I85:J111">C85+F85</f>
        <v>1242</v>
      </c>
      <c r="J85" s="92">
        <f t="shared" si="7"/>
        <v>474.9</v>
      </c>
      <c r="K85" s="103">
        <f aca="true" t="shared" si="8" ref="K85:K116">J85/I85*100</f>
        <v>38.23671497584541</v>
      </c>
    </row>
    <row r="86" spans="1:11" ht="12.75">
      <c r="A86" s="99" t="s">
        <v>181</v>
      </c>
      <c r="B86" s="100" t="s">
        <v>182</v>
      </c>
      <c r="C86" s="90">
        <v>9520.3</v>
      </c>
      <c r="D86" s="90">
        <v>2671.8</v>
      </c>
      <c r="E86" s="90">
        <f t="shared" si="5"/>
        <v>28.06424167305653</v>
      </c>
      <c r="F86" s="101">
        <v>5417</v>
      </c>
      <c r="G86" s="91">
        <v>0</v>
      </c>
      <c r="H86" s="101">
        <f>G86/F86*100</f>
        <v>0</v>
      </c>
      <c r="I86" s="102">
        <f t="shared" si="7"/>
        <v>14937.3</v>
      </c>
      <c r="J86" s="92">
        <f t="shared" si="7"/>
        <v>2671.8</v>
      </c>
      <c r="K86" s="103">
        <f t="shared" si="8"/>
        <v>17.886766684742224</v>
      </c>
    </row>
    <row r="87" spans="1:11" ht="12.75">
      <c r="A87" s="93" t="s">
        <v>183</v>
      </c>
      <c r="B87" s="94" t="s">
        <v>184</v>
      </c>
      <c r="C87" s="95">
        <f>SUM(C88:C92)</f>
        <v>336625.5</v>
      </c>
      <c r="D87" s="95">
        <f>SUM(D88:D92)</f>
        <v>89041.2</v>
      </c>
      <c r="E87" s="95">
        <f>D87/C87*100</f>
        <v>26.451115557199316</v>
      </c>
      <c r="F87" s="97">
        <f>SUM(F88:F91)</f>
        <v>0</v>
      </c>
      <c r="G87" s="97">
        <f>SUM(G88:G91)</f>
        <v>0</v>
      </c>
      <c r="H87" s="96"/>
      <c r="I87" s="97">
        <f>C87+F87</f>
        <v>336625.5</v>
      </c>
      <c r="J87" s="97">
        <f t="shared" si="7"/>
        <v>89041.2</v>
      </c>
      <c r="K87" s="98">
        <f t="shared" si="8"/>
        <v>26.451115557199316</v>
      </c>
    </row>
    <row r="88" spans="1:11" ht="12.75">
      <c r="A88" s="99" t="s">
        <v>185</v>
      </c>
      <c r="B88" s="100" t="s">
        <v>186</v>
      </c>
      <c r="C88" s="90">
        <v>157037.1</v>
      </c>
      <c r="D88" s="90">
        <v>70188.2</v>
      </c>
      <c r="E88" s="90">
        <f t="shared" si="5"/>
        <v>44.69529811745122</v>
      </c>
      <c r="F88" s="101">
        <v>0</v>
      </c>
      <c r="G88" s="91">
        <v>0</v>
      </c>
      <c r="H88" s="101">
        <v>0</v>
      </c>
      <c r="I88" s="102">
        <f t="shared" si="7"/>
        <v>157037.1</v>
      </c>
      <c r="J88" s="92">
        <f t="shared" si="7"/>
        <v>70188.2</v>
      </c>
      <c r="K88" s="103">
        <f t="shared" si="8"/>
        <v>44.69529811745122</v>
      </c>
    </row>
    <row r="89" spans="1:11" ht="12.75">
      <c r="A89" s="99" t="s">
        <v>187</v>
      </c>
      <c r="B89" s="100" t="s">
        <v>188</v>
      </c>
      <c r="C89" s="90">
        <v>33177.1</v>
      </c>
      <c r="D89" s="90">
        <v>12811.6</v>
      </c>
      <c r="E89" s="90">
        <f t="shared" si="5"/>
        <v>38.61579221812636</v>
      </c>
      <c r="F89" s="101">
        <v>0</v>
      </c>
      <c r="G89" s="91">
        <v>0</v>
      </c>
      <c r="H89" s="101">
        <v>0</v>
      </c>
      <c r="I89" s="102">
        <f t="shared" si="7"/>
        <v>33177.1</v>
      </c>
      <c r="J89" s="92">
        <f t="shared" si="7"/>
        <v>12811.6</v>
      </c>
      <c r="K89" s="103">
        <f t="shared" si="8"/>
        <v>38.61579221812636</v>
      </c>
    </row>
    <row r="90" spans="1:11" ht="12.75">
      <c r="A90" s="104" t="s">
        <v>189</v>
      </c>
      <c r="B90" s="100" t="s">
        <v>190</v>
      </c>
      <c r="C90" s="90">
        <v>6669.4</v>
      </c>
      <c r="D90" s="90">
        <v>838.9</v>
      </c>
      <c r="E90" s="90">
        <f t="shared" si="5"/>
        <v>12.578342879419438</v>
      </c>
      <c r="F90" s="101">
        <v>0</v>
      </c>
      <c r="G90" s="91">
        <v>0</v>
      </c>
      <c r="H90" s="101">
        <v>0</v>
      </c>
      <c r="I90" s="102">
        <f t="shared" si="7"/>
        <v>6669.4</v>
      </c>
      <c r="J90" s="92">
        <f t="shared" si="7"/>
        <v>838.9</v>
      </c>
      <c r="K90" s="103">
        <f t="shared" si="8"/>
        <v>12.578342879419438</v>
      </c>
    </row>
    <row r="91" spans="1:11" ht="12.75">
      <c r="A91" s="104" t="s">
        <v>191</v>
      </c>
      <c r="B91" s="100" t="s">
        <v>192</v>
      </c>
      <c r="C91" s="90">
        <f>139741.9-C92</f>
        <v>18608</v>
      </c>
      <c r="D91" s="101">
        <v>5202.5</v>
      </c>
      <c r="E91" s="90">
        <f t="shared" si="5"/>
        <v>27.95840498710232</v>
      </c>
      <c r="F91" s="101">
        <v>0</v>
      </c>
      <c r="G91" s="91">
        <v>0</v>
      </c>
      <c r="H91" s="101">
        <v>0</v>
      </c>
      <c r="I91" s="102">
        <f t="shared" si="7"/>
        <v>18608</v>
      </c>
      <c r="J91" s="92">
        <f t="shared" si="7"/>
        <v>5202.5</v>
      </c>
      <c r="K91" s="103">
        <f t="shared" si="8"/>
        <v>27.95840498710232</v>
      </c>
    </row>
    <row r="92" spans="1:11" ht="22.5">
      <c r="A92" s="104" t="s">
        <v>191</v>
      </c>
      <c r="B92" s="118" t="s">
        <v>247</v>
      </c>
      <c r="C92" s="90">
        <v>121133.9</v>
      </c>
      <c r="D92" s="101">
        <v>0</v>
      </c>
      <c r="E92" s="90">
        <f t="shared" si="5"/>
        <v>0</v>
      </c>
      <c r="F92" s="101">
        <v>0</v>
      </c>
      <c r="G92" s="91">
        <v>0</v>
      </c>
      <c r="H92" s="101">
        <v>0</v>
      </c>
      <c r="I92" s="102">
        <f t="shared" si="7"/>
        <v>121133.9</v>
      </c>
      <c r="J92" s="92">
        <f t="shared" si="7"/>
        <v>0</v>
      </c>
      <c r="K92" s="103">
        <f t="shared" si="8"/>
        <v>0</v>
      </c>
    </row>
    <row r="93" spans="1:11" ht="12.75">
      <c r="A93" s="93">
        <v>10</v>
      </c>
      <c r="B93" s="94" t="s">
        <v>193</v>
      </c>
      <c r="C93" s="95">
        <f>SUM(C94:C103)</f>
        <v>129559.2</v>
      </c>
      <c r="D93" s="95">
        <f>SUM(D94:D103)</f>
        <v>29989.099999999995</v>
      </c>
      <c r="E93" s="95">
        <f>D93/C93*100</f>
        <v>23.147024680609324</v>
      </c>
      <c r="F93" s="95">
        <f>SUM(F94:F101)</f>
        <v>120</v>
      </c>
      <c r="G93" s="95">
        <f>SUM(G94:G101)</f>
        <v>30</v>
      </c>
      <c r="H93" s="96">
        <f>G93/F93*100</f>
        <v>25</v>
      </c>
      <c r="I93" s="95">
        <f>SUM(I94:I103)</f>
        <v>129679.2</v>
      </c>
      <c r="J93" s="95">
        <f>SUM(J94:J103)</f>
        <v>30019.099999999995</v>
      </c>
      <c r="K93" s="98">
        <f t="shared" si="8"/>
        <v>23.148739350643737</v>
      </c>
    </row>
    <row r="94" spans="1:11" ht="12.75">
      <c r="A94" s="104">
        <v>1001</v>
      </c>
      <c r="B94" s="100" t="s">
        <v>194</v>
      </c>
      <c r="C94" s="90">
        <v>3415</v>
      </c>
      <c r="D94" s="90">
        <v>1048.2</v>
      </c>
      <c r="E94" s="90">
        <f t="shared" si="5"/>
        <v>30.693997071742313</v>
      </c>
      <c r="F94" s="101">
        <v>120</v>
      </c>
      <c r="G94" s="91">
        <v>30</v>
      </c>
      <c r="H94" s="101">
        <f>G94/F94*100</f>
        <v>25</v>
      </c>
      <c r="I94" s="102">
        <f t="shared" si="7"/>
        <v>3535</v>
      </c>
      <c r="J94" s="92">
        <f t="shared" si="7"/>
        <v>1078.2</v>
      </c>
      <c r="K94" s="103">
        <f t="shared" si="8"/>
        <v>30.500707213578504</v>
      </c>
    </row>
    <row r="95" spans="1:11" ht="22.5">
      <c r="A95" s="104">
        <v>1003</v>
      </c>
      <c r="B95" s="100" t="s">
        <v>196</v>
      </c>
      <c r="C95" s="90">
        <f>1767.2+3384</f>
        <v>5151.2</v>
      </c>
      <c r="D95" s="90">
        <v>0</v>
      </c>
      <c r="E95" s="90">
        <f t="shared" si="5"/>
        <v>0</v>
      </c>
      <c r="F95" s="101">
        <v>0</v>
      </c>
      <c r="G95" s="91">
        <v>0</v>
      </c>
      <c r="H95" s="101">
        <v>0</v>
      </c>
      <c r="I95" s="102">
        <f t="shared" si="7"/>
        <v>5151.2</v>
      </c>
      <c r="J95" s="92">
        <f t="shared" si="7"/>
        <v>0</v>
      </c>
      <c r="K95" s="103">
        <f t="shared" si="8"/>
        <v>0</v>
      </c>
    </row>
    <row r="96" spans="1:11" ht="22.5">
      <c r="A96" s="104">
        <v>1003</v>
      </c>
      <c r="B96" s="100" t="s">
        <v>198</v>
      </c>
      <c r="C96" s="90">
        <v>12754.4</v>
      </c>
      <c r="D96" s="90">
        <v>1564</v>
      </c>
      <c r="E96" s="90">
        <f aca="true" t="shared" si="9" ref="E96:E114">D96/C96*100</f>
        <v>12.26243492441824</v>
      </c>
      <c r="F96" s="101">
        <v>0</v>
      </c>
      <c r="G96" s="91">
        <v>0</v>
      </c>
      <c r="H96" s="101">
        <v>0</v>
      </c>
      <c r="I96" s="102">
        <f t="shared" si="7"/>
        <v>12754.4</v>
      </c>
      <c r="J96" s="92">
        <f t="shared" si="7"/>
        <v>1564</v>
      </c>
      <c r="K96" s="103">
        <f t="shared" si="8"/>
        <v>12.26243492441824</v>
      </c>
    </row>
    <row r="97" spans="1:11" ht="22.5">
      <c r="A97" s="104">
        <v>1003</v>
      </c>
      <c r="B97" s="100" t="s">
        <v>199</v>
      </c>
      <c r="C97" s="90">
        <v>10694.9</v>
      </c>
      <c r="D97" s="90">
        <v>0</v>
      </c>
      <c r="E97" s="90">
        <f t="shared" si="9"/>
        <v>0</v>
      </c>
      <c r="F97" s="101">
        <v>0</v>
      </c>
      <c r="G97" s="91">
        <v>0</v>
      </c>
      <c r="H97" s="101">
        <v>0</v>
      </c>
      <c r="I97" s="102">
        <f t="shared" si="7"/>
        <v>10694.9</v>
      </c>
      <c r="J97" s="92">
        <f t="shared" si="7"/>
        <v>0</v>
      </c>
      <c r="K97" s="103">
        <f t="shared" si="8"/>
        <v>0</v>
      </c>
    </row>
    <row r="98" spans="1:11" ht="45">
      <c r="A98" s="104">
        <v>1004</v>
      </c>
      <c r="B98" s="100" t="s">
        <v>200</v>
      </c>
      <c r="C98" s="90">
        <v>9015</v>
      </c>
      <c r="D98" s="90">
        <v>2639</v>
      </c>
      <c r="E98" s="90">
        <f t="shared" si="9"/>
        <v>29.27343316694398</v>
      </c>
      <c r="F98" s="101">
        <v>0</v>
      </c>
      <c r="G98" s="91">
        <v>0</v>
      </c>
      <c r="H98" s="101">
        <v>0</v>
      </c>
      <c r="I98" s="102">
        <f t="shared" si="7"/>
        <v>9015</v>
      </c>
      <c r="J98" s="92">
        <f t="shared" si="7"/>
        <v>2639</v>
      </c>
      <c r="K98" s="103">
        <f t="shared" si="8"/>
        <v>29.27343316694398</v>
      </c>
    </row>
    <row r="99" spans="1:11" ht="33.75">
      <c r="A99" s="104">
        <v>1004</v>
      </c>
      <c r="B99" s="100" t="s">
        <v>248</v>
      </c>
      <c r="C99" s="90">
        <v>1348.7</v>
      </c>
      <c r="D99" s="90">
        <v>88.8</v>
      </c>
      <c r="E99" s="90">
        <f t="shared" si="9"/>
        <v>6.584118039593682</v>
      </c>
      <c r="F99" s="101">
        <v>0</v>
      </c>
      <c r="G99" s="101">
        <v>0</v>
      </c>
      <c r="H99" s="101">
        <v>0</v>
      </c>
      <c r="I99" s="102">
        <f t="shared" si="7"/>
        <v>1348.7</v>
      </c>
      <c r="J99" s="102">
        <f t="shared" si="7"/>
        <v>88.8</v>
      </c>
      <c r="K99" s="103">
        <f t="shared" si="8"/>
        <v>6.584118039593682</v>
      </c>
    </row>
    <row r="100" spans="1:11" ht="22.5">
      <c r="A100" s="104">
        <v>1004</v>
      </c>
      <c r="B100" s="100" t="s">
        <v>201</v>
      </c>
      <c r="C100" s="90">
        <v>57005</v>
      </c>
      <c r="D100" s="90">
        <v>19530.6</v>
      </c>
      <c r="E100" s="90">
        <f t="shared" si="9"/>
        <v>34.261205157442326</v>
      </c>
      <c r="F100" s="101">
        <v>0</v>
      </c>
      <c r="G100" s="91">
        <v>0</v>
      </c>
      <c r="H100" s="101">
        <v>0</v>
      </c>
      <c r="I100" s="102">
        <f t="shared" si="7"/>
        <v>57005</v>
      </c>
      <c r="J100" s="92">
        <f t="shared" si="7"/>
        <v>19530.6</v>
      </c>
      <c r="K100" s="103">
        <f t="shared" si="8"/>
        <v>34.261205157442326</v>
      </c>
    </row>
    <row r="101" spans="1:11" ht="12.75">
      <c r="A101" s="104">
        <v>1004</v>
      </c>
      <c r="B101" s="100" t="s">
        <v>195</v>
      </c>
      <c r="C101" s="90">
        <v>5658.6</v>
      </c>
      <c r="D101" s="90">
        <v>477.6</v>
      </c>
      <c r="E101" s="90">
        <f t="shared" si="9"/>
        <v>8.440250238574912</v>
      </c>
      <c r="F101" s="101">
        <v>0</v>
      </c>
      <c r="G101" s="91">
        <v>0</v>
      </c>
      <c r="H101" s="101">
        <v>0</v>
      </c>
      <c r="I101" s="102">
        <f t="shared" si="7"/>
        <v>5658.6</v>
      </c>
      <c r="J101" s="92">
        <f t="shared" si="7"/>
        <v>477.6</v>
      </c>
      <c r="K101" s="103">
        <f t="shared" si="8"/>
        <v>8.440250238574912</v>
      </c>
    </row>
    <row r="102" spans="1:11" ht="45">
      <c r="A102" s="104" t="s">
        <v>202</v>
      </c>
      <c r="B102" s="100" t="s">
        <v>197</v>
      </c>
      <c r="C102" s="90">
        <v>11959.2</v>
      </c>
      <c r="D102" s="90">
        <v>2274.3</v>
      </c>
      <c r="E102" s="90">
        <f>D102/C102*100</f>
        <v>19.01715833835039</v>
      </c>
      <c r="F102" s="101">
        <v>0</v>
      </c>
      <c r="G102" s="91">
        <v>0</v>
      </c>
      <c r="H102" s="101">
        <v>0</v>
      </c>
      <c r="I102" s="102">
        <f>C102+F102</f>
        <v>11959.2</v>
      </c>
      <c r="J102" s="92">
        <f>D102+G102</f>
        <v>2274.3</v>
      </c>
      <c r="K102" s="103">
        <f>J102/I102*100</f>
        <v>19.01715833835039</v>
      </c>
    </row>
    <row r="103" spans="1:11" ht="22.5">
      <c r="A103" s="104">
        <v>1006</v>
      </c>
      <c r="B103" s="100" t="s">
        <v>203</v>
      </c>
      <c r="C103" s="90">
        <v>12557.2</v>
      </c>
      <c r="D103" s="90">
        <v>2366.6</v>
      </c>
      <c r="E103" s="90">
        <f t="shared" si="9"/>
        <v>18.846558149906027</v>
      </c>
      <c r="F103" s="101">
        <v>0</v>
      </c>
      <c r="G103" s="91">
        <v>0</v>
      </c>
      <c r="H103" s="101">
        <v>0</v>
      </c>
      <c r="I103" s="102">
        <f t="shared" si="7"/>
        <v>12557.2</v>
      </c>
      <c r="J103" s="92">
        <f t="shared" si="7"/>
        <v>2366.6</v>
      </c>
      <c r="K103" s="103">
        <f t="shared" si="8"/>
        <v>18.846558149906027</v>
      </c>
    </row>
    <row r="104" spans="1:11" ht="12.75">
      <c r="A104" s="114">
        <v>1100</v>
      </c>
      <c r="B104" s="94" t="s">
        <v>204</v>
      </c>
      <c r="C104" s="95">
        <f>SUM(C105:C106)</f>
        <v>16764</v>
      </c>
      <c r="D104" s="95">
        <f>SUM(D105:D106)</f>
        <v>5140.1</v>
      </c>
      <c r="E104" s="95">
        <f>D104/C104*100</f>
        <v>30.66153662610356</v>
      </c>
      <c r="F104" s="97">
        <f>F105+F106</f>
        <v>9909</v>
      </c>
      <c r="G104" s="97">
        <f>G105+G106</f>
        <v>2373.3</v>
      </c>
      <c r="H104" s="96">
        <f>G104/F104*100</f>
        <v>23.950953678474114</v>
      </c>
      <c r="I104" s="97">
        <f>C104+F104</f>
        <v>26673</v>
      </c>
      <c r="J104" s="97">
        <f t="shared" si="7"/>
        <v>7513.400000000001</v>
      </c>
      <c r="K104" s="98">
        <f t="shared" si="8"/>
        <v>28.168559967007837</v>
      </c>
    </row>
    <row r="105" spans="1:11" ht="12.75">
      <c r="A105" s="104">
        <v>1101</v>
      </c>
      <c r="B105" s="100" t="s">
        <v>205</v>
      </c>
      <c r="C105" s="90">
        <v>13019</v>
      </c>
      <c r="D105" s="90">
        <v>3417.1</v>
      </c>
      <c r="E105" s="90">
        <f t="shared" si="9"/>
        <v>26.247023580920192</v>
      </c>
      <c r="F105" s="101">
        <v>9724</v>
      </c>
      <c r="G105" s="91">
        <v>2373.3</v>
      </c>
      <c r="H105" s="101">
        <f>G105/F105*100</f>
        <v>24.40662278897573</v>
      </c>
      <c r="I105" s="102">
        <f t="shared" si="7"/>
        <v>22743</v>
      </c>
      <c r="J105" s="102">
        <f t="shared" si="7"/>
        <v>5790.4</v>
      </c>
      <c r="K105" s="103">
        <f t="shared" si="8"/>
        <v>25.460141582025237</v>
      </c>
    </row>
    <row r="106" spans="1:11" ht="12.75">
      <c r="A106" s="104">
        <v>1102</v>
      </c>
      <c r="B106" s="100" t="s">
        <v>206</v>
      </c>
      <c r="C106" s="90">
        <v>3745</v>
      </c>
      <c r="D106" s="90">
        <v>1723</v>
      </c>
      <c r="E106" s="90">
        <f t="shared" si="9"/>
        <v>46.00801068090788</v>
      </c>
      <c r="F106" s="101">
        <v>185</v>
      </c>
      <c r="G106" s="91">
        <v>0</v>
      </c>
      <c r="H106" s="101">
        <v>0</v>
      </c>
      <c r="I106" s="102">
        <f t="shared" si="7"/>
        <v>3930</v>
      </c>
      <c r="J106" s="102">
        <f t="shared" si="7"/>
        <v>1723</v>
      </c>
      <c r="K106" s="103">
        <f t="shared" si="8"/>
        <v>43.842239185750635</v>
      </c>
    </row>
    <row r="107" spans="1:11" ht="12.75">
      <c r="A107" s="114">
        <v>1200</v>
      </c>
      <c r="B107" s="94" t="s">
        <v>207</v>
      </c>
      <c r="C107" s="95">
        <f>C109+C108</f>
        <v>9360</v>
      </c>
      <c r="D107" s="95">
        <f>D109+D108</f>
        <v>4600</v>
      </c>
      <c r="E107" s="95">
        <f>E109</f>
        <v>50</v>
      </c>
      <c r="F107" s="95">
        <f>F109+F108</f>
        <v>0</v>
      </c>
      <c r="G107" s="95">
        <f>G109+G108</f>
        <v>0</v>
      </c>
      <c r="H107" s="105">
        <f>H109</f>
        <v>0</v>
      </c>
      <c r="I107" s="95">
        <f t="shared" si="7"/>
        <v>9360</v>
      </c>
      <c r="J107" s="95">
        <f t="shared" si="7"/>
        <v>4600</v>
      </c>
      <c r="K107" s="106">
        <f t="shared" si="8"/>
        <v>49.14529914529914</v>
      </c>
    </row>
    <row r="108" spans="1:11" ht="12.75">
      <c r="A108" s="104" t="s">
        <v>208</v>
      </c>
      <c r="B108" s="100" t="s">
        <v>209</v>
      </c>
      <c r="C108" s="90">
        <v>3660</v>
      </c>
      <c r="D108" s="90">
        <v>1750</v>
      </c>
      <c r="E108" s="90">
        <f>D108/C108*100</f>
        <v>47.81420765027322</v>
      </c>
      <c r="F108" s="101">
        <v>0</v>
      </c>
      <c r="G108" s="91">
        <v>0</v>
      </c>
      <c r="H108" s="101">
        <v>0</v>
      </c>
      <c r="I108" s="102">
        <f>C108+F108</f>
        <v>3660</v>
      </c>
      <c r="J108" s="102">
        <f>D108+G108</f>
        <v>1750</v>
      </c>
      <c r="K108" s="103">
        <f>J108/I108*100</f>
        <v>47.81420765027322</v>
      </c>
    </row>
    <row r="109" spans="1:11" ht="12.75">
      <c r="A109" s="104">
        <v>1202</v>
      </c>
      <c r="B109" s="100" t="s">
        <v>210</v>
      </c>
      <c r="C109" s="90">
        <v>5700</v>
      </c>
      <c r="D109" s="90">
        <v>2850</v>
      </c>
      <c r="E109" s="90">
        <f t="shared" si="9"/>
        <v>50</v>
      </c>
      <c r="F109" s="101">
        <v>0</v>
      </c>
      <c r="G109" s="91">
        <v>0</v>
      </c>
      <c r="H109" s="101">
        <v>0</v>
      </c>
      <c r="I109" s="102">
        <f t="shared" si="7"/>
        <v>5700</v>
      </c>
      <c r="J109" s="102">
        <f t="shared" si="7"/>
        <v>2850</v>
      </c>
      <c r="K109" s="103">
        <f t="shared" si="8"/>
        <v>50</v>
      </c>
    </row>
    <row r="110" spans="1:11" ht="12.75">
      <c r="A110" s="114">
        <v>1300</v>
      </c>
      <c r="B110" s="94" t="s">
        <v>211</v>
      </c>
      <c r="C110" s="95">
        <f aca="true" t="shared" si="10" ref="C110:H110">C111</f>
        <v>1000</v>
      </c>
      <c r="D110" s="95">
        <f t="shared" si="10"/>
        <v>362.3</v>
      </c>
      <c r="E110" s="95">
        <f t="shared" si="10"/>
        <v>36.230000000000004</v>
      </c>
      <c r="F110" s="95">
        <f t="shared" si="10"/>
        <v>0</v>
      </c>
      <c r="G110" s="95">
        <f t="shared" si="10"/>
        <v>0</v>
      </c>
      <c r="H110" s="105">
        <f t="shared" si="10"/>
        <v>0</v>
      </c>
      <c r="I110" s="95">
        <f t="shared" si="7"/>
        <v>1000</v>
      </c>
      <c r="J110" s="95">
        <f t="shared" si="7"/>
        <v>362.3</v>
      </c>
      <c r="K110" s="106">
        <f t="shared" si="8"/>
        <v>36.230000000000004</v>
      </c>
    </row>
    <row r="111" spans="1:11" ht="22.5">
      <c r="A111" s="104">
        <v>1301</v>
      </c>
      <c r="B111" s="100" t="s">
        <v>212</v>
      </c>
      <c r="C111" s="90">
        <v>1000</v>
      </c>
      <c r="D111" s="90">
        <v>362.3</v>
      </c>
      <c r="E111" s="90">
        <f t="shared" si="9"/>
        <v>36.230000000000004</v>
      </c>
      <c r="F111" s="101"/>
      <c r="G111" s="91">
        <v>0</v>
      </c>
      <c r="H111" s="101">
        <v>0</v>
      </c>
      <c r="I111" s="102">
        <f t="shared" si="7"/>
        <v>1000</v>
      </c>
      <c r="J111" s="102">
        <f t="shared" si="7"/>
        <v>362.3</v>
      </c>
      <c r="K111" s="103">
        <f t="shared" si="8"/>
        <v>36.230000000000004</v>
      </c>
    </row>
    <row r="112" spans="1:11" ht="12.75">
      <c r="A112" s="114">
        <v>1400</v>
      </c>
      <c r="B112" s="94" t="s">
        <v>213</v>
      </c>
      <c r="C112" s="95">
        <f>SUM(C113:C114)</f>
        <v>301583.19999999995</v>
      </c>
      <c r="D112" s="95">
        <f>SUM(D113:D114)</f>
        <v>91545.6</v>
      </c>
      <c r="E112" s="95">
        <f>D112/C112*100</f>
        <v>30.3550065122991</v>
      </c>
      <c r="F112" s="97">
        <f>F113+F114+F115</f>
        <v>29331.5</v>
      </c>
      <c r="G112" s="97">
        <f>SUM(G113:G115)</f>
        <v>5725.2</v>
      </c>
      <c r="H112" s="97">
        <f>G112/F112*100</f>
        <v>19.518947206927706</v>
      </c>
      <c r="I112" s="97">
        <v>0</v>
      </c>
      <c r="J112" s="97">
        <v>0</v>
      </c>
      <c r="K112" s="98">
        <v>0</v>
      </c>
    </row>
    <row r="113" spans="1:11" ht="22.5">
      <c r="A113" s="104">
        <v>1401</v>
      </c>
      <c r="B113" s="100" t="s">
        <v>214</v>
      </c>
      <c r="C113" s="90">
        <v>99098.4</v>
      </c>
      <c r="D113" s="90">
        <v>25406.3</v>
      </c>
      <c r="E113" s="90">
        <f t="shared" si="9"/>
        <v>25.637447224173144</v>
      </c>
      <c r="F113" s="101">
        <v>0</v>
      </c>
      <c r="G113" s="91">
        <v>0</v>
      </c>
      <c r="H113" s="101">
        <v>0</v>
      </c>
      <c r="I113" s="102">
        <v>0</v>
      </c>
      <c r="J113" s="92">
        <v>0</v>
      </c>
      <c r="K113" s="103">
        <v>0</v>
      </c>
    </row>
    <row r="114" spans="1:11" ht="12.75">
      <c r="A114" s="104">
        <v>1402</v>
      </c>
      <c r="B114" s="100" t="s">
        <v>215</v>
      </c>
      <c r="C114" s="90">
        <v>202484.8</v>
      </c>
      <c r="D114" s="90">
        <v>66139.3</v>
      </c>
      <c r="E114" s="90">
        <f t="shared" si="9"/>
        <v>32.663834519924464</v>
      </c>
      <c r="F114" s="101">
        <v>0</v>
      </c>
      <c r="G114" s="91">
        <v>0</v>
      </c>
      <c r="H114" s="101">
        <v>0</v>
      </c>
      <c r="I114" s="102">
        <v>0</v>
      </c>
      <c r="J114" s="92">
        <v>0</v>
      </c>
      <c r="K114" s="103">
        <v>0</v>
      </c>
    </row>
    <row r="115" spans="1:11" ht="12.75">
      <c r="A115" s="104">
        <v>1403</v>
      </c>
      <c r="B115" s="100" t="s">
        <v>216</v>
      </c>
      <c r="C115" s="90"/>
      <c r="D115" s="90"/>
      <c r="E115" s="90">
        <v>0</v>
      </c>
      <c r="F115" s="101">
        <v>29331.5</v>
      </c>
      <c r="G115" s="91">
        <v>5725.2</v>
      </c>
      <c r="H115" s="101">
        <f>G115/F115*100</f>
        <v>19.518947206927706</v>
      </c>
      <c r="I115" s="102">
        <v>0</v>
      </c>
      <c r="J115" s="92">
        <f>D115+G115-5725.2</f>
        <v>0</v>
      </c>
      <c r="K115" s="103">
        <v>0</v>
      </c>
    </row>
    <row r="116" spans="1:11" ht="13.5" thickBot="1">
      <c r="A116" s="179" t="s">
        <v>217</v>
      </c>
      <c r="B116" s="180"/>
      <c r="C116" s="119">
        <f>C9+C18+C20+C25+C43+C66+C68+C81+C87+C93+C104+C107+C110+C112</f>
        <v>4406067.300000001</v>
      </c>
      <c r="D116" s="119">
        <f>D112+D110+D107+D104+D93+D87+D81+D68+D66+D43+D25+D20+D18+D9</f>
        <v>894361.6</v>
      </c>
      <c r="E116" s="119">
        <f>D116/C116*100</f>
        <v>20.29840987676243</v>
      </c>
      <c r="F116" s="119">
        <f>F9+F18+F20+F25+F43+F66+F68+F81+F87+F93+F104+F107+F110+F112</f>
        <v>531294.5</v>
      </c>
      <c r="G116" s="119">
        <f>G112+G110+G107+G93+G87+G81+G68+G43+G25+G21+G18+G9+G20+G104</f>
        <v>112151.8</v>
      </c>
      <c r="H116" s="120">
        <f>G116/F116*100</f>
        <v>21.109158856340503</v>
      </c>
      <c r="I116" s="119">
        <f>I112+I110+I107+I104+I93+I87+I81+I68+I66+I43+I25+I20+I18+I9</f>
        <v>4504657.5</v>
      </c>
      <c r="J116" s="119">
        <f>J112+J110+J107+J104+J93+J87+J81+J68+J66+J43+J25+J20+J18+J9</f>
        <v>875863.9999999999</v>
      </c>
      <c r="K116" s="121">
        <f t="shared" si="8"/>
        <v>19.443520400829584</v>
      </c>
    </row>
    <row r="117" spans="1:11" ht="12.75">
      <c r="A117" s="122"/>
      <c r="B117" s="123"/>
      <c r="C117" s="124"/>
      <c r="D117" s="84"/>
      <c r="E117" s="125"/>
      <c r="F117" s="86"/>
      <c r="G117" s="87"/>
      <c r="H117" s="87"/>
      <c r="I117" s="89"/>
      <c r="J117" s="89"/>
      <c r="K117" s="89"/>
    </row>
    <row r="118" spans="1:11" ht="12.75">
      <c r="A118" s="126"/>
      <c r="B118" s="127"/>
      <c r="C118" s="128"/>
      <c r="D118" s="129"/>
      <c r="E118" s="125"/>
      <c r="F118" s="86"/>
      <c r="G118" s="87"/>
      <c r="H118" s="87"/>
      <c r="I118" s="88"/>
      <c r="J118" s="88"/>
      <c r="K118" s="89"/>
    </row>
    <row r="119" spans="1:11" ht="12.75">
      <c r="A119" s="126"/>
      <c r="B119" s="127"/>
      <c r="C119" s="128"/>
      <c r="D119" s="129"/>
      <c r="E119" s="125"/>
      <c r="F119" s="86"/>
      <c r="G119" s="87"/>
      <c r="H119" s="87"/>
      <c r="I119" s="88"/>
      <c r="J119" s="88"/>
      <c r="K119" s="89"/>
    </row>
    <row r="120" spans="1:11" ht="12.75">
      <c r="A120" s="126"/>
      <c r="B120" s="127"/>
      <c r="C120" s="128"/>
      <c r="D120" s="129"/>
      <c r="E120" s="125"/>
      <c r="F120" s="86"/>
      <c r="G120" s="87"/>
      <c r="H120" s="87"/>
      <c r="I120" s="88"/>
      <c r="J120" s="88"/>
      <c r="K120" s="89"/>
    </row>
    <row r="121" spans="1:11" ht="12.75">
      <c r="A121" s="126"/>
      <c r="B121" s="127"/>
      <c r="C121" s="128"/>
      <c r="D121" s="129"/>
      <c r="E121" s="125"/>
      <c r="F121" s="86"/>
      <c r="G121" s="87"/>
      <c r="H121" s="87"/>
      <c r="I121" s="88"/>
      <c r="J121" s="88"/>
      <c r="K121" s="89"/>
    </row>
    <row r="122" spans="1:11" ht="12.75">
      <c r="A122" s="153" t="s">
        <v>231</v>
      </c>
      <c r="B122" s="153"/>
      <c r="C122" s="153"/>
      <c r="D122" s="86"/>
      <c r="E122" s="87"/>
      <c r="F122" s="87"/>
      <c r="G122" s="87"/>
      <c r="H122" s="87"/>
      <c r="I122" s="89"/>
      <c r="J122" s="89"/>
      <c r="K122" s="89"/>
    </row>
    <row r="123" spans="1:11" ht="13.5" customHeight="1">
      <c r="A123" s="153" t="s">
        <v>232</v>
      </c>
      <c r="B123" s="153"/>
      <c r="C123" s="153"/>
      <c r="D123" s="130"/>
      <c r="E123" s="155" t="s">
        <v>233</v>
      </c>
      <c r="F123" s="155"/>
      <c r="G123" s="87"/>
      <c r="H123" s="87"/>
      <c r="I123" s="88"/>
      <c r="J123" s="89"/>
      <c r="K123" s="89"/>
    </row>
    <row r="124" spans="1:11" ht="12.75">
      <c r="A124" s="131"/>
      <c r="B124" s="123"/>
      <c r="C124" s="124"/>
      <c r="D124" s="84"/>
      <c r="E124" s="132"/>
      <c r="F124" s="133"/>
      <c r="G124" s="87"/>
      <c r="H124" s="87"/>
      <c r="I124" s="88"/>
      <c r="J124" s="89"/>
      <c r="K124" s="89"/>
    </row>
    <row r="125" spans="1:11" ht="12.75">
      <c r="A125" s="153" t="s">
        <v>218</v>
      </c>
      <c r="B125" s="153"/>
      <c r="C125" s="153"/>
      <c r="D125" s="134"/>
      <c r="E125" s="155" t="s">
        <v>219</v>
      </c>
      <c r="F125" s="155"/>
      <c r="G125" s="87"/>
      <c r="H125" s="87"/>
      <c r="I125" s="88"/>
      <c r="J125" s="89"/>
      <c r="K125" s="89"/>
    </row>
    <row r="126" spans="1:11" ht="12.75">
      <c r="A126" s="131"/>
      <c r="B126" s="127"/>
      <c r="C126" s="128"/>
      <c r="D126" s="129"/>
      <c r="E126" s="132"/>
      <c r="F126" s="133"/>
      <c r="G126" s="87"/>
      <c r="H126" s="87"/>
      <c r="I126" s="88"/>
      <c r="J126" s="89"/>
      <c r="K126" s="89"/>
    </row>
    <row r="127" spans="1:11" ht="13.5" customHeight="1">
      <c r="A127" s="153" t="s">
        <v>249</v>
      </c>
      <c r="B127" s="153"/>
      <c r="C127" s="153"/>
      <c r="D127" s="134"/>
      <c r="E127" s="154" t="s">
        <v>250</v>
      </c>
      <c r="F127" s="154"/>
      <c r="G127" s="87"/>
      <c r="H127" s="87"/>
      <c r="I127" s="88"/>
      <c r="J127" s="89"/>
      <c r="K127" s="89"/>
    </row>
    <row r="128" spans="1:11" ht="12.75">
      <c r="A128" s="135"/>
      <c r="B128" s="136" t="s">
        <v>251</v>
      </c>
      <c r="C128" s="137"/>
      <c r="D128" s="86"/>
      <c r="E128" s="86"/>
      <c r="F128" s="87"/>
      <c r="G128" s="87"/>
      <c r="H128" s="87"/>
      <c r="I128" s="89"/>
      <c r="J128" s="89"/>
      <c r="K128" s="89"/>
    </row>
    <row r="129" spans="1:11" ht="12.75">
      <c r="A129" s="153" t="s">
        <v>231</v>
      </c>
      <c r="B129" s="153"/>
      <c r="C129" s="153"/>
      <c r="D129" s="86"/>
      <c r="E129" s="87"/>
      <c r="F129" s="87"/>
      <c r="G129" s="87"/>
      <c r="H129" s="87"/>
      <c r="I129" s="89"/>
      <c r="J129" s="89"/>
      <c r="K129" s="89"/>
    </row>
    <row r="130" spans="1:11" ht="12.75">
      <c r="A130" s="153" t="s">
        <v>232</v>
      </c>
      <c r="B130" s="153"/>
      <c r="C130" s="153"/>
      <c r="D130" s="130"/>
      <c r="E130" s="155" t="s">
        <v>233</v>
      </c>
      <c r="F130" s="155"/>
      <c r="G130" s="87"/>
      <c r="H130" s="87"/>
      <c r="I130" s="88"/>
      <c r="J130" s="89"/>
      <c r="K130" s="89"/>
    </row>
    <row r="131" spans="1:11" ht="12.75">
      <c r="A131" s="131"/>
      <c r="B131" s="123"/>
      <c r="C131" s="124"/>
      <c r="D131" s="84"/>
      <c r="E131" s="132"/>
      <c r="F131" s="133"/>
      <c r="G131" s="87"/>
      <c r="H131" s="87"/>
      <c r="I131" s="88"/>
      <c r="J131" s="89"/>
      <c r="K131" s="89"/>
    </row>
    <row r="132" spans="1:11" ht="12.75">
      <c r="A132" s="153" t="s">
        <v>218</v>
      </c>
      <c r="B132" s="153"/>
      <c r="C132" s="153"/>
      <c r="D132" s="134"/>
      <c r="E132" s="155" t="s">
        <v>219</v>
      </c>
      <c r="F132" s="155"/>
      <c r="G132" s="87"/>
      <c r="H132" s="87"/>
      <c r="I132" s="88"/>
      <c r="J132" s="89"/>
      <c r="K132" s="89"/>
    </row>
    <row r="133" spans="1:11" ht="12.75" customHeight="1">
      <c r="A133" s="131"/>
      <c r="B133" s="127"/>
      <c r="C133" s="128"/>
      <c r="D133" s="129"/>
      <c r="E133" s="132"/>
      <c r="F133" s="133"/>
      <c r="G133" s="87"/>
      <c r="H133" s="87"/>
      <c r="I133" s="88"/>
      <c r="J133" s="89"/>
      <c r="K133" s="89"/>
    </row>
    <row r="134" spans="1:11" ht="12.75" customHeight="1">
      <c r="A134" s="153" t="s">
        <v>220</v>
      </c>
      <c r="B134" s="153"/>
      <c r="C134" s="153"/>
      <c r="D134" s="134"/>
      <c r="E134" s="154" t="s">
        <v>221</v>
      </c>
      <c r="F134" s="154"/>
      <c r="G134" s="87"/>
      <c r="H134" s="87"/>
      <c r="I134" s="88"/>
      <c r="J134" s="89"/>
      <c r="K134" s="89"/>
    </row>
    <row r="135" spans="1:11" ht="12.75">
      <c r="A135" s="135"/>
      <c r="B135" s="136" t="s">
        <v>234</v>
      </c>
      <c r="C135" s="137"/>
      <c r="D135" s="86"/>
      <c r="E135" s="86"/>
      <c r="F135" s="87"/>
      <c r="G135" s="87"/>
      <c r="H135" s="87"/>
      <c r="I135" s="89"/>
      <c r="J135" s="89"/>
      <c r="K135" s="89"/>
    </row>
    <row r="136" spans="1:11" ht="12.75">
      <c r="A136" s="153"/>
      <c r="B136" s="153"/>
      <c r="C136" s="153"/>
      <c r="D136" s="134"/>
      <c r="E136" s="155"/>
      <c r="F136" s="155"/>
      <c r="G136" s="87"/>
      <c r="H136" s="87"/>
      <c r="I136" s="88"/>
      <c r="J136" s="89"/>
      <c r="K136" s="89"/>
    </row>
    <row r="137" spans="1:11" ht="12.75">
      <c r="A137" s="131"/>
      <c r="B137" s="127"/>
      <c r="C137" s="128"/>
      <c r="D137" s="129"/>
      <c r="E137" s="132"/>
      <c r="F137" s="133"/>
      <c r="G137" s="87"/>
      <c r="H137" s="87"/>
      <c r="I137" s="88"/>
      <c r="J137" s="89"/>
      <c r="K137" s="89"/>
    </row>
    <row r="138" spans="1:11" ht="12.75">
      <c r="A138" s="153"/>
      <c r="B138" s="153"/>
      <c r="C138" s="153"/>
      <c r="D138" s="134"/>
      <c r="E138" s="154"/>
      <c r="F138" s="154"/>
      <c r="G138" s="87"/>
      <c r="H138" s="87"/>
      <c r="I138" s="88"/>
      <c r="J138" s="89"/>
      <c r="K138" s="89"/>
    </row>
    <row r="139" spans="1:11" ht="12.75">
      <c r="A139" s="135"/>
      <c r="B139" s="136"/>
      <c r="C139" s="137"/>
      <c r="D139" s="86"/>
      <c r="E139" s="86"/>
      <c r="F139" s="87"/>
      <c r="G139" s="87"/>
      <c r="H139" s="87"/>
      <c r="I139" s="89"/>
      <c r="J139" s="89"/>
      <c r="K139" s="89"/>
    </row>
  </sheetData>
  <sheetProtection/>
  <mergeCells count="46">
    <mergeCell ref="E123:F123"/>
    <mergeCell ref="A125:C125"/>
    <mergeCell ref="E125:F125"/>
    <mergeCell ref="A127:C127"/>
    <mergeCell ref="E127:F127"/>
    <mergeCell ref="D4:D5"/>
    <mergeCell ref="A129:C129"/>
    <mergeCell ref="A130:C130"/>
    <mergeCell ref="E130:F130"/>
    <mergeCell ref="A132:C132"/>
    <mergeCell ref="E132:F132"/>
    <mergeCell ref="A116:B116"/>
    <mergeCell ref="A122:C122"/>
    <mergeCell ref="A123:C123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H4:H5"/>
    <mergeCell ref="I4:I5"/>
    <mergeCell ref="J4:J5"/>
    <mergeCell ref="E4:E5"/>
    <mergeCell ref="F4:F5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A134:C134"/>
    <mergeCell ref="E134:F134"/>
    <mergeCell ref="A136:C136"/>
    <mergeCell ref="E136:F136"/>
    <mergeCell ref="A138:C138"/>
    <mergeCell ref="E138:F13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2012-05-22T10:10:03Z</dcterms:modified>
  <cp:category/>
  <cp:version/>
  <cp:contentType/>
  <cp:contentStatus/>
</cp:coreProperties>
</file>