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<sst xmlns="http://schemas.openxmlformats.org/spreadsheetml/2006/main" count="630" uniqueCount="242">
  <si>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</si>
  <si>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</si>
  <si>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</si>
  <si>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</si>
  <si>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</si>
  <si>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</si>
  <si>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</si>
  <si>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</si>
  <si>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</si>
  <si>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</si>
  <si>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</si>
  <si>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</si>
  <si>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</si>
  <si>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</si>
  <si>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</si>
  <si>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</si>
  <si>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</si>
  <si>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</si>
  <si>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</si>
  <si>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</si>
  <si>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</si>
  <si>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</si>
  <si>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</si>
  <si>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</si>
  <si>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</si>
  <si>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</si>
  <si>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</si>
  <si>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</si>
  <si>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</si>
  <si>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</si>
  <si>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</si>
  <si>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</si>
  <si>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</si>
  <si>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</si>
  <si>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</si>
  <si>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</si>
  <si>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</si>
  <si>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</si>
  <si>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</si>
  <si>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</si>
  <si>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</si>
  <si>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</si>
  <si>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</si>
  <si>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</si>
  <si>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</si>
  <si>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</si>
  <si>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</si>
  <si>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</si>
  <si>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</si>
  <si>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</si>
  <si>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</si>
  <si>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</si>
  <si>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</si>
  <si>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</si>
  <si>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</si>
  <si>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</si>
  <si>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</si>
  <si>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</si>
  <si>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</si>
  <si>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</si>
  <si>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</si>
  <si>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</si>
  <si>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</si>
  <si>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</si>
  <si>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</si>
  <si>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</si>
  <si>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</si>
  <si>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</si>
  <si>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</si>
  <si>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</si>
  <si>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</si>
  <si>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</si>
  <si>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</si>
  <si>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</si>
  <si>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</si>
  <si>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</si>
  <si>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</si>
  <si>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</si>
  <si>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</si>
  <si>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</si>
  <si>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</si>
  <si>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</si>
  <si>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</si>
  <si>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</si>
  <si>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</si>
  <si>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</si>
  <si>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</si>
  <si>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</si>
  <si>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</si>
  <si>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</si>
  <si>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</si>
  <si>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</si>
  <si>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</si>
  <si>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</si>
  <si>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</si>
  <si>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</si>
  <si>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</si>
  <si>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</si>
  <si>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</si>
  <si>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</si>
  <si>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</si>
  <si>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</si>
  <si>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</si>
  <si>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</si>
  <si>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</si>
  <si>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</si>
  <si>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</si>
  <si>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</si>
  <si>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</si>
  <si>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</si>
  <si>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</si>
  <si>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</si>
  <si>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</si>
  <si>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</si>
  <si>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</si>
  <si>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</si>
  <si>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</si>
  <si>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</si>
  <si>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</si>
  <si>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</si>
  <si>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</si>
  <si>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</si>
  <si>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</si>
  <si>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</si>
  <si>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</si>
  <si>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Иные межбюджетные трансферты на финансирование наказов избирателей депутатам Думы ХМАО-Югры  (4120085160)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</si>
  <si>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</si>
  <si>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</si>
  <si>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</si>
  <si>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</si>
  <si>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</si>
  <si>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</si>
  <si>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</si>
  <si>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</si>
  <si>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</si>
  <si>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</si>
  <si>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</si>
  <si>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</si>
  <si>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</si>
  <si>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</si>
  <si>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</si>
  <si>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</si>
  <si>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</si>
  <si>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</si>
  <si>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</si>
  <si>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</si>
  <si>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</si>
  <si>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</si>
  <si>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</si>
  <si>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</si>
  <si>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</si>
  <si>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</si>
  <si>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</si>
  <si>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</si>
  <si>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</si>
  <si>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</si>
  <si>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</si>
  <si>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</si>
  <si>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</si>
  <si>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</si>
  <si>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</si>
  <si>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</si>
  <si>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</si>
  <si>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</si>
  <si>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</si>
  <si>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</si>
  <si>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</si>
  <si>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</si>
  <si>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</si>
  <si>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</si>
  <si>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</si>
  <si>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</si>
  <si>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</si>
  <si>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</si>
  <si>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</si>
  <si>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</si>
  <si>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</si>
  <si>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</si>
  <si>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</si>
  <si>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</si>
  <si>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</si>
  <si>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</si>
  <si>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</si>
  <si>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</si>
  <si>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</si>
  <si>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</si>
  <si>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</si>
  <si>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</si>
  <si>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</si>
  <si>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</si>
  <si>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</si>
  <si>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</si>
  <si>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</si>
  <si>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</si>
  <si>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</si>
  <si>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</si>
  <si>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</si>
  <si>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</si>
  <si>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</si>
  <si>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</si>
  <si>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</si>
  <si>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</si>
  <si>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Заведующий отделом учета исполнения бюджета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</si>
  <si>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</si>
  <si>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Культура и кинематография</t>
  </si>
  <si>
    <t>Отчет об исполнении консолидированного бюджета Октябрьского района по состоянию на 01.03.2017</t>
  </si>
  <si>
    <t>План на 2017 год</t>
  </si>
  <si>
    <t>План                 на 1 квартал 2017 года</t>
  </si>
  <si>
    <t>1 квартал</t>
  </si>
  <si>
    <t>2 квартал</t>
  </si>
  <si>
    <t>3 квартал</t>
  </si>
  <si>
    <t>4 квартал</t>
  </si>
  <si>
    <t>Исполнение на 01.03.2017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</si>
  <si>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</si>
  <si>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</si>
  <si>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</si>
  <si>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</si>
  <si>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</si>
  <si>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2017 года </t>
  </si>
  <si>
    <t xml:space="preserve">% исп-ия к плану на 2017год </t>
  </si>
  <si>
    <t>105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</si>
  <si>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</si>
  <si>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</si>
  <si>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</si>
  <si>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</si>
  <si>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</si>
  <si>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</si>
  <si>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</si>
  <si>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</si>
  <si>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</si>
  <si>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</si>
  <si>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</si>
  <si>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марта 2017 года</t>
  </si>
  <si>
    <t>исполнение на 01.03.2017</t>
  </si>
  <si>
    <t>исполнения на 01.03.2017</t>
  </si>
  <si>
    <t>Строительство и реконструкция  объектов  муниципальной  собственности  (0910342110)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</si>
  <si>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</si>
  <si>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</si>
  <si>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</si>
  <si>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</si>
  <si>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</si>
  <si>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Подпрограмма "Библиотечное дело" (0310182520, 03101S2520)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</si>
</sst>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 wrapText="1"/>
      <protection/>
    </xf>
    <xf numFmtId="171" fontId="57" fillId="0" borderId="0" xfId="53" applyNumberFormat="1" applyFont="1" applyFill="1" applyAlignment="1">
      <alignment horizontal="center" vertical="center" wrapText="1"/>
      <protection/>
    </xf>
    <xf numFmtId="171" fontId="9" fillId="0" borderId="0" xfId="53" applyNumberFormat="1" applyFont="1" applyFill="1" applyBorder="1" applyAlignment="1">
      <alignment horizontal="center" vertical="center" wrapText="1"/>
      <protection/>
    </xf>
    <xf numFmtId="171" fontId="9" fillId="0" borderId="0" xfId="53" applyNumberFormat="1" applyFont="1" applyFill="1" applyAlignment="1">
      <alignment horizontal="center" vertical="center" wrapText="1"/>
      <protection/>
    </xf>
    <xf numFmtId="171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2" fillId="34" borderId="16" xfId="0" applyNumberFormat="1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 quotePrefix="1">
      <alignment horizontal="center" vertical="center" wrapText="1"/>
      <protection/>
    </xf>
    <xf numFmtId="0" fontId="11" fillId="0" borderId="16" xfId="53" applyNumberFormat="1" applyFont="1" applyFill="1" applyBorder="1" applyAlignment="1">
      <alignment horizontal="left" vertical="center" wrapText="1"/>
      <protection/>
    </xf>
    <xf numFmtId="171" fontId="12" fillId="0" borderId="16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3" fillId="0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171" fontId="12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8" xfId="53" applyNumberFormat="1" applyFont="1" applyFill="1" applyBorder="1" applyAlignment="1">
      <alignment horizontal="center" vertical="center" wrapText="1"/>
      <protection/>
    </xf>
    <xf numFmtId="0" fontId="11" fillId="35" borderId="16" xfId="53" applyNumberFormat="1" applyFont="1" applyFill="1" applyBorder="1" applyAlignment="1">
      <alignment horizontal="left" vertical="center" wrapText="1"/>
      <protection/>
    </xf>
    <xf numFmtId="0" fontId="12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2" fillId="33" borderId="16" xfId="53" applyNumberFormat="1" applyFont="1" applyFill="1" applyBorder="1" applyAlignment="1">
      <alignment horizontal="center" vertical="center" wrapText="1"/>
      <protection/>
    </xf>
    <xf numFmtId="171" fontId="12" fillId="33" borderId="16" xfId="0" applyNumberFormat="1" applyFont="1" applyFill="1" applyBorder="1" applyAlignment="1">
      <alignment horizontal="center" vertical="center" wrapText="1"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58" fillId="0" borderId="1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left" vertical="center" wrapText="1"/>
      <protection/>
    </xf>
    <xf numFmtId="49" fontId="15" fillId="34" borderId="17" xfId="53" applyNumberFormat="1" applyFont="1" applyFill="1" applyBorder="1" applyAlignment="1">
      <alignment horizontal="center" vertical="center" wrapText="1"/>
      <protection/>
    </xf>
    <xf numFmtId="0" fontId="15" fillId="34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2" fillId="36" borderId="16" xfId="53" applyNumberFormat="1" applyFont="1" applyFill="1" applyBorder="1" applyAlignment="1">
      <alignment horizontal="center" vertical="center" wrapText="1"/>
      <protection/>
    </xf>
    <xf numFmtId="171" fontId="12" fillId="36" borderId="16" xfId="0" applyNumberFormat="1" applyFont="1" applyFill="1" applyBorder="1" applyAlignment="1">
      <alignment horizontal="center" vertical="center" wrapText="1"/>
    </xf>
    <xf numFmtId="171" fontId="13" fillId="6" borderId="19" xfId="53" applyNumberFormat="1" applyFont="1" applyFill="1" applyBorder="1" applyAlignment="1">
      <alignment horizontal="center" vertical="center" wrapText="1"/>
      <protection/>
    </xf>
    <xf numFmtId="171" fontId="13" fillId="6" borderId="19" xfId="0" applyNumberFormat="1" applyFont="1" applyFill="1" applyBorder="1" applyAlignment="1">
      <alignment horizontal="center" vertical="center" wrapText="1"/>
    </xf>
    <xf numFmtId="171" fontId="13" fillId="6" borderId="2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171" fontId="57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1" fontId="57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Alignment="1">
      <alignment horizontal="center" vertical="center" wrapText="1"/>
    </xf>
    <xf numFmtId="171" fontId="19" fillId="0" borderId="15" xfId="5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171" fontId="5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9" fillId="0" borderId="0" xfId="0" applyNumberFormat="1" applyFont="1" applyFill="1" applyAlignment="1">
      <alignment horizontal="left" vertical="center" wrapText="1"/>
    </xf>
    <xf numFmtId="171" fontId="19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5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1" fontId="5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0" fontId="13" fillId="0" borderId="18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Fill="1" applyBorder="1" applyAlignment="1">
      <alignment horizontal="center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Alignment="1">
      <alignment vertical="top"/>
    </xf>
    <xf numFmtId="168" fontId="5" fillId="0" borderId="11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68" fontId="4" fillId="0" borderId="24" xfId="0" applyNumberFormat="1" applyFont="1" applyFill="1" applyBorder="1" applyAlignment="1">
      <alignment horizontal="center" vertical="top"/>
    </xf>
    <xf numFmtId="168" fontId="4" fillId="0" borderId="25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4" xfId="42" applyFont="1" applyFill="1" applyBorder="1" applyAlignment="1">
      <alignment horizontal="center" vertical="top" wrapText="1"/>
    </xf>
    <xf numFmtId="44" fontId="2" fillId="0" borderId="25" xfId="42" applyFont="1" applyFill="1" applyBorder="1" applyAlignment="1">
      <alignment horizontal="center" vertical="top" wrapText="1"/>
    </xf>
    <xf numFmtId="0" fontId="17" fillId="0" borderId="0" xfId="53" applyNumberFormat="1" applyFont="1" applyFill="1" applyBorder="1" applyAlignment="1">
      <alignment horizontal="right" vertical="center" wrapText="1"/>
      <protection/>
    </xf>
    <xf numFmtId="171" fontId="19" fillId="0" borderId="0" xfId="53" applyNumberFormat="1" applyFont="1" applyFill="1" applyBorder="1" applyAlignment="1">
      <alignment horizontal="left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18" fillId="37" borderId="26" xfId="53" applyNumberFormat="1" applyFont="1" applyFill="1" applyBorder="1" applyAlignment="1">
      <alignment horizontal="center" vertical="center" wrapText="1"/>
      <protection/>
    </xf>
    <xf numFmtId="0" fontId="18" fillId="37" borderId="19" xfId="53" applyNumberFormat="1" applyFont="1" applyFill="1" applyBorder="1" applyAlignment="1">
      <alignment horizontal="center" vertical="center" wrapText="1"/>
      <protection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0" borderId="18" xfId="53" applyNumberFormat="1" applyFont="1" applyBorder="1" applyAlignment="1">
      <alignment horizontal="center" vertical="center" wrapText="1"/>
      <protection/>
    </xf>
    <xf numFmtId="171" fontId="13" fillId="0" borderId="18" xfId="0" applyNumberFormat="1" applyFont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49" fontId="11" fillId="0" borderId="27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1" fillId="0" borderId="28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171" fontId="12" fillId="0" borderId="28" xfId="53" applyNumberFormat="1" applyFont="1" applyFill="1" applyBorder="1" applyAlignment="1">
      <alignment horizontal="center" vertical="center" wrapText="1"/>
      <protection/>
    </xf>
    <xf numFmtId="171" fontId="12" fillId="0" borderId="28" xfId="0" applyNumberFormat="1" applyFont="1" applyBorder="1" applyAlignment="1">
      <alignment horizontal="center" vertical="center" wrapText="1"/>
    </xf>
    <xf numFmtId="171" fontId="13" fillId="0" borderId="28" xfId="0" applyNumberFormat="1" applyFont="1" applyFill="1" applyBorder="1" applyAlignment="1">
      <alignment horizontal="center" vertical="center" wrapText="1"/>
    </xf>
    <xf numFmtId="171" fontId="13" fillId="0" borderId="29" xfId="0" applyNumberFormat="1" applyFont="1" applyFill="1" applyBorder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2" fillId="0" borderId="16" xfId="0" applyNumberFormat="1" applyFont="1" applyBorder="1" applyAlignment="1">
      <alignment horizontal="center" vertical="center" wrapText="1"/>
    </xf>
    <xf numFmtId="171" fontId="12" fillId="0" borderId="16" xfId="53" applyNumberFormat="1" applyFont="1" applyBorder="1" applyAlignment="1">
      <alignment horizontal="center" vertical="center" wrapText="1"/>
      <protection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4" sqref="A64"/>
    </sheetView>
  </sheetViews>
  <sheetFormatPr defaultColWidth="9.00390625" defaultRowHeight="12.75" outlineLevelCol="1"/>
  <cols>
    <col min="1" max="1" width="23.625" style="1" customWidth="1"/>
    <col min="2" max="2" width="59.25390625" style="1" hidden="1" customWidth="1"/>
    <col min="3" max="3" width="37.875" style="1" customWidth="1"/>
    <col min="4" max="4" width="12.625" style="1" customWidth="1"/>
    <col min="5" max="5" width="12.125" style="1" customWidth="1"/>
    <col min="6" max="6" width="9.25390625" style="1" hidden="1" customWidth="1"/>
    <col min="7" max="7" width="8.00390625" style="1" hidden="1" customWidth="1"/>
    <col min="8" max="8" width="11.125" style="1" hidden="1" customWidth="1"/>
    <col min="9" max="9" width="8.8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24.75" customHeight="1">
      <c r="A1" s="153" t="s">
        <v>205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2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2.75">
      <c r="A3" s="2"/>
      <c r="B3" s="2"/>
      <c r="C3" s="3"/>
      <c r="D3" s="3"/>
      <c r="E3" s="3"/>
      <c r="F3" s="3"/>
      <c r="G3" s="3"/>
      <c r="H3" s="117"/>
      <c r="I3" s="117"/>
      <c r="J3" s="40" t="s">
        <v>55</v>
      </c>
      <c r="K3" s="117"/>
      <c r="L3" s="117"/>
    </row>
    <row r="4" spans="1:17" ht="12.75">
      <c r="A4" s="4" t="s">
        <v>41</v>
      </c>
      <c r="B4" s="4"/>
      <c r="C4" s="5"/>
      <c r="D4" s="155" t="s">
        <v>206</v>
      </c>
      <c r="E4" s="155" t="s">
        <v>207</v>
      </c>
      <c r="F4" s="158" t="s">
        <v>208</v>
      </c>
      <c r="G4" s="158" t="s">
        <v>209</v>
      </c>
      <c r="H4" s="158" t="s">
        <v>210</v>
      </c>
      <c r="I4" s="158" t="s">
        <v>211</v>
      </c>
      <c r="J4" s="155" t="s">
        <v>212</v>
      </c>
      <c r="K4" s="155" t="s">
        <v>213</v>
      </c>
      <c r="L4" s="155" t="s">
        <v>214</v>
      </c>
      <c r="M4" s="155" t="s">
        <v>215</v>
      </c>
      <c r="N4" s="155" t="s">
        <v>216</v>
      </c>
      <c r="O4" s="155" t="s">
        <v>217</v>
      </c>
      <c r="P4" s="155" t="s">
        <v>218</v>
      </c>
      <c r="Q4" s="155" t="s">
        <v>219</v>
      </c>
    </row>
    <row r="5" spans="1:17" ht="12.75">
      <c r="A5" s="6" t="s">
        <v>46</v>
      </c>
      <c r="B5" s="6"/>
      <c r="C5" s="7" t="s">
        <v>16</v>
      </c>
      <c r="D5" s="156"/>
      <c r="E5" s="156"/>
      <c r="F5" s="159"/>
      <c r="G5" s="159"/>
      <c r="H5" s="159"/>
      <c r="I5" s="159"/>
      <c r="J5" s="156"/>
      <c r="K5" s="156"/>
      <c r="L5" s="156"/>
      <c r="M5" s="156"/>
      <c r="N5" s="156"/>
      <c r="O5" s="156"/>
      <c r="P5" s="156"/>
      <c r="Q5" s="156"/>
    </row>
    <row r="6" spans="1:17" ht="12.75">
      <c r="A6" s="6"/>
      <c r="B6" s="6"/>
      <c r="C6" s="7"/>
      <c r="D6" s="157"/>
      <c r="E6" s="157"/>
      <c r="F6" s="160"/>
      <c r="G6" s="160"/>
      <c r="H6" s="160"/>
      <c r="I6" s="160"/>
      <c r="J6" s="157"/>
      <c r="K6" s="157"/>
      <c r="L6" s="157"/>
      <c r="M6" s="157"/>
      <c r="N6" s="157"/>
      <c r="O6" s="157"/>
      <c r="P6" s="157"/>
      <c r="Q6" s="157"/>
    </row>
    <row r="7" spans="1:15" ht="12.75">
      <c r="A7" s="161" t="s">
        <v>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7" ht="12.75">
      <c r="A8" s="30" t="s">
        <v>3</v>
      </c>
      <c r="B8" s="30"/>
      <c r="C8" s="39" t="s">
        <v>54</v>
      </c>
      <c r="D8" s="31">
        <f aca="true" t="shared" si="0" ref="D8:J8">D9+D11+D12+D13+D15+D16+D18+D20+D14+D21+D17+D19+D10</f>
        <v>751430.8999999999</v>
      </c>
      <c r="E8" s="31">
        <f t="shared" si="0"/>
        <v>207099.5</v>
      </c>
      <c r="F8" s="31">
        <f t="shared" si="0"/>
        <v>207099.5</v>
      </c>
      <c r="G8" s="31">
        <f t="shared" si="0"/>
        <v>195946</v>
      </c>
      <c r="H8" s="31">
        <f t="shared" si="0"/>
        <v>164577.40000000002</v>
      </c>
      <c r="I8" s="31">
        <f t="shared" si="0"/>
        <v>183807.99999999997</v>
      </c>
      <c r="J8" s="31">
        <f t="shared" si="0"/>
        <v>117924</v>
      </c>
      <c r="K8" s="31" t="e">
        <f>K9+K11+K12+K13+K15+K16+K18+K20+K14+K21+K17+K19</f>
        <v>#REF!</v>
      </c>
      <c r="L8" s="31">
        <f aca="true" t="shared" si="1" ref="L8:L20">J8/H8*100</f>
        <v>71.65260843833964</v>
      </c>
      <c r="M8" s="118"/>
      <c r="N8" s="118"/>
      <c r="O8" s="31">
        <f>J8*100/I8</f>
        <v>64.15607590529248</v>
      </c>
      <c r="P8" s="31">
        <f>J8*100/E8</f>
        <v>56.94074587336039</v>
      </c>
      <c r="Q8" s="18">
        <f>J8*100/D8</f>
        <v>15.693259353587937</v>
      </c>
    </row>
    <row r="9" spans="1:17" ht="12.75">
      <c r="A9" s="8" t="s">
        <v>23</v>
      </c>
      <c r="B9" s="8"/>
      <c r="C9" s="32" t="s">
        <v>22</v>
      </c>
      <c r="D9" s="43">
        <f>F9+G9+H9+I9</f>
        <v>545313.7999999999</v>
      </c>
      <c r="E9" s="43">
        <f>F9</f>
        <v>132197.3</v>
      </c>
      <c r="F9" s="43">
        <v>132197.3</v>
      </c>
      <c r="G9" s="43">
        <v>148858.8</v>
      </c>
      <c r="H9" s="15">
        <v>122555.3</v>
      </c>
      <c r="I9" s="33">
        <v>141702.4</v>
      </c>
      <c r="J9" s="33">
        <v>92962.7</v>
      </c>
      <c r="K9" s="15" t="e">
        <f>J9/#REF!*100</f>
        <v>#REF!</v>
      </c>
      <c r="L9" s="15">
        <f t="shared" si="1"/>
        <v>75.85367585082</v>
      </c>
      <c r="M9" s="119"/>
      <c r="N9" s="119"/>
      <c r="O9" s="15">
        <f aca="true" t="shared" si="2" ref="O9:O79">J9*100/I9</f>
        <v>65.6041817216928</v>
      </c>
      <c r="P9" s="15">
        <f aca="true" t="shared" si="3" ref="P9:P76">J9*100/E9</f>
        <v>70.32117902559281</v>
      </c>
      <c r="Q9" s="33">
        <f aca="true" t="shared" si="4" ref="Q9:Q76">J9*100/D9</f>
        <v>17.047560505529113</v>
      </c>
    </row>
    <row r="10" spans="1:17" ht="12.75">
      <c r="A10" s="8" t="s">
        <v>56</v>
      </c>
      <c r="B10" s="8"/>
      <c r="C10" s="22" t="s">
        <v>57</v>
      </c>
      <c r="D10" s="41">
        <f aca="true" t="shared" si="5" ref="D10:D26">F10+G10+H10+I10</f>
        <v>2315</v>
      </c>
      <c r="E10" s="41">
        <f aca="true" t="shared" si="6" ref="E10:E25">F10</f>
        <v>578.6</v>
      </c>
      <c r="F10" s="41">
        <v>578.6</v>
      </c>
      <c r="G10" s="41">
        <v>578.5</v>
      </c>
      <c r="H10" s="12">
        <v>578.6</v>
      </c>
      <c r="I10" s="13">
        <v>579.3</v>
      </c>
      <c r="J10" s="13">
        <v>160.5</v>
      </c>
      <c r="K10" s="15"/>
      <c r="L10" s="15"/>
      <c r="M10" s="119"/>
      <c r="N10" s="119"/>
      <c r="O10" s="12"/>
      <c r="P10" s="15">
        <f t="shared" si="3"/>
        <v>27.73937089526443</v>
      </c>
      <c r="Q10" s="13">
        <f t="shared" si="4"/>
        <v>6.93304535637149</v>
      </c>
    </row>
    <row r="11" spans="1:17" ht="12.75">
      <c r="A11" s="8" t="s">
        <v>8</v>
      </c>
      <c r="B11" s="8"/>
      <c r="C11" s="22" t="s">
        <v>5</v>
      </c>
      <c r="D11" s="41">
        <f t="shared" si="5"/>
        <v>36159.5</v>
      </c>
      <c r="E11" s="41">
        <f t="shared" si="6"/>
        <v>11285.1</v>
      </c>
      <c r="F11" s="41">
        <v>11285.1</v>
      </c>
      <c r="G11" s="41">
        <v>8975.5</v>
      </c>
      <c r="H11" s="12">
        <v>8043.9</v>
      </c>
      <c r="I11" s="13">
        <v>7855</v>
      </c>
      <c r="J11" s="13">
        <v>6184.4</v>
      </c>
      <c r="K11" s="15" t="e">
        <f>J11/#REF!*100</f>
        <v>#REF!</v>
      </c>
      <c r="L11" s="15">
        <f t="shared" si="1"/>
        <v>76.8831039669812</v>
      </c>
      <c r="M11" s="119"/>
      <c r="N11" s="119"/>
      <c r="O11" s="12">
        <f t="shared" si="2"/>
        <v>78.73201782304265</v>
      </c>
      <c r="P11" s="15">
        <f t="shared" si="3"/>
        <v>54.80146387714774</v>
      </c>
      <c r="Q11" s="13">
        <f t="shared" si="4"/>
        <v>17.103112598348982</v>
      </c>
    </row>
    <row r="12" spans="1:17" ht="12.75">
      <c r="A12" s="8" t="s">
        <v>9</v>
      </c>
      <c r="B12" s="8"/>
      <c r="C12" s="22" t="s">
        <v>6</v>
      </c>
      <c r="D12" s="41">
        <f t="shared" si="5"/>
        <v>3945</v>
      </c>
      <c r="E12" s="41">
        <f t="shared" si="6"/>
        <v>907.2</v>
      </c>
      <c r="F12" s="41">
        <v>907.2</v>
      </c>
      <c r="G12" s="41">
        <v>900</v>
      </c>
      <c r="H12" s="12">
        <v>900</v>
      </c>
      <c r="I12" s="13">
        <v>1237.8</v>
      </c>
      <c r="J12" s="13">
        <v>1236.3</v>
      </c>
      <c r="K12" s="15" t="e">
        <f>J12/#REF!*100</f>
        <v>#REF!</v>
      </c>
      <c r="L12" s="15">
        <f t="shared" si="1"/>
        <v>137.36666666666665</v>
      </c>
      <c r="M12" s="119"/>
      <c r="N12" s="119"/>
      <c r="O12" s="12">
        <f t="shared" si="2"/>
        <v>99.87881725642269</v>
      </c>
      <c r="P12" s="15">
        <f t="shared" si="3"/>
        <v>136.276455026455</v>
      </c>
      <c r="Q12" s="13">
        <f t="shared" si="4"/>
        <v>31.338403041825096</v>
      </c>
    </row>
    <row r="13" spans="1:17" ht="12.75">
      <c r="A13" s="8" t="s">
        <v>10</v>
      </c>
      <c r="B13" s="8"/>
      <c r="C13" s="22" t="s">
        <v>21</v>
      </c>
      <c r="D13" s="41">
        <f t="shared" si="5"/>
        <v>3305</v>
      </c>
      <c r="E13" s="41">
        <f t="shared" si="6"/>
        <v>826</v>
      </c>
      <c r="F13" s="41">
        <v>826</v>
      </c>
      <c r="G13" s="41">
        <v>826</v>
      </c>
      <c r="H13" s="12">
        <v>827</v>
      </c>
      <c r="I13" s="13">
        <v>826</v>
      </c>
      <c r="J13" s="13">
        <v>494.9</v>
      </c>
      <c r="K13" s="15" t="e">
        <f>J13/#REF!*100</f>
        <v>#REF!</v>
      </c>
      <c r="L13" s="15">
        <f t="shared" si="1"/>
        <v>59.84280532043531</v>
      </c>
      <c r="M13" s="119"/>
      <c r="N13" s="119"/>
      <c r="O13" s="12">
        <f t="shared" si="2"/>
        <v>59.91525423728814</v>
      </c>
      <c r="P13" s="15">
        <f t="shared" si="3"/>
        <v>59.91525423728814</v>
      </c>
      <c r="Q13" s="13">
        <f t="shared" si="4"/>
        <v>14.97428139183056</v>
      </c>
    </row>
    <row r="14" spans="1:17" ht="26.25" customHeight="1">
      <c r="A14" s="8" t="s">
        <v>37</v>
      </c>
      <c r="B14" s="8"/>
      <c r="C14" s="22" t="s">
        <v>38</v>
      </c>
      <c r="D14" s="41">
        <f t="shared" si="5"/>
        <v>0</v>
      </c>
      <c r="E14" s="41">
        <f t="shared" si="6"/>
        <v>0</v>
      </c>
      <c r="F14" s="41"/>
      <c r="G14" s="41"/>
      <c r="H14" s="12"/>
      <c r="I14" s="13"/>
      <c r="J14" s="13"/>
      <c r="K14" s="15" t="e">
        <f>J14/#REF!*100</f>
        <v>#REF!</v>
      </c>
      <c r="L14" s="15"/>
      <c r="M14" s="119"/>
      <c r="N14" s="119"/>
      <c r="O14" s="12" t="e">
        <f t="shared" si="2"/>
        <v>#DIV/0!</v>
      </c>
      <c r="P14" s="15"/>
      <c r="Q14" s="13"/>
    </row>
    <row r="15" spans="1:17" ht="26.25" customHeight="1">
      <c r="A15" s="9" t="s">
        <v>11</v>
      </c>
      <c r="B15" s="9"/>
      <c r="C15" s="22" t="s">
        <v>17</v>
      </c>
      <c r="D15" s="41">
        <f t="shared" si="5"/>
        <v>84072.5</v>
      </c>
      <c r="E15" s="41">
        <f t="shared" si="6"/>
        <v>20907.1</v>
      </c>
      <c r="F15" s="41">
        <v>20907.1</v>
      </c>
      <c r="G15" s="41">
        <v>20905.2</v>
      </c>
      <c r="H15" s="12">
        <v>21270.9</v>
      </c>
      <c r="I15" s="13">
        <v>20989.3</v>
      </c>
      <c r="J15" s="13">
        <v>3114.5</v>
      </c>
      <c r="K15" s="15" t="e">
        <f>J15/#REF!*100</f>
        <v>#REF!</v>
      </c>
      <c r="L15" s="15">
        <f t="shared" si="1"/>
        <v>14.642069682053885</v>
      </c>
      <c r="M15" s="119"/>
      <c r="N15" s="119"/>
      <c r="O15" s="12">
        <f t="shared" si="2"/>
        <v>14.838512956601697</v>
      </c>
      <c r="P15" s="15">
        <f t="shared" si="3"/>
        <v>14.89685322211115</v>
      </c>
      <c r="Q15" s="13">
        <f t="shared" si="4"/>
        <v>3.7045407237800707</v>
      </c>
    </row>
    <row r="16" spans="1:17" ht="26.25" customHeight="1">
      <c r="A16" s="23" t="s">
        <v>14</v>
      </c>
      <c r="B16" s="23"/>
      <c r="C16" s="22" t="s">
        <v>13</v>
      </c>
      <c r="D16" s="41">
        <f t="shared" si="5"/>
        <v>12245.100000000002</v>
      </c>
      <c r="E16" s="41">
        <f t="shared" si="6"/>
        <v>3061.3</v>
      </c>
      <c r="F16" s="41">
        <v>3061.3</v>
      </c>
      <c r="G16" s="41">
        <v>3061.3</v>
      </c>
      <c r="H16" s="12">
        <v>3061.3</v>
      </c>
      <c r="I16" s="13">
        <v>3061.2</v>
      </c>
      <c r="J16" s="13">
        <v>634.3</v>
      </c>
      <c r="K16" s="15" t="e">
        <f>J16/#REF!*100</f>
        <v>#REF!</v>
      </c>
      <c r="L16" s="15">
        <f t="shared" si="1"/>
        <v>20.71995557442916</v>
      </c>
      <c r="M16" s="119"/>
      <c r="N16" s="119"/>
      <c r="O16" s="12">
        <f t="shared" si="2"/>
        <v>20.72063243172612</v>
      </c>
      <c r="P16" s="15">
        <f t="shared" si="3"/>
        <v>20.71995557442916</v>
      </c>
      <c r="Q16" s="13">
        <f t="shared" si="4"/>
        <v>5.180031196151929</v>
      </c>
    </row>
    <row r="17" spans="1:17" ht="26.25" customHeight="1">
      <c r="A17" s="24" t="s">
        <v>42</v>
      </c>
      <c r="B17" s="24"/>
      <c r="C17" s="22" t="s">
        <v>43</v>
      </c>
      <c r="D17" s="41">
        <f t="shared" si="5"/>
        <v>9798</v>
      </c>
      <c r="E17" s="41">
        <f t="shared" si="6"/>
        <v>2334.3</v>
      </c>
      <c r="F17" s="41">
        <v>2334.3</v>
      </c>
      <c r="G17" s="41">
        <v>2421</v>
      </c>
      <c r="H17" s="12">
        <v>2417.7</v>
      </c>
      <c r="I17" s="13">
        <v>2625</v>
      </c>
      <c r="J17" s="13">
        <v>2567.6</v>
      </c>
      <c r="K17" s="15" t="e">
        <f>J17/#REF!*100</f>
        <v>#REF!</v>
      </c>
      <c r="L17" s="15">
        <f t="shared" si="1"/>
        <v>106.20010754022418</v>
      </c>
      <c r="M17" s="119"/>
      <c r="N17" s="119"/>
      <c r="O17" s="12">
        <f t="shared" si="2"/>
        <v>97.81333333333333</v>
      </c>
      <c r="P17" s="15">
        <f t="shared" si="3"/>
        <v>109.99443087863598</v>
      </c>
      <c r="Q17" s="13">
        <f t="shared" si="4"/>
        <v>26.205348030210246</v>
      </c>
    </row>
    <row r="18" spans="1:17" ht="26.25" customHeight="1">
      <c r="A18" s="24" t="s">
        <v>18</v>
      </c>
      <c r="B18" s="24"/>
      <c r="C18" s="22" t="s">
        <v>15</v>
      </c>
      <c r="D18" s="41">
        <f t="shared" si="5"/>
        <v>46274.5</v>
      </c>
      <c r="E18" s="41">
        <f t="shared" si="6"/>
        <v>30063</v>
      </c>
      <c r="F18" s="41">
        <v>30063</v>
      </c>
      <c r="G18" s="41">
        <v>8403</v>
      </c>
      <c r="H18" s="12">
        <v>3903</v>
      </c>
      <c r="I18" s="13">
        <v>3905.5</v>
      </c>
      <c r="J18" s="13">
        <v>3859.3</v>
      </c>
      <c r="K18" s="15" t="e">
        <f>J18/#REF!*100</f>
        <v>#REF!</v>
      </c>
      <c r="L18" s="15">
        <f t="shared" si="1"/>
        <v>98.88034844991033</v>
      </c>
      <c r="M18" s="119"/>
      <c r="N18" s="119"/>
      <c r="O18" s="12">
        <f t="shared" si="2"/>
        <v>98.81705287415184</v>
      </c>
      <c r="P18" s="15">
        <f t="shared" si="3"/>
        <v>12.837374846156404</v>
      </c>
      <c r="Q18" s="13">
        <f t="shared" si="4"/>
        <v>8.340014478816627</v>
      </c>
    </row>
    <row r="19" spans="1:17" ht="12.75">
      <c r="A19" s="24" t="s">
        <v>47</v>
      </c>
      <c r="B19" s="24"/>
      <c r="C19" s="22" t="s">
        <v>48</v>
      </c>
      <c r="D19" s="41">
        <f t="shared" si="5"/>
        <v>5</v>
      </c>
      <c r="E19" s="41">
        <f t="shared" si="6"/>
        <v>2</v>
      </c>
      <c r="F19" s="41">
        <v>2</v>
      </c>
      <c r="G19" s="41"/>
      <c r="H19" s="12">
        <v>3</v>
      </c>
      <c r="I19" s="13"/>
      <c r="J19" s="13">
        <v>3</v>
      </c>
      <c r="K19" s="15" t="e">
        <f>J19/#REF!*100</f>
        <v>#REF!</v>
      </c>
      <c r="L19" s="15">
        <f t="shared" si="1"/>
        <v>100</v>
      </c>
      <c r="M19" s="119"/>
      <c r="N19" s="119"/>
      <c r="O19" s="12" t="e">
        <f t="shared" si="2"/>
        <v>#DIV/0!</v>
      </c>
      <c r="P19" s="15">
        <f t="shared" si="3"/>
        <v>150</v>
      </c>
      <c r="Q19" s="13">
        <f t="shared" si="4"/>
        <v>60</v>
      </c>
    </row>
    <row r="20" spans="1:17" ht="12.75">
      <c r="A20" s="16" t="s">
        <v>12</v>
      </c>
      <c r="B20" s="16"/>
      <c r="C20" s="22" t="s">
        <v>7</v>
      </c>
      <c r="D20" s="41">
        <f t="shared" si="5"/>
        <v>7997.5</v>
      </c>
      <c r="E20" s="41">
        <f t="shared" si="6"/>
        <v>4937.6</v>
      </c>
      <c r="F20" s="41">
        <v>4937.6</v>
      </c>
      <c r="G20" s="41">
        <v>1016.7</v>
      </c>
      <c r="H20" s="12">
        <v>1016.7</v>
      </c>
      <c r="I20" s="13">
        <v>1026.5</v>
      </c>
      <c r="J20" s="13">
        <v>6574.5</v>
      </c>
      <c r="K20" s="15" t="e">
        <f>J20/#REF!*100</f>
        <v>#REF!</v>
      </c>
      <c r="L20" s="15">
        <f t="shared" si="1"/>
        <v>646.650929477722</v>
      </c>
      <c r="M20" s="119"/>
      <c r="N20" s="119"/>
      <c r="O20" s="12">
        <f t="shared" si="2"/>
        <v>640.4773502191914</v>
      </c>
      <c r="P20" s="15">
        <f t="shared" si="3"/>
        <v>133.15173363577446</v>
      </c>
      <c r="Q20" s="13">
        <f t="shared" si="4"/>
        <v>82.20693966864646</v>
      </c>
    </row>
    <row r="21" spans="1:17" ht="12.75">
      <c r="A21" s="25" t="s">
        <v>39</v>
      </c>
      <c r="B21" s="120"/>
      <c r="C21" s="11" t="s">
        <v>40</v>
      </c>
      <c r="D21" s="41">
        <f t="shared" si="5"/>
        <v>0</v>
      </c>
      <c r="E21" s="41">
        <f t="shared" si="6"/>
        <v>0</v>
      </c>
      <c r="F21" s="41"/>
      <c r="G21" s="41"/>
      <c r="H21" s="12"/>
      <c r="I21" s="13"/>
      <c r="J21" s="13">
        <v>132</v>
      </c>
      <c r="K21" s="15"/>
      <c r="L21" s="15"/>
      <c r="M21" s="119"/>
      <c r="N21" s="119"/>
      <c r="O21" s="12"/>
      <c r="P21" s="15"/>
      <c r="Q21" s="13"/>
    </row>
    <row r="22" spans="1:17" ht="12.75">
      <c r="A22" s="19" t="s">
        <v>1</v>
      </c>
      <c r="B22" s="19"/>
      <c r="C22" s="26" t="s">
        <v>0</v>
      </c>
      <c r="D22" s="27">
        <f aca="true" t="shared" si="7" ref="D22:J22">D23+D24+D26+D25</f>
        <v>2656816.6</v>
      </c>
      <c r="E22" s="27">
        <f>E23+E24+E26+E25</f>
        <v>528589.3</v>
      </c>
      <c r="F22" s="27">
        <f t="shared" si="7"/>
        <v>528589.3</v>
      </c>
      <c r="G22" s="27">
        <f t="shared" si="7"/>
        <v>866364.6</v>
      </c>
      <c r="H22" s="27">
        <f t="shared" si="7"/>
        <v>675798</v>
      </c>
      <c r="I22" s="27">
        <f t="shared" si="7"/>
        <v>586064.7000000001</v>
      </c>
      <c r="J22" s="27">
        <f t="shared" si="7"/>
        <v>267969.89999999997</v>
      </c>
      <c r="K22" s="21" t="e">
        <f>J22/#REF!*100</f>
        <v>#REF!</v>
      </c>
      <c r="L22" s="21">
        <f aca="true" t="shared" si="8" ref="L22:L27">J22/H22*100</f>
        <v>39.65236653556239</v>
      </c>
      <c r="M22" s="119"/>
      <c r="N22" s="119"/>
      <c r="O22" s="31">
        <f t="shared" si="2"/>
        <v>45.723603554351584</v>
      </c>
      <c r="P22" s="21">
        <f t="shared" si="3"/>
        <v>50.69529405911167</v>
      </c>
      <c r="Q22" s="18">
        <f t="shared" si="4"/>
        <v>10.086127134255332</v>
      </c>
    </row>
    <row r="23" spans="1:17" ht="39.75" customHeight="1">
      <c r="A23" s="10" t="s">
        <v>53</v>
      </c>
      <c r="B23" s="8"/>
      <c r="C23" s="28" t="s">
        <v>20</v>
      </c>
      <c r="D23" s="41">
        <f t="shared" si="5"/>
        <v>2614420.9</v>
      </c>
      <c r="E23" s="41">
        <f t="shared" si="6"/>
        <v>555225.5</v>
      </c>
      <c r="F23" s="41">
        <v>555225.5</v>
      </c>
      <c r="G23" s="41">
        <v>827332.7</v>
      </c>
      <c r="H23" s="13">
        <v>650798</v>
      </c>
      <c r="I23" s="13">
        <f>580988.4+76.3</f>
        <v>581064.7000000001</v>
      </c>
      <c r="J23" s="13">
        <v>314606.1</v>
      </c>
      <c r="K23" s="15" t="e">
        <f>J23/#REF!*100</f>
        <v>#REF!</v>
      </c>
      <c r="L23" s="15">
        <f t="shared" si="8"/>
        <v>48.34158986352139</v>
      </c>
      <c r="M23" s="119"/>
      <c r="N23" s="119"/>
      <c r="O23" s="12">
        <f t="shared" si="2"/>
        <v>54.14304121382695</v>
      </c>
      <c r="P23" s="15">
        <f t="shared" si="3"/>
        <v>56.66276134651596</v>
      </c>
      <c r="Q23" s="13">
        <f t="shared" si="4"/>
        <v>12.033490858338839</v>
      </c>
    </row>
    <row r="24" spans="1:17" ht="12.75">
      <c r="A24" s="10" t="s">
        <v>2</v>
      </c>
      <c r="B24" s="10"/>
      <c r="C24" s="29" t="s">
        <v>19</v>
      </c>
      <c r="D24" s="41">
        <f t="shared" si="5"/>
        <v>45000</v>
      </c>
      <c r="E24" s="41">
        <f t="shared" si="6"/>
        <v>20000</v>
      </c>
      <c r="F24" s="42">
        <v>20000</v>
      </c>
      <c r="G24" s="42">
        <v>15000</v>
      </c>
      <c r="H24" s="13">
        <v>5000</v>
      </c>
      <c r="I24" s="13">
        <v>5000</v>
      </c>
      <c r="J24" s="13"/>
      <c r="K24" s="15" t="e">
        <f>J24/#REF!*100</f>
        <v>#REF!</v>
      </c>
      <c r="L24" s="15">
        <f t="shared" si="8"/>
        <v>0</v>
      </c>
      <c r="M24" s="119"/>
      <c r="N24" s="119"/>
      <c r="O24" s="12">
        <f t="shared" si="2"/>
        <v>0</v>
      </c>
      <c r="P24" s="15">
        <f t="shared" si="3"/>
        <v>0</v>
      </c>
      <c r="Q24" s="13">
        <f t="shared" si="4"/>
        <v>0</v>
      </c>
    </row>
    <row r="25" spans="1:17" ht="73.5" customHeight="1">
      <c r="A25" s="10" t="s">
        <v>51</v>
      </c>
      <c r="B25" s="121" t="s">
        <v>50</v>
      </c>
      <c r="C25" s="11" t="s">
        <v>50</v>
      </c>
      <c r="D25" s="41">
        <f t="shared" si="5"/>
        <v>0</v>
      </c>
      <c r="E25" s="41">
        <f t="shared" si="6"/>
        <v>0</v>
      </c>
      <c r="F25" s="41"/>
      <c r="G25" s="41"/>
      <c r="H25" s="13"/>
      <c r="I25" s="13"/>
      <c r="J25" s="13"/>
      <c r="K25" s="15" t="e">
        <f>J25/#REF!*100</f>
        <v>#REF!</v>
      </c>
      <c r="L25" s="15"/>
      <c r="M25" s="119"/>
      <c r="N25" s="119"/>
      <c r="O25" s="12" t="e">
        <f t="shared" si="2"/>
        <v>#DIV/0!</v>
      </c>
      <c r="P25" s="15" t="e">
        <f>J25*100/E25</f>
        <v>#DIV/0!</v>
      </c>
      <c r="Q25" s="13" t="e">
        <f>J25*100/D25</f>
        <v>#DIV/0!</v>
      </c>
    </row>
    <row r="26" spans="1:17" ht="40.5" customHeight="1">
      <c r="A26" s="10" t="s">
        <v>52</v>
      </c>
      <c r="B26" s="122"/>
      <c r="C26" s="14" t="s">
        <v>49</v>
      </c>
      <c r="D26" s="41">
        <f t="shared" si="5"/>
        <v>-2604.2999999999956</v>
      </c>
      <c r="E26" s="41">
        <f>F26</f>
        <v>-46636.2</v>
      </c>
      <c r="F26" s="123">
        <v>-46636.2</v>
      </c>
      <c r="G26" s="123">
        <v>24031.9</v>
      </c>
      <c r="H26" s="13">
        <v>20000</v>
      </c>
      <c r="I26" s="13"/>
      <c r="J26" s="13">
        <v>-46636.2</v>
      </c>
      <c r="K26" s="15" t="e">
        <f>J26/#REF!*100</f>
        <v>#REF!</v>
      </c>
      <c r="L26" s="15"/>
      <c r="M26" s="119"/>
      <c r="N26" s="119"/>
      <c r="O26" s="12" t="e">
        <f t="shared" si="2"/>
        <v>#DIV/0!</v>
      </c>
      <c r="P26" s="15">
        <f>J26*100/E26</f>
        <v>100</v>
      </c>
      <c r="Q26" s="13">
        <f>J26*100/D26</f>
        <v>1790.7383941942203</v>
      </c>
    </row>
    <row r="27" spans="1:17" ht="12.75">
      <c r="A27" s="16"/>
      <c r="B27" s="124"/>
      <c r="C27" s="17" t="s">
        <v>4</v>
      </c>
      <c r="D27" s="18">
        <f aca="true" t="shared" si="9" ref="D27:J27">D22+D8</f>
        <v>3408247.5</v>
      </c>
      <c r="E27" s="18">
        <f t="shared" si="9"/>
        <v>735688.8</v>
      </c>
      <c r="F27" s="18">
        <f t="shared" si="9"/>
        <v>735688.8</v>
      </c>
      <c r="G27" s="18">
        <f t="shared" si="9"/>
        <v>1062310.6</v>
      </c>
      <c r="H27" s="18">
        <f t="shared" si="9"/>
        <v>840375.4</v>
      </c>
      <c r="I27" s="18">
        <f t="shared" si="9"/>
        <v>769872.7000000001</v>
      </c>
      <c r="J27" s="18">
        <f t="shared" si="9"/>
        <v>385893.89999999997</v>
      </c>
      <c r="K27" s="21" t="e">
        <f>J27/#REF!*100</f>
        <v>#REF!</v>
      </c>
      <c r="L27" s="21">
        <f t="shared" si="8"/>
        <v>45.91922847813012</v>
      </c>
      <c r="M27" s="119"/>
      <c r="N27" s="125" t="e">
        <f>I27+#REF!+#REF!</f>
        <v>#REF!</v>
      </c>
      <c r="O27" s="31">
        <f t="shared" si="2"/>
        <v>50.124377705560924</v>
      </c>
      <c r="P27" s="21">
        <f t="shared" si="3"/>
        <v>52.453415085291496</v>
      </c>
      <c r="Q27" s="18">
        <f t="shared" si="4"/>
        <v>11.322355550763259</v>
      </c>
    </row>
    <row r="28" spans="1:17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119"/>
      <c r="N28" s="119"/>
      <c r="O28" s="126"/>
      <c r="P28" s="21"/>
      <c r="Q28" s="18"/>
    </row>
    <row r="29" spans="1:17" ht="12.75">
      <c r="A29" s="149" t="s">
        <v>25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21"/>
      <c r="Q29" s="18"/>
    </row>
    <row r="30" spans="1:17" ht="12.75">
      <c r="A30" s="19" t="s">
        <v>3</v>
      </c>
      <c r="B30" s="19"/>
      <c r="C30" s="20" t="s">
        <v>54</v>
      </c>
      <c r="D30" s="21">
        <f aca="true" t="shared" si="10" ref="D30:J30">D31+D33+D35+D37+D34+D36+D38+D32</f>
        <v>17033</v>
      </c>
      <c r="E30" s="21">
        <f t="shared" si="10"/>
        <v>4258.400000000001</v>
      </c>
      <c r="F30" s="21">
        <f t="shared" si="10"/>
        <v>4258.400000000001</v>
      </c>
      <c r="G30" s="21">
        <f t="shared" si="10"/>
        <v>4258.099999999999</v>
      </c>
      <c r="H30" s="21">
        <f t="shared" si="10"/>
        <v>4258.400000000001</v>
      </c>
      <c r="I30" s="21">
        <f t="shared" si="10"/>
        <v>4258.099999999999</v>
      </c>
      <c r="J30" s="21">
        <f t="shared" si="10"/>
        <v>2610.5000000000005</v>
      </c>
      <c r="K30" s="21" t="e">
        <f>J30/#REF!*100</f>
        <v>#REF!</v>
      </c>
      <c r="L30" s="21">
        <f aca="true" t="shared" si="11" ref="L30:L37">J30/H30*100</f>
        <v>61.30236708622957</v>
      </c>
      <c r="M30" s="119"/>
      <c r="N30" s="119"/>
      <c r="O30" s="21">
        <f t="shared" si="2"/>
        <v>61.30668608064632</v>
      </c>
      <c r="P30" s="21">
        <f t="shared" si="3"/>
        <v>61.30236708622957</v>
      </c>
      <c r="Q30" s="18">
        <f t="shared" si="4"/>
        <v>15.326131626842017</v>
      </c>
    </row>
    <row r="31" spans="1:17" ht="12.75">
      <c r="A31" s="8" t="s">
        <v>23</v>
      </c>
      <c r="B31" s="8"/>
      <c r="C31" s="32" t="s">
        <v>22</v>
      </c>
      <c r="D31" s="41">
        <f aca="true" t="shared" si="12" ref="D31:D37">F31+G31+H31+I31</f>
        <v>11900</v>
      </c>
      <c r="E31" s="41">
        <f aca="true" t="shared" si="13" ref="E31:E41">F31</f>
        <v>2975</v>
      </c>
      <c r="F31" s="43">
        <v>2975</v>
      </c>
      <c r="G31" s="43">
        <v>2975</v>
      </c>
      <c r="H31" s="12">
        <v>2975</v>
      </c>
      <c r="I31" s="13">
        <v>2975</v>
      </c>
      <c r="J31" s="33">
        <v>2384.4</v>
      </c>
      <c r="K31" s="15" t="e">
        <f>J31/#REF!*100</f>
        <v>#REF!</v>
      </c>
      <c r="L31" s="15">
        <f t="shared" si="11"/>
        <v>80.14789915966387</v>
      </c>
      <c r="M31" s="119"/>
      <c r="N31" s="119"/>
      <c r="O31" s="12">
        <f t="shared" si="2"/>
        <v>80.14789915966387</v>
      </c>
      <c r="P31" s="15">
        <f>J31*100/E31</f>
        <v>80.14789915966387</v>
      </c>
      <c r="Q31" s="13">
        <f t="shared" si="4"/>
        <v>20.036974789915966</v>
      </c>
    </row>
    <row r="32" spans="1:17" ht="12.75">
      <c r="A32" s="8" t="s">
        <v>56</v>
      </c>
      <c r="B32" s="8"/>
      <c r="C32" s="22" t="s">
        <v>57</v>
      </c>
      <c r="D32" s="41">
        <f t="shared" si="12"/>
        <v>2083</v>
      </c>
      <c r="E32" s="41">
        <f t="shared" si="13"/>
        <v>520.8</v>
      </c>
      <c r="F32" s="43">
        <v>520.8</v>
      </c>
      <c r="G32" s="43">
        <v>520.7</v>
      </c>
      <c r="H32" s="12">
        <v>520.8</v>
      </c>
      <c r="I32" s="13">
        <v>520.7</v>
      </c>
      <c r="J32" s="33">
        <v>144.4</v>
      </c>
      <c r="K32" s="15"/>
      <c r="L32" s="15"/>
      <c r="M32" s="119"/>
      <c r="N32" s="119"/>
      <c r="O32" s="12"/>
      <c r="P32" s="15">
        <f>J32*100/E32</f>
        <v>27.726574500768052</v>
      </c>
      <c r="Q32" s="13">
        <f>J32*100/D32</f>
        <v>6.932309169467115</v>
      </c>
    </row>
    <row r="33" spans="1:17" ht="12.75">
      <c r="A33" s="8" t="s">
        <v>9</v>
      </c>
      <c r="B33" s="8"/>
      <c r="C33" s="22" t="s">
        <v>6</v>
      </c>
      <c r="D33" s="41">
        <f t="shared" si="12"/>
        <v>590</v>
      </c>
      <c r="E33" s="41">
        <f t="shared" si="13"/>
        <v>147.5</v>
      </c>
      <c r="F33" s="41">
        <v>147.5</v>
      </c>
      <c r="G33" s="41">
        <v>147.5</v>
      </c>
      <c r="H33" s="12">
        <v>147.5</v>
      </c>
      <c r="I33" s="13">
        <v>147.5</v>
      </c>
      <c r="J33" s="13">
        <v>54.6</v>
      </c>
      <c r="K33" s="15" t="e">
        <f>J33/#REF!*100</f>
        <v>#REF!</v>
      </c>
      <c r="L33" s="15">
        <f t="shared" si="11"/>
        <v>37.016949152542374</v>
      </c>
      <c r="M33" s="119"/>
      <c r="N33" s="119"/>
      <c r="O33" s="12">
        <f t="shared" si="2"/>
        <v>37.016949152542374</v>
      </c>
      <c r="P33" s="15">
        <f t="shared" si="3"/>
        <v>37.016949152542374</v>
      </c>
      <c r="Q33" s="13">
        <f t="shared" si="4"/>
        <v>9.254237288135593</v>
      </c>
    </row>
    <row r="34" spans="1:17" ht="12.75">
      <c r="A34" s="8" t="s">
        <v>10</v>
      </c>
      <c r="B34" s="8"/>
      <c r="C34" s="22" t="s">
        <v>21</v>
      </c>
      <c r="D34" s="41">
        <f t="shared" si="12"/>
        <v>24</v>
      </c>
      <c r="E34" s="41">
        <f t="shared" si="13"/>
        <v>6</v>
      </c>
      <c r="F34" s="41">
        <v>6</v>
      </c>
      <c r="G34" s="41">
        <v>6</v>
      </c>
      <c r="H34" s="12">
        <v>6</v>
      </c>
      <c r="I34" s="13">
        <v>6</v>
      </c>
      <c r="J34" s="13">
        <v>4.3</v>
      </c>
      <c r="K34" s="15" t="e">
        <f>J34/#REF!*100</f>
        <v>#REF!</v>
      </c>
      <c r="L34" s="15">
        <f t="shared" si="11"/>
        <v>71.66666666666667</v>
      </c>
      <c r="M34" s="119"/>
      <c r="N34" s="119"/>
      <c r="O34" s="12">
        <f t="shared" si="2"/>
        <v>71.66666666666667</v>
      </c>
      <c r="P34" s="15">
        <f t="shared" si="3"/>
        <v>71.66666666666667</v>
      </c>
      <c r="Q34" s="13">
        <f t="shared" si="4"/>
        <v>17.916666666666668</v>
      </c>
    </row>
    <row r="35" spans="1:17" ht="45" customHeight="1">
      <c r="A35" s="9" t="s">
        <v>11</v>
      </c>
      <c r="B35" s="9"/>
      <c r="C35" s="22" t="s">
        <v>17</v>
      </c>
      <c r="D35" s="41">
        <f t="shared" si="12"/>
        <v>1755</v>
      </c>
      <c r="E35" s="41">
        <f t="shared" si="13"/>
        <v>438.8</v>
      </c>
      <c r="F35" s="41">
        <v>438.8</v>
      </c>
      <c r="G35" s="41">
        <v>438.7</v>
      </c>
      <c r="H35" s="12">
        <v>438.8</v>
      </c>
      <c r="I35" s="13">
        <v>438.7</v>
      </c>
      <c r="J35" s="13">
        <v>12.8</v>
      </c>
      <c r="K35" s="15" t="e">
        <f>J35/#REF!*100</f>
        <v>#REF!</v>
      </c>
      <c r="L35" s="15">
        <f t="shared" si="11"/>
        <v>2.917046490428441</v>
      </c>
      <c r="M35" s="119"/>
      <c r="N35" s="119"/>
      <c r="O35" s="12">
        <f t="shared" si="2"/>
        <v>2.9177114201048555</v>
      </c>
      <c r="P35" s="15">
        <f t="shared" si="3"/>
        <v>2.917046490428441</v>
      </c>
      <c r="Q35" s="13">
        <f t="shared" si="4"/>
        <v>0.7293447293447294</v>
      </c>
    </row>
    <row r="36" spans="1:17" ht="45" customHeight="1">
      <c r="A36" s="24" t="s">
        <v>42</v>
      </c>
      <c r="B36" s="24"/>
      <c r="C36" s="22" t="s">
        <v>43</v>
      </c>
      <c r="D36" s="41">
        <f t="shared" si="12"/>
        <v>616</v>
      </c>
      <c r="E36" s="41">
        <f t="shared" si="13"/>
        <v>154</v>
      </c>
      <c r="F36" s="41">
        <v>154</v>
      </c>
      <c r="G36" s="41">
        <v>154</v>
      </c>
      <c r="H36" s="12">
        <v>154</v>
      </c>
      <c r="I36" s="13">
        <v>154</v>
      </c>
      <c r="J36" s="13"/>
      <c r="K36" s="15"/>
      <c r="L36" s="15">
        <f t="shared" si="11"/>
        <v>0</v>
      </c>
      <c r="M36" s="119"/>
      <c r="N36" s="119"/>
      <c r="O36" s="12">
        <f t="shared" si="2"/>
        <v>0</v>
      </c>
      <c r="P36" s="15">
        <f t="shared" si="3"/>
        <v>0</v>
      </c>
      <c r="Q36" s="13">
        <f t="shared" si="4"/>
        <v>0</v>
      </c>
    </row>
    <row r="37" spans="1:17" ht="45" customHeight="1">
      <c r="A37" s="23" t="s">
        <v>18</v>
      </c>
      <c r="B37" s="23"/>
      <c r="C37" s="22" t="s">
        <v>15</v>
      </c>
      <c r="D37" s="41">
        <f t="shared" si="12"/>
        <v>65</v>
      </c>
      <c r="E37" s="41">
        <f t="shared" si="13"/>
        <v>16.3</v>
      </c>
      <c r="F37" s="41">
        <v>16.3</v>
      </c>
      <c r="G37" s="41">
        <v>16.2</v>
      </c>
      <c r="H37" s="12">
        <v>16.3</v>
      </c>
      <c r="I37" s="13">
        <v>16.2</v>
      </c>
      <c r="J37" s="13">
        <v>9.7</v>
      </c>
      <c r="K37" s="15" t="e">
        <f>J37/#REF!*100</f>
        <v>#REF!</v>
      </c>
      <c r="L37" s="15">
        <f t="shared" si="11"/>
        <v>59.50920245398772</v>
      </c>
      <c r="M37" s="119"/>
      <c r="N37" s="119"/>
      <c r="O37" s="12">
        <f t="shared" si="2"/>
        <v>59.87654320987654</v>
      </c>
      <c r="P37" s="15">
        <f t="shared" si="3"/>
        <v>59.50920245398772</v>
      </c>
      <c r="Q37" s="13">
        <f t="shared" si="4"/>
        <v>14.923076923076922</v>
      </c>
    </row>
    <row r="38" spans="1:17" ht="20.25" customHeight="1">
      <c r="A38" s="25" t="s">
        <v>39</v>
      </c>
      <c r="B38" s="120"/>
      <c r="C38" s="11" t="s">
        <v>40</v>
      </c>
      <c r="D38" s="22"/>
      <c r="E38" s="41">
        <f t="shared" si="13"/>
        <v>0</v>
      </c>
      <c r="F38" s="41"/>
      <c r="G38" s="41"/>
      <c r="H38" s="12"/>
      <c r="I38" s="13"/>
      <c r="J38" s="13">
        <v>0.3</v>
      </c>
      <c r="K38" s="15"/>
      <c r="L38" s="15"/>
      <c r="M38" s="119"/>
      <c r="N38" s="119"/>
      <c r="O38" s="12" t="e">
        <f t="shared" si="2"/>
        <v>#DIV/0!</v>
      </c>
      <c r="P38" s="21"/>
      <c r="Q38" s="18"/>
    </row>
    <row r="39" spans="1:17" ht="12.75">
      <c r="A39" s="19" t="s">
        <v>1</v>
      </c>
      <c r="B39" s="19"/>
      <c r="C39" s="26" t="s">
        <v>0</v>
      </c>
      <c r="D39" s="27">
        <f>D40+D41</f>
        <v>16721</v>
      </c>
      <c r="E39" s="27">
        <f aca="true" t="shared" si="14" ref="E39:J39">E40+E41</f>
        <v>4062.5</v>
      </c>
      <c r="F39" s="27">
        <f t="shared" si="14"/>
        <v>4062.5</v>
      </c>
      <c r="G39" s="27">
        <f t="shared" si="14"/>
        <v>4219.5</v>
      </c>
      <c r="H39" s="27">
        <f t="shared" si="14"/>
        <v>4219.5</v>
      </c>
      <c r="I39" s="27">
        <f t="shared" si="14"/>
        <v>4219.5</v>
      </c>
      <c r="J39" s="27">
        <f t="shared" si="14"/>
        <v>2020.9</v>
      </c>
      <c r="K39" s="27" t="e">
        <f>K40</f>
        <v>#REF!</v>
      </c>
      <c r="L39" s="21">
        <f>J39/H39*100</f>
        <v>47.89430027254414</v>
      </c>
      <c r="M39" s="119"/>
      <c r="N39" s="119"/>
      <c r="O39" s="31">
        <f t="shared" si="2"/>
        <v>47.89430027254414</v>
      </c>
      <c r="P39" s="21">
        <f t="shared" si="3"/>
        <v>49.74523076923077</v>
      </c>
      <c r="Q39" s="18">
        <f t="shared" si="4"/>
        <v>12.085999641169787</v>
      </c>
    </row>
    <row r="40" spans="1:17" ht="41.25" customHeight="1">
      <c r="A40" s="10" t="s">
        <v>53</v>
      </c>
      <c r="B40" s="8"/>
      <c r="C40" s="28" t="s">
        <v>20</v>
      </c>
      <c r="D40" s="41">
        <f>F40+G40+H40+I40</f>
        <v>16721</v>
      </c>
      <c r="E40" s="41">
        <f t="shared" si="13"/>
        <v>4062.5</v>
      </c>
      <c r="F40" s="34">
        <v>4062.5</v>
      </c>
      <c r="G40" s="34">
        <v>4219.5</v>
      </c>
      <c r="H40" s="12">
        <v>4219.5</v>
      </c>
      <c r="I40" s="34">
        <v>4219.5</v>
      </c>
      <c r="J40" s="13">
        <v>2020.9</v>
      </c>
      <c r="K40" s="15" t="e">
        <f>J40/#REF!*100</f>
        <v>#REF!</v>
      </c>
      <c r="L40" s="15">
        <f>J40/H40*100</f>
        <v>47.89430027254414</v>
      </c>
      <c r="M40" s="119"/>
      <c r="N40" s="119"/>
      <c r="O40" s="12">
        <f t="shared" si="2"/>
        <v>47.89430027254414</v>
      </c>
      <c r="P40" s="15">
        <f t="shared" si="3"/>
        <v>49.74523076923077</v>
      </c>
      <c r="Q40" s="13">
        <f t="shared" si="4"/>
        <v>12.085999641169787</v>
      </c>
    </row>
    <row r="41" spans="1:17" ht="12.75">
      <c r="A41" s="10" t="s">
        <v>2</v>
      </c>
      <c r="B41" s="10"/>
      <c r="C41" s="29" t="s">
        <v>19</v>
      </c>
      <c r="D41" s="41">
        <f>F41+G41+H41+I41</f>
        <v>0</v>
      </c>
      <c r="E41" s="41">
        <f t="shared" si="13"/>
        <v>0</v>
      </c>
      <c r="F41" s="34"/>
      <c r="G41" s="34"/>
      <c r="H41" s="12"/>
      <c r="I41" s="34"/>
      <c r="J41" s="13"/>
      <c r="K41" s="15"/>
      <c r="L41" s="15"/>
      <c r="M41" s="119"/>
      <c r="N41" s="119"/>
      <c r="O41" s="12"/>
      <c r="P41" s="15"/>
      <c r="Q41" s="13"/>
    </row>
    <row r="42" spans="1:17" ht="12.75">
      <c r="A42" s="16"/>
      <c r="B42" s="124"/>
      <c r="C42" s="17" t="s">
        <v>4</v>
      </c>
      <c r="D42" s="18">
        <f aca="true" t="shared" si="15" ref="D42:I42">D39+D30</f>
        <v>33754</v>
      </c>
      <c r="E42" s="18">
        <f t="shared" si="15"/>
        <v>8320.900000000001</v>
      </c>
      <c r="F42" s="18">
        <f t="shared" si="15"/>
        <v>8320.900000000001</v>
      </c>
      <c r="G42" s="18">
        <f t="shared" si="15"/>
        <v>8477.599999999999</v>
      </c>
      <c r="H42" s="18">
        <f t="shared" si="15"/>
        <v>8477.900000000001</v>
      </c>
      <c r="I42" s="18">
        <f t="shared" si="15"/>
        <v>8477.599999999999</v>
      </c>
      <c r="J42" s="18">
        <f>J39+J30</f>
        <v>4631.400000000001</v>
      </c>
      <c r="K42" s="21" t="e">
        <f>J42/#REF!*100</f>
        <v>#REF!</v>
      </c>
      <c r="L42" s="21">
        <f>J42/H42*100</f>
        <v>54.629094469149194</v>
      </c>
      <c r="M42" s="119"/>
      <c r="N42" s="125" t="e">
        <f>I42+#REF!+#REF!</f>
        <v>#REF!</v>
      </c>
      <c r="O42" s="31">
        <f t="shared" si="2"/>
        <v>54.63102764933473</v>
      </c>
      <c r="P42" s="21">
        <f t="shared" si="3"/>
        <v>55.65984448797606</v>
      </c>
      <c r="Q42" s="18">
        <f t="shared" si="4"/>
        <v>13.721040469277717</v>
      </c>
    </row>
    <row r="43" spans="1:17" ht="12.75">
      <c r="A43" s="35"/>
      <c r="B43" s="127"/>
      <c r="C43" s="162"/>
      <c r="D43" s="162"/>
      <c r="E43" s="162"/>
      <c r="F43" s="162"/>
      <c r="G43" s="162"/>
      <c r="H43" s="162"/>
      <c r="I43" s="162"/>
      <c r="J43" s="162"/>
      <c r="K43" s="162"/>
      <c r="L43" s="163"/>
      <c r="M43" s="119"/>
      <c r="N43" s="119"/>
      <c r="O43" s="126"/>
      <c r="P43" s="21"/>
      <c r="Q43" s="18"/>
    </row>
    <row r="44" spans="1:17" ht="12.75">
      <c r="A44" s="149" t="s">
        <v>26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21"/>
      <c r="Q44" s="18"/>
    </row>
    <row r="45" spans="1:17" ht="12.75">
      <c r="A45" s="19" t="s">
        <v>3</v>
      </c>
      <c r="B45" s="19"/>
      <c r="C45" s="20" t="s">
        <v>54</v>
      </c>
      <c r="D45" s="21">
        <f aca="true" t="shared" si="16" ref="D45:J45">D46+D49+D51+D52+D53+D54+D50+D48+D47</f>
        <v>19510.6</v>
      </c>
      <c r="E45" s="21">
        <f t="shared" si="16"/>
        <v>4867.4</v>
      </c>
      <c r="F45" s="21">
        <f t="shared" si="16"/>
        <v>4867.4</v>
      </c>
      <c r="G45" s="21">
        <f t="shared" si="16"/>
        <v>4867.299999999999</v>
      </c>
      <c r="H45" s="21">
        <f t="shared" si="16"/>
        <v>4867.4</v>
      </c>
      <c r="I45" s="21">
        <f t="shared" si="16"/>
        <v>4908.5</v>
      </c>
      <c r="J45" s="21">
        <f t="shared" si="16"/>
        <v>2582.2000000000003</v>
      </c>
      <c r="K45" s="21" t="e">
        <f>J45/#REF!*100</f>
        <v>#REF!</v>
      </c>
      <c r="L45" s="21">
        <f>J45/H45*100</f>
        <v>53.05091013682871</v>
      </c>
      <c r="M45" s="119"/>
      <c r="N45" s="119"/>
      <c r="O45" s="21">
        <f t="shared" si="2"/>
        <v>52.60670265865336</v>
      </c>
      <c r="P45" s="21">
        <f t="shared" si="3"/>
        <v>53.050910136828705</v>
      </c>
      <c r="Q45" s="18">
        <f t="shared" si="4"/>
        <v>13.23485694955563</v>
      </c>
    </row>
    <row r="46" spans="1:17" ht="12.75">
      <c r="A46" s="16" t="s">
        <v>23</v>
      </c>
      <c r="B46" s="8"/>
      <c r="C46" s="32" t="s">
        <v>22</v>
      </c>
      <c r="D46" s="41">
        <f aca="true" t="shared" si="17" ref="D46:D58">F46+G46+H46+I46</f>
        <v>12300</v>
      </c>
      <c r="E46" s="41">
        <f aca="true" t="shared" si="18" ref="E46:E58">F46</f>
        <v>3075</v>
      </c>
      <c r="F46" s="41">
        <v>3075</v>
      </c>
      <c r="G46" s="41">
        <v>3075</v>
      </c>
      <c r="H46" s="12">
        <v>3075</v>
      </c>
      <c r="I46" s="13">
        <v>3075</v>
      </c>
      <c r="J46" s="33">
        <v>1875.8</v>
      </c>
      <c r="K46" s="15" t="e">
        <f>J46/#REF!*100</f>
        <v>#REF!</v>
      </c>
      <c r="L46" s="15">
        <f>J46/H46*100</f>
        <v>61.00162601626016</v>
      </c>
      <c r="M46" s="119"/>
      <c r="N46" s="119"/>
      <c r="O46" s="12">
        <f t="shared" si="2"/>
        <v>61.00162601626016</v>
      </c>
      <c r="P46" s="15">
        <f t="shared" si="3"/>
        <v>61.00162601626016</v>
      </c>
      <c r="Q46" s="13">
        <f t="shared" si="4"/>
        <v>15.25040650406504</v>
      </c>
    </row>
    <row r="47" spans="1:17" ht="12.75">
      <c r="A47" s="8" t="s">
        <v>56</v>
      </c>
      <c r="B47" s="8"/>
      <c r="C47" s="22" t="s">
        <v>57</v>
      </c>
      <c r="D47" s="41">
        <f t="shared" si="17"/>
        <v>4056.0999999999995</v>
      </c>
      <c r="E47" s="41">
        <f t="shared" si="18"/>
        <v>1003.8</v>
      </c>
      <c r="F47" s="41">
        <v>1003.8</v>
      </c>
      <c r="G47" s="41">
        <v>1003.8</v>
      </c>
      <c r="H47" s="12">
        <v>1003.8</v>
      </c>
      <c r="I47" s="13">
        <v>1044.7</v>
      </c>
      <c r="J47" s="33">
        <v>281.2</v>
      </c>
      <c r="K47" s="15"/>
      <c r="L47" s="15"/>
      <c r="M47" s="119"/>
      <c r="N47" s="119"/>
      <c r="O47" s="12"/>
      <c r="P47" s="15">
        <f>J47*100/E47</f>
        <v>28.01354851564057</v>
      </c>
      <c r="Q47" s="13">
        <f>J47*100/D47</f>
        <v>6.932767929784769</v>
      </c>
    </row>
    <row r="48" spans="1:17" ht="12.75">
      <c r="A48" s="8" t="s">
        <v>8</v>
      </c>
      <c r="B48" s="8"/>
      <c r="C48" s="22" t="s">
        <v>5</v>
      </c>
      <c r="D48" s="41">
        <f t="shared" si="17"/>
        <v>17</v>
      </c>
      <c r="E48" s="41">
        <f t="shared" si="18"/>
        <v>4.2</v>
      </c>
      <c r="F48" s="41">
        <v>4.2</v>
      </c>
      <c r="G48" s="41">
        <v>4.2</v>
      </c>
      <c r="H48" s="12">
        <v>4.2</v>
      </c>
      <c r="I48" s="13">
        <v>4.4</v>
      </c>
      <c r="J48" s="33">
        <v>3.5</v>
      </c>
      <c r="K48" s="15" t="e">
        <f>J48/#REF!*100</f>
        <v>#REF!</v>
      </c>
      <c r="L48" s="15">
        <f>J48/H48*100</f>
        <v>83.33333333333333</v>
      </c>
      <c r="M48" s="119"/>
      <c r="N48" s="119"/>
      <c r="O48" s="12">
        <f t="shared" si="2"/>
        <v>79.54545454545453</v>
      </c>
      <c r="P48" s="15">
        <f t="shared" si="3"/>
        <v>83.33333333333333</v>
      </c>
      <c r="Q48" s="13">
        <f t="shared" si="4"/>
        <v>20.58823529411765</v>
      </c>
    </row>
    <row r="49" spans="1:17" ht="12.75">
      <c r="A49" s="8" t="s">
        <v>9</v>
      </c>
      <c r="B49" s="8"/>
      <c r="C49" s="22" t="s">
        <v>6</v>
      </c>
      <c r="D49" s="41">
        <f t="shared" si="17"/>
        <v>2280</v>
      </c>
      <c r="E49" s="41">
        <f t="shared" si="18"/>
        <v>570</v>
      </c>
      <c r="F49" s="41">
        <v>570</v>
      </c>
      <c r="G49" s="41">
        <v>570</v>
      </c>
      <c r="H49" s="12">
        <v>570</v>
      </c>
      <c r="I49" s="13">
        <v>570</v>
      </c>
      <c r="J49" s="13">
        <v>256.1</v>
      </c>
      <c r="K49" s="15" t="e">
        <f>J49/#REF!*100</f>
        <v>#REF!</v>
      </c>
      <c r="L49" s="15">
        <f>J49/H49*100</f>
        <v>44.929824561403514</v>
      </c>
      <c r="M49" s="119"/>
      <c r="N49" s="119"/>
      <c r="O49" s="12">
        <f t="shared" si="2"/>
        <v>44.929824561403514</v>
      </c>
      <c r="P49" s="15">
        <f t="shared" si="3"/>
        <v>44.929824561403514</v>
      </c>
      <c r="Q49" s="13">
        <f t="shared" si="4"/>
        <v>11.232456140350878</v>
      </c>
    </row>
    <row r="50" spans="1:17" ht="12.75">
      <c r="A50" s="8" t="s">
        <v>10</v>
      </c>
      <c r="B50" s="8"/>
      <c r="C50" s="22" t="s">
        <v>21</v>
      </c>
      <c r="D50" s="41">
        <f t="shared" si="17"/>
        <v>0</v>
      </c>
      <c r="E50" s="41">
        <f t="shared" si="18"/>
        <v>0</v>
      </c>
      <c r="F50" s="41"/>
      <c r="G50" s="41"/>
      <c r="H50" s="12"/>
      <c r="I50" s="13"/>
      <c r="J50" s="13"/>
      <c r="K50" s="15"/>
      <c r="L50" s="15"/>
      <c r="M50" s="119"/>
      <c r="N50" s="119"/>
      <c r="O50" s="12" t="e">
        <f t="shared" si="2"/>
        <v>#DIV/0!</v>
      </c>
      <c r="P50" s="15" t="e">
        <f t="shared" si="3"/>
        <v>#DIV/0!</v>
      </c>
      <c r="Q50" s="13" t="e">
        <f t="shared" si="4"/>
        <v>#DIV/0!</v>
      </c>
    </row>
    <row r="51" spans="1:17" ht="15.75" customHeight="1">
      <c r="A51" s="9" t="s">
        <v>11</v>
      </c>
      <c r="B51" s="9"/>
      <c r="C51" s="22" t="s">
        <v>17</v>
      </c>
      <c r="D51" s="41">
        <f t="shared" si="17"/>
        <v>632.5</v>
      </c>
      <c r="E51" s="41">
        <f t="shared" si="18"/>
        <v>158.1</v>
      </c>
      <c r="F51" s="41">
        <v>158.1</v>
      </c>
      <c r="G51" s="41">
        <v>158.1</v>
      </c>
      <c r="H51" s="12">
        <v>158.1</v>
      </c>
      <c r="I51" s="13">
        <v>158.2</v>
      </c>
      <c r="J51" s="13">
        <v>162.8</v>
      </c>
      <c r="K51" s="15" t="e">
        <f>J51/#REF!*100</f>
        <v>#REF!</v>
      </c>
      <c r="L51" s="15">
        <f>J51/H51*100</f>
        <v>102.97280202403543</v>
      </c>
      <c r="M51" s="119"/>
      <c r="N51" s="119"/>
      <c r="O51" s="12">
        <f t="shared" si="2"/>
        <v>102.9077117572693</v>
      </c>
      <c r="P51" s="15">
        <f t="shared" si="3"/>
        <v>102.97280202403543</v>
      </c>
      <c r="Q51" s="13">
        <f t="shared" si="4"/>
        <v>25.739130434782613</v>
      </c>
    </row>
    <row r="52" spans="1:17" ht="15.75" customHeight="1">
      <c r="A52" s="24" t="s">
        <v>18</v>
      </c>
      <c r="B52" s="24"/>
      <c r="C52" s="22" t="s">
        <v>15</v>
      </c>
      <c r="D52" s="41">
        <f t="shared" si="17"/>
        <v>225</v>
      </c>
      <c r="E52" s="41">
        <f t="shared" si="18"/>
        <v>56.3</v>
      </c>
      <c r="F52" s="41">
        <v>56.3</v>
      </c>
      <c r="G52" s="41">
        <v>56.2</v>
      </c>
      <c r="H52" s="12">
        <v>56.3</v>
      </c>
      <c r="I52" s="13">
        <v>56.2</v>
      </c>
      <c r="J52" s="13">
        <v>2.8</v>
      </c>
      <c r="K52" s="15" t="e">
        <f>J52/#REF!*100</f>
        <v>#REF!</v>
      </c>
      <c r="L52" s="15">
        <f>J52/H52*100</f>
        <v>4.9733570159857905</v>
      </c>
      <c r="M52" s="119"/>
      <c r="N52" s="119"/>
      <c r="O52" s="12">
        <f t="shared" si="2"/>
        <v>4.98220640569395</v>
      </c>
      <c r="P52" s="15">
        <f t="shared" si="3"/>
        <v>4.9733570159857905</v>
      </c>
      <c r="Q52" s="13">
        <f t="shared" si="4"/>
        <v>1.2444444444444445</v>
      </c>
    </row>
    <row r="53" spans="1:17" ht="15.75" customHeight="1">
      <c r="A53" s="16" t="s">
        <v>12</v>
      </c>
      <c r="B53" s="16"/>
      <c r="C53" s="22" t="s">
        <v>7</v>
      </c>
      <c r="D53" s="41">
        <f t="shared" si="17"/>
        <v>0</v>
      </c>
      <c r="E53" s="41">
        <f t="shared" si="18"/>
        <v>0</v>
      </c>
      <c r="F53" s="41"/>
      <c r="G53" s="41"/>
      <c r="H53" s="12"/>
      <c r="I53" s="13"/>
      <c r="J53" s="13"/>
      <c r="K53" s="15" t="e">
        <f>J53/#REF!*100</f>
        <v>#REF!</v>
      </c>
      <c r="L53" s="15"/>
      <c r="M53" s="119"/>
      <c r="N53" s="119"/>
      <c r="O53" s="12" t="e">
        <f t="shared" si="2"/>
        <v>#DIV/0!</v>
      </c>
      <c r="P53" s="15"/>
      <c r="Q53" s="13"/>
    </row>
    <row r="54" spans="1:17" ht="15.75" customHeight="1">
      <c r="A54" s="36" t="s">
        <v>39</v>
      </c>
      <c r="B54" s="120"/>
      <c r="C54" s="11" t="s">
        <v>40</v>
      </c>
      <c r="D54" s="41">
        <f t="shared" si="17"/>
        <v>0</v>
      </c>
      <c r="E54" s="41">
        <f t="shared" si="18"/>
        <v>0</v>
      </c>
      <c r="F54" s="41"/>
      <c r="G54" s="41"/>
      <c r="H54" s="12"/>
      <c r="I54" s="13"/>
      <c r="J54" s="13"/>
      <c r="K54" s="15"/>
      <c r="L54" s="15"/>
      <c r="M54" s="119"/>
      <c r="N54" s="119"/>
      <c r="O54" s="12" t="e">
        <f t="shared" si="2"/>
        <v>#DIV/0!</v>
      </c>
      <c r="P54" s="15"/>
      <c r="Q54" s="13"/>
    </row>
    <row r="55" spans="1:17" ht="12.75">
      <c r="A55" s="30" t="s">
        <v>1</v>
      </c>
      <c r="B55" s="30"/>
      <c r="C55" s="26" t="s">
        <v>0</v>
      </c>
      <c r="D55" s="27">
        <f>D56+D58+D57</f>
        <v>36112.9</v>
      </c>
      <c r="E55" s="27">
        <f aca="true" t="shared" si="19" ref="E55:O55">E56+E58+E57</f>
        <v>17770.1</v>
      </c>
      <c r="F55" s="27">
        <f t="shared" si="19"/>
        <v>17770.1</v>
      </c>
      <c r="G55" s="27">
        <f t="shared" si="19"/>
        <v>6114.3</v>
      </c>
      <c r="H55" s="27">
        <f t="shared" si="19"/>
        <v>6114.2</v>
      </c>
      <c r="I55" s="27">
        <f t="shared" si="19"/>
        <v>6114.3</v>
      </c>
      <c r="J55" s="27">
        <f t="shared" si="19"/>
        <v>2256.5</v>
      </c>
      <c r="K55" s="27" t="e">
        <f t="shared" si="19"/>
        <v>#REF!</v>
      </c>
      <c r="L55" s="27">
        <f t="shared" si="19"/>
        <v>36.9058912040823</v>
      </c>
      <c r="M55" s="27">
        <f t="shared" si="19"/>
        <v>0.1</v>
      </c>
      <c r="N55" s="27">
        <f t="shared" si="19"/>
        <v>0</v>
      </c>
      <c r="O55" s="27" t="e">
        <f t="shared" si="19"/>
        <v>#DIV/0!</v>
      </c>
      <c r="P55" s="21">
        <f t="shared" si="3"/>
        <v>12.698296576834121</v>
      </c>
      <c r="Q55" s="18">
        <f t="shared" si="4"/>
        <v>6.248459691689119</v>
      </c>
    </row>
    <row r="56" spans="1:17" ht="45.75" customHeight="1">
      <c r="A56" s="10" t="s">
        <v>53</v>
      </c>
      <c r="B56" s="8"/>
      <c r="C56" s="28" t="s">
        <v>20</v>
      </c>
      <c r="D56" s="41">
        <f t="shared" si="17"/>
        <v>36112.9</v>
      </c>
      <c r="E56" s="41">
        <f t="shared" si="18"/>
        <v>17770.1</v>
      </c>
      <c r="F56" s="34">
        <v>17770.1</v>
      </c>
      <c r="G56" s="34">
        <v>6114.3</v>
      </c>
      <c r="H56" s="12">
        <v>6114.2</v>
      </c>
      <c r="I56" s="12">
        <v>6114.3</v>
      </c>
      <c r="J56" s="13">
        <v>2256.5</v>
      </c>
      <c r="K56" s="15" t="e">
        <f>J56/#REF!*100</f>
        <v>#REF!</v>
      </c>
      <c r="L56" s="15">
        <f>J56/H56*100</f>
        <v>36.9058912040823</v>
      </c>
      <c r="M56" s="119">
        <v>0.1</v>
      </c>
      <c r="N56" s="119"/>
      <c r="O56" s="12">
        <f t="shared" si="2"/>
        <v>36.905287604468214</v>
      </c>
      <c r="P56" s="15">
        <f t="shared" si="3"/>
        <v>12.698296576834121</v>
      </c>
      <c r="Q56" s="13">
        <f t="shared" si="4"/>
        <v>6.248459691689119</v>
      </c>
    </row>
    <row r="57" spans="1:17" ht="12.75">
      <c r="A57" s="10" t="s">
        <v>2</v>
      </c>
      <c r="B57" s="10"/>
      <c r="C57" s="29" t="s">
        <v>19</v>
      </c>
      <c r="D57" s="41">
        <f>F57+G57+H57+I57</f>
        <v>0</v>
      </c>
      <c r="E57" s="41">
        <f t="shared" si="18"/>
        <v>0</v>
      </c>
      <c r="F57" s="34"/>
      <c r="G57" s="34"/>
      <c r="H57" s="12"/>
      <c r="I57" s="126"/>
      <c r="J57" s="13"/>
      <c r="K57" s="15"/>
      <c r="L57" s="15"/>
      <c r="M57" s="119"/>
      <c r="N57" s="119"/>
      <c r="O57" s="12"/>
      <c r="P57" s="15" t="e">
        <f t="shared" si="3"/>
        <v>#DIV/0!</v>
      </c>
      <c r="Q57" s="13" t="e">
        <f t="shared" si="4"/>
        <v>#DIV/0!</v>
      </c>
    </row>
    <row r="58" spans="1:17" ht="38.25" customHeight="1">
      <c r="A58" s="10" t="s">
        <v>52</v>
      </c>
      <c r="B58" s="122"/>
      <c r="C58" s="14" t="s">
        <v>49</v>
      </c>
      <c r="D58" s="41">
        <f t="shared" si="17"/>
        <v>0</v>
      </c>
      <c r="E58" s="41">
        <f t="shared" si="18"/>
        <v>0</v>
      </c>
      <c r="F58" s="128"/>
      <c r="G58" s="128"/>
      <c r="H58" s="12"/>
      <c r="I58" s="126"/>
      <c r="J58" s="13"/>
      <c r="K58" s="15" t="e">
        <f>J58/#REF!*100</f>
        <v>#REF!</v>
      </c>
      <c r="L58" s="15"/>
      <c r="M58" s="119"/>
      <c r="N58" s="119"/>
      <c r="O58" s="12" t="e">
        <f t="shared" si="2"/>
        <v>#DIV/0!</v>
      </c>
      <c r="P58" s="15"/>
      <c r="Q58" s="13"/>
    </row>
    <row r="59" spans="1:17" ht="12.75">
      <c r="A59" s="9"/>
      <c r="B59" s="129"/>
      <c r="C59" s="37" t="s">
        <v>4</v>
      </c>
      <c r="D59" s="38">
        <f aca="true" t="shared" si="20" ref="D59:J59">D55+D45</f>
        <v>55623.5</v>
      </c>
      <c r="E59" s="38">
        <f t="shared" si="20"/>
        <v>22637.5</v>
      </c>
      <c r="F59" s="38">
        <f t="shared" si="20"/>
        <v>22637.5</v>
      </c>
      <c r="G59" s="38">
        <f t="shared" si="20"/>
        <v>10981.599999999999</v>
      </c>
      <c r="H59" s="38">
        <f t="shared" si="20"/>
        <v>10981.599999999999</v>
      </c>
      <c r="I59" s="38">
        <f t="shared" si="20"/>
        <v>11022.8</v>
      </c>
      <c r="J59" s="38">
        <f t="shared" si="20"/>
        <v>4838.700000000001</v>
      </c>
      <c r="K59" s="21" t="e">
        <f>J59/#REF!*100</f>
        <v>#REF!</v>
      </c>
      <c r="L59" s="21">
        <f>J59/H59*100</f>
        <v>44.06188533547025</v>
      </c>
      <c r="M59" s="119"/>
      <c r="N59" s="125" t="e">
        <f>I59+#REF!+#REF!</f>
        <v>#REF!</v>
      </c>
      <c r="O59" s="31">
        <f t="shared" si="2"/>
        <v>43.89719490510579</v>
      </c>
      <c r="P59" s="21">
        <f t="shared" si="3"/>
        <v>21.374710104914413</v>
      </c>
      <c r="Q59" s="18">
        <f t="shared" si="4"/>
        <v>8.699021097198127</v>
      </c>
    </row>
    <row r="60" spans="1:17" ht="12.7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2"/>
      <c r="M60" s="119"/>
      <c r="N60" s="119"/>
      <c r="O60" s="126"/>
      <c r="P60" s="21"/>
      <c r="Q60" s="18"/>
    </row>
    <row r="61" spans="1:17" ht="12.75">
      <c r="A61" s="149" t="s">
        <v>27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21"/>
      <c r="Q61" s="18"/>
    </row>
    <row r="62" spans="1:17" ht="12.75">
      <c r="A62" s="30" t="s">
        <v>3</v>
      </c>
      <c r="B62" s="30"/>
      <c r="C62" s="39" t="s">
        <v>54</v>
      </c>
      <c r="D62" s="31">
        <f>D63+D66+D68+D70+D67+D72+D71+D65+D69+D64</f>
        <v>40329</v>
      </c>
      <c r="E62" s="31">
        <f>E63+E66+E68+E70+E67+E72+E71+E65+E69+E64</f>
        <v>8510.3</v>
      </c>
      <c r="F62" s="31">
        <f aca="true" t="shared" si="21" ref="F62:O62">F63+F66+F68+F70+F67+F72+F71+F65+F69+F64</f>
        <v>8510.3</v>
      </c>
      <c r="G62" s="31">
        <f t="shared" si="21"/>
        <v>10393.2</v>
      </c>
      <c r="H62" s="31">
        <f t="shared" si="21"/>
        <v>8682.5</v>
      </c>
      <c r="I62" s="31">
        <f t="shared" si="21"/>
        <v>12743</v>
      </c>
      <c r="J62" s="31">
        <f t="shared" si="21"/>
        <v>5103.900000000001</v>
      </c>
      <c r="K62" s="31" t="e">
        <f t="shared" si="21"/>
        <v>#REF!</v>
      </c>
      <c r="L62" s="31" t="e">
        <f t="shared" si="21"/>
        <v>#DIV/0!</v>
      </c>
      <c r="M62" s="31">
        <f t="shared" si="21"/>
        <v>0</v>
      </c>
      <c r="N62" s="31">
        <f t="shared" si="21"/>
        <v>0</v>
      </c>
      <c r="O62" s="31" t="e">
        <f t="shared" si="21"/>
        <v>#DIV/0!</v>
      </c>
      <c r="P62" s="21">
        <f t="shared" si="3"/>
        <v>59.97320893505518</v>
      </c>
      <c r="Q62" s="18">
        <f t="shared" si="4"/>
        <v>12.655657219370678</v>
      </c>
    </row>
    <row r="63" spans="1:17" ht="12.75">
      <c r="A63" s="8" t="s">
        <v>23</v>
      </c>
      <c r="B63" s="8"/>
      <c r="C63" s="32" t="s">
        <v>22</v>
      </c>
      <c r="D63" s="41">
        <f>F63+G63+H63+I63</f>
        <v>18800</v>
      </c>
      <c r="E63" s="41">
        <f aca="true" t="shared" si="22" ref="E63:E75">F63</f>
        <v>3743</v>
      </c>
      <c r="F63" s="130">
        <v>3743</v>
      </c>
      <c r="G63" s="130">
        <v>5607</v>
      </c>
      <c r="H63" s="15">
        <v>4051.2</v>
      </c>
      <c r="I63" s="15">
        <v>5398.8</v>
      </c>
      <c r="J63" s="15">
        <v>2112.3</v>
      </c>
      <c r="K63" s="15" t="e">
        <f>J63/#REF!*100</f>
        <v>#REF!</v>
      </c>
      <c r="L63" s="15">
        <f aca="true" t="shared" si="23" ref="L63:L70">J63/H63*100</f>
        <v>52.14010663507109</v>
      </c>
      <c r="M63" s="119"/>
      <c r="N63" s="119"/>
      <c r="O63" s="15">
        <f t="shared" si="2"/>
        <v>39.125361191375866</v>
      </c>
      <c r="P63" s="15">
        <f t="shared" si="3"/>
        <v>56.43334223884585</v>
      </c>
      <c r="Q63" s="13">
        <f t="shared" si="4"/>
        <v>11.235638297872342</v>
      </c>
    </row>
    <row r="64" spans="1:17" ht="12.75">
      <c r="A64" s="8" t="s">
        <v>56</v>
      </c>
      <c r="B64" s="8"/>
      <c r="C64" s="22" t="s">
        <v>57</v>
      </c>
      <c r="D64" s="41">
        <f>F64+G64+H64+I64</f>
        <v>6809</v>
      </c>
      <c r="E64" s="41">
        <f t="shared" si="22"/>
        <v>1705.5</v>
      </c>
      <c r="F64" s="130">
        <v>1705.5</v>
      </c>
      <c r="G64" s="130">
        <v>1689.5</v>
      </c>
      <c r="H64" s="15">
        <v>1706.5</v>
      </c>
      <c r="I64" s="15">
        <v>1707.5</v>
      </c>
      <c r="J64" s="15">
        <v>472.1</v>
      </c>
      <c r="K64" s="15"/>
      <c r="L64" s="15"/>
      <c r="M64" s="119"/>
      <c r="N64" s="119"/>
      <c r="O64" s="15"/>
      <c r="P64" s="15">
        <f>J64*100/E64</f>
        <v>27.68103195543829</v>
      </c>
      <c r="Q64" s="13">
        <f>J64*100/D64</f>
        <v>6.93347040681451</v>
      </c>
    </row>
    <row r="65" spans="1:17" ht="12.75">
      <c r="A65" s="8" t="s">
        <v>8</v>
      </c>
      <c r="B65" s="8"/>
      <c r="C65" s="22" t="s">
        <v>5</v>
      </c>
      <c r="D65" s="41">
        <f aca="true" t="shared" si="24" ref="D65:D75">F65+G65+H65+I65</f>
        <v>33</v>
      </c>
      <c r="E65" s="41">
        <f t="shared" si="22"/>
        <v>25</v>
      </c>
      <c r="F65" s="34">
        <v>25</v>
      </c>
      <c r="G65" s="34">
        <v>8</v>
      </c>
      <c r="H65" s="12"/>
      <c r="I65" s="12"/>
      <c r="J65" s="12"/>
      <c r="K65" s="15" t="e">
        <f>J65/#REF!*100</f>
        <v>#REF!</v>
      </c>
      <c r="L65" s="15" t="e">
        <f t="shared" si="23"/>
        <v>#DIV/0!</v>
      </c>
      <c r="M65" s="119"/>
      <c r="N65" s="119"/>
      <c r="O65" s="12" t="e">
        <f t="shared" si="2"/>
        <v>#DIV/0!</v>
      </c>
      <c r="P65" s="15">
        <f t="shared" si="3"/>
        <v>0</v>
      </c>
      <c r="Q65" s="13">
        <f t="shared" si="4"/>
        <v>0</v>
      </c>
    </row>
    <row r="66" spans="1:17" ht="12.75">
      <c r="A66" s="8" t="s">
        <v>9</v>
      </c>
      <c r="B66" s="8"/>
      <c r="C66" s="22" t="s">
        <v>6</v>
      </c>
      <c r="D66" s="41">
        <f t="shared" si="24"/>
        <v>7220</v>
      </c>
      <c r="E66" s="41">
        <f t="shared" si="22"/>
        <v>1229</v>
      </c>
      <c r="F66" s="34">
        <v>1229</v>
      </c>
      <c r="G66" s="34">
        <v>1176</v>
      </c>
      <c r="H66" s="12">
        <v>1057</v>
      </c>
      <c r="I66" s="12">
        <v>3758</v>
      </c>
      <c r="J66" s="12">
        <v>1962.5</v>
      </c>
      <c r="K66" s="15" t="e">
        <f>J66/#REF!*100</f>
        <v>#REF!</v>
      </c>
      <c r="L66" s="15">
        <f t="shared" si="23"/>
        <v>185.66698202459793</v>
      </c>
      <c r="M66" s="119"/>
      <c r="N66" s="119"/>
      <c r="O66" s="12">
        <f t="shared" si="2"/>
        <v>52.22192655667909</v>
      </c>
      <c r="P66" s="15">
        <f t="shared" si="3"/>
        <v>159.6826688364524</v>
      </c>
      <c r="Q66" s="13">
        <f t="shared" si="4"/>
        <v>27.181440443213297</v>
      </c>
    </row>
    <row r="67" spans="1:17" ht="12.75">
      <c r="A67" s="8" t="s">
        <v>10</v>
      </c>
      <c r="B67" s="8"/>
      <c r="C67" s="22" t="s">
        <v>21</v>
      </c>
      <c r="D67" s="41">
        <f t="shared" si="24"/>
        <v>7</v>
      </c>
      <c r="E67" s="41">
        <f t="shared" si="22"/>
        <v>3</v>
      </c>
      <c r="F67" s="34">
        <v>3</v>
      </c>
      <c r="G67" s="34">
        <v>3</v>
      </c>
      <c r="H67" s="12">
        <v>1</v>
      </c>
      <c r="I67" s="12"/>
      <c r="J67" s="12"/>
      <c r="K67" s="15"/>
      <c r="L67" s="15">
        <f t="shared" si="23"/>
        <v>0</v>
      </c>
      <c r="M67" s="119"/>
      <c r="N67" s="119"/>
      <c r="O67" s="12" t="e">
        <f t="shared" si="2"/>
        <v>#DIV/0!</v>
      </c>
      <c r="P67" s="15">
        <f>J67*100/E67</f>
        <v>0</v>
      </c>
      <c r="Q67" s="13">
        <f>J67*100/D67</f>
        <v>0</v>
      </c>
    </row>
    <row r="68" spans="1:17" ht="36">
      <c r="A68" s="9" t="s">
        <v>11</v>
      </c>
      <c r="B68" s="9"/>
      <c r="C68" s="22" t="s">
        <v>17</v>
      </c>
      <c r="D68" s="41">
        <f t="shared" si="24"/>
        <v>7275</v>
      </c>
      <c r="E68" s="41">
        <f t="shared" si="22"/>
        <v>1758.8</v>
      </c>
      <c r="F68" s="34">
        <v>1758.8</v>
      </c>
      <c r="G68" s="34">
        <v>1861.7</v>
      </c>
      <c r="H68" s="12">
        <v>1820.8</v>
      </c>
      <c r="I68" s="12">
        <v>1833.7</v>
      </c>
      <c r="J68" s="12">
        <v>448.6</v>
      </c>
      <c r="K68" s="15" t="e">
        <f>J68/#REF!*100</f>
        <v>#REF!</v>
      </c>
      <c r="L68" s="15">
        <f t="shared" si="23"/>
        <v>24.637521968365554</v>
      </c>
      <c r="M68" s="119"/>
      <c r="N68" s="119"/>
      <c r="O68" s="12">
        <f t="shared" si="2"/>
        <v>24.464198069477014</v>
      </c>
      <c r="P68" s="15">
        <f t="shared" si="3"/>
        <v>25.506026836479418</v>
      </c>
      <c r="Q68" s="13">
        <f t="shared" si="4"/>
        <v>6.166323024054983</v>
      </c>
    </row>
    <row r="69" spans="1:17" ht="24">
      <c r="A69" s="24" t="s">
        <v>42</v>
      </c>
      <c r="B69" s="24"/>
      <c r="C69" s="22" t="s">
        <v>43</v>
      </c>
      <c r="D69" s="41">
        <f t="shared" si="24"/>
        <v>0</v>
      </c>
      <c r="E69" s="41">
        <f t="shared" si="22"/>
        <v>0</v>
      </c>
      <c r="F69" s="34"/>
      <c r="G69" s="34"/>
      <c r="H69" s="12"/>
      <c r="I69" s="12"/>
      <c r="J69" s="12"/>
      <c r="K69" s="15" t="e">
        <f>J69/#REF!*100</f>
        <v>#REF!</v>
      </c>
      <c r="L69" s="15"/>
      <c r="M69" s="119"/>
      <c r="N69" s="119"/>
      <c r="O69" s="12" t="e">
        <f t="shared" si="2"/>
        <v>#DIV/0!</v>
      </c>
      <c r="P69" s="15"/>
      <c r="Q69" s="13"/>
    </row>
    <row r="70" spans="1:17" ht="24">
      <c r="A70" s="23" t="s">
        <v>18</v>
      </c>
      <c r="B70" s="23"/>
      <c r="C70" s="22" t="s">
        <v>15</v>
      </c>
      <c r="D70" s="41">
        <f t="shared" si="24"/>
        <v>185</v>
      </c>
      <c r="E70" s="41">
        <f t="shared" si="22"/>
        <v>46</v>
      </c>
      <c r="F70" s="34">
        <v>46</v>
      </c>
      <c r="G70" s="34">
        <v>48</v>
      </c>
      <c r="H70" s="12">
        <v>46</v>
      </c>
      <c r="I70" s="12">
        <v>45</v>
      </c>
      <c r="J70" s="12">
        <v>108.4</v>
      </c>
      <c r="K70" s="15" t="e">
        <f>J70/#REF!*100</f>
        <v>#REF!</v>
      </c>
      <c r="L70" s="15">
        <f t="shared" si="23"/>
        <v>235.6521739130435</v>
      </c>
      <c r="M70" s="119"/>
      <c r="N70" s="119"/>
      <c r="O70" s="12">
        <f t="shared" si="2"/>
        <v>240.88888888888889</v>
      </c>
      <c r="P70" s="15">
        <f t="shared" si="3"/>
        <v>235.65217391304347</v>
      </c>
      <c r="Q70" s="13">
        <f t="shared" si="4"/>
        <v>58.5945945945946</v>
      </c>
    </row>
    <row r="71" spans="1:17" ht="12.75">
      <c r="A71" s="16" t="s">
        <v>12</v>
      </c>
      <c r="B71" s="16"/>
      <c r="C71" s="22" t="s">
        <v>7</v>
      </c>
      <c r="D71" s="41">
        <f t="shared" si="24"/>
        <v>0</v>
      </c>
      <c r="E71" s="41">
        <f t="shared" si="22"/>
        <v>0</v>
      </c>
      <c r="F71" s="34"/>
      <c r="G71" s="34"/>
      <c r="H71" s="12"/>
      <c r="I71" s="12"/>
      <c r="J71" s="12"/>
      <c r="K71" s="15"/>
      <c r="L71" s="15"/>
      <c r="M71" s="119"/>
      <c r="N71" s="119"/>
      <c r="O71" s="12" t="e">
        <f t="shared" si="2"/>
        <v>#DIV/0!</v>
      </c>
      <c r="P71" s="15"/>
      <c r="Q71" s="13"/>
    </row>
    <row r="72" spans="1:17" ht="12.75">
      <c r="A72" s="25" t="s">
        <v>39</v>
      </c>
      <c r="B72" s="120"/>
      <c r="C72" s="11" t="s">
        <v>40</v>
      </c>
      <c r="D72" s="41">
        <f t="shared" si="24"/>
        <v>0</v>
      </c>
      <c r="E72" s="41">
        <f t="shared" si="22"/>
        <v>0</v>
      </c>
      <c r="F72" s="34"/>
      <c r="G72" s="34"/>
      <c r="H72" s="12"/>
      <c r="I72" s="12"/>
      <c r="J72" s="12"/>
      <c r="K72" s="15"/>
      <c r="L72" s="15"/>
      <c r="M72" s="119"/>
      <c r="N72" s="119"/>
      <c r="O72" s="12" t="e">
        <f t="shared" si="2"/>
        <v>#DIV/0!</v>
      </c>
      <c r="P72" s="15"/>
      <c r="Q72" s="13"/>
    </row>
    <row r="73" spans="1:17" ht="12.75">
      <c r="A73" s="19" t="s">
        <v>1</v>
      </c>
      <c r="B73" s="19"/>
      <c r="C73" s="26" t="s">
        <v>0</v>
      </c>
      <c r="D73" s="27">
        <f aca="true" t="shared" si="25" ref="D73:J73">D74+D75</f>
        <v>23684.199999999997</v>
      </c>
      <c r="E73" s="27">
        <f t="shared" si="25"/>
        <v>4930.3</v>
      </c>
      <c r="F73" s="27">
        <f t="shared" si="25"/>
        <v>4930.3</v>
      </c>
      <c r="G73" s="27">
        <f t="shared" si="25"/>
        <v>7007.2</v>
      </c>
      <c r="H73" s="27">
        <f t="shared" si="25"/>
        <v>6326.6</v>
      </c>
      <c r="I73" s="27">
        <f t="shared" si="25"/>
        <v>5420.1</v>
      </c>
      <c r="J73" s="27">
        <f t="shared" si="25"/>
        <v>2603.8</v>
      </c>
      <c r="K73" s="21" t="e">
        <f>J73/#REF!*100</f>
        <v>#REF!</v>
      </c>
      <c r="L73" s="21">
        <f>J73/H73*100</f>
        <v>41.15638731704233</v>
      </c>
      <c r="M73" s="119"/>
      <c r="N73" s="119"/>
      <c r="O73" s="31">
        <f t="shared" si="2"/>
        <v>48.039704064500654</v>
      </c>
      <c r="P73" s="21">
        <f t="shared" si="3"/>
        <v>52.81220209723546</v>
      </c>
      <c r="Q73" s="18">
        <f t="shared" si="4"/>
        <v>10.993827108367606</v>
      </c>
    </row>
    <row r="74" spans="1:17" ht="36">
      <c r="A74" s="10" t="s">
        <v>53</v>
      </c>
      <c r="B74" s="8"/>
      <c r="C74" s="28" t="s">
        <v>20</v>
      </c>
      <c r="D74" s="41">
        <f t="shared" si="24"/>
        <v>23684.199999999997</v>
      </c>
      <c r="E74" s="41">
        <f t="shared" si="22"/>
        <v>4930.3</v>
      </c>
      <c r="F74" s="34">
        <v>4930.3</v>
      </c>
      <c r="G74" s="34">
        <v>7007.2</v>
      </c>
      <c r="H74" s="12">
        <v>6326.6</v>
      </c>
      <c r="I74" s="13">
        <v>5420.1</v>
      </c>
      <c r="J74" s="13">
        <v>2603.8</v>
      </c>
      <c r="K74" s="15" t="e">
        <f>J74/#REF!*100</f>
        <v>#REF!</v>
      </c>
      <c r="L74" s="15">
        <f>J74/H74*100</f>
        <v>41.15638731704233</v>
      </c>
      <c r="M74" s="119"/>
      <c r="N74" s="119"/>
      <c r="O74" s="12">
        <f t="shared" si="2"/>
        <v>48.039704064500654</v>
      </c>
      <c r="P74" s="15">
        <f t="shared" si="3"/>
        <v>52.81220209723546</v>
      </c>
      <c r="Q74" s="13">
        <f t="shared" si="4"/>
        <v>10.993827108367606</v>
      </c>
    </row>
    <row r="75" spans="1:17" ht="48">
      <c r="A75" s="10" t="s">
        <v>52</v>
      </c>
      <c r="B75" s="122"/>
      <c r="C75" s="14" t="s">
        <v>49</v>
      </c>
      <c r="D75" s="41">
        <f t="shared" si="24"/>
        <v>0</v>
      </c>
      <c r="E75" s="41">
        <f t="shared" si="22"/>
        <v>0</v>
      </c>
      <c r="F75" s="128"/>
      <c r="G75" s="128"/>
      <c r="H75" s="12"/>
      <c r="I75" s="13"/>
      <c r="J75" s="13"/>
      <c r="K75" s="15" t="e">
        <f>J75/#REF!*100</f>
        <v>#REF!</v>
      </c>
      <c r="L75" s="15"/>
      <c r="M75" s="119"/>
      <c r="N75" s="119"/>
      <c r="O75" s="12" t="e">
        <f t="shared" si="2"/>
        <v>#DIV/0!</v>
      </c>
      <c r="P75" s="21"/>
      <c r="Q75" s="18"/>
    </row>
    <row r="76" spans="1:17" ht="12.75">
      <c r="A76" s="16"/>
      <c r="B76" s="124"/>
      <c r="C76" s="17" t="s">
        <v>4</v>
      </c>
      <c r="D76" s="18">
        <f aca="true" t="shared" si="26" ref="D76:K76">D73+D62</f>
        <v>64013.2</v>
      </c>
      <c r="E76" s="18">
        <f t="shared" si="26"/>
        <v>13440.599999999999</v>
      </c>
      <c r="F76" s="18">
        <f t="shared" si="26"/>
        <v>13440.599999999999</v>
      </c>
      <c r="G76" s="18">
        <f t="shared" si="26"/>
        <v>17400.4</v>
      </c>
      <c r="H76" s="18">
        <f t="shared" si="26"/>
        <v>15009.1</v>
      </c>
      <c r="I76" s="18">
        <f t="shared" si="26"/>
        <v>18163.1</v>
      </c>
      <c r="J76" s="18">
        <f t="shared" si="26"/>
        <v>7707.700000000001</v>
      </c>
      <c r="K76" s="18" t="e">
        <f t="shared" si="26"/>
        <v>#REF!</v>
      </c>
      <c r="L76" s="21">
        <f>J76/H76*100</f>
        <v>51.353512202597095</v>
      </c>
      <c r="M76" s="119"/>
      <c r="N76" s="125" t="e">
        <f>I76+#REF!+#REF!</f>
        <v>#REF!</v>
      </c>
      <c r="O76" s="31">
        <f t="shared" si="2"/>
        <v>42.43603790101911</v>
      </c>
      <c r="P76" s="21">
        <f t="shared" si="3"/>
        <v>57.34639822626968</v>
      </c>
      <c r="Q76" s="18">
        <f t="shared" si="4"/>
        <v>12.040797835446442</v>
      </c>
    </row>
    <row r="77" spans="1:17" ht="12.75">
      <c r="A77" s="15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2"/>
      <c r="M77" s="119"/>
      <c r="N77" s="119"/>
      <c r="O77" s="126"/>
      <c r="P77" s="21"/>
      <c r="Q77" s="18"/>
    </row>
    <row r="78" spans="1:17" ht="12.75">
      <c r="A78" s="149" t="s">
        <v>28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21"/>
      <c r="Q78" s="18"/>
    </row>
    <row r="79" spans="1:17" ht="12.75">
      <c r="A79" s="19" t="s">
        <v>3</v>
      </c>
      <c r="B79" s="19"/>
      <c r="C79" s="20" t="s">
        <v>54</v>
      </c>
      <c r="D79" s="21">
        <f aca="true" t="shared" si="27" ref="D79:J79">D80+D82+D83+D84+D85+D86+D87+D88+D89+D81</f>
        <v>30672.1</v>
      </c>
      <c r="E79" s="21">
        <f t="shared" si="27"/>
        <v>5624.400000000001</v>
      </c>
      <c r="F79" s="21">
        <f t="shared" si="27"/>
        <v>5624.400000000001</v>
      </c>
      <c r="G79" s="21">
        <f t="shared" si="27"/>
        <v>7934</v>
      </c>
      <c r="H79" s="21">
        <f t="shared" si="27"/>
        <v>7526.3</v>
      </c>
      <c r="I79" s="21">
        <f t="shared" si="27"/>
        <v>9587.4</v>
      </c>
      <c r="J79" s="21">
        <f t="shared" si="27"/>
        <v>4176.4</v>
      </c>
      <c r="K79" s="21" t="e">
        <f>J79/#REF!*100</f>
        <v>#REF!</v>
      </c>
      <c r="L79" s="21">
        <f>J79/H79*100</f>
        <v>55.49074578478136</v>
      </c>
      <c r="M79" s="119"/>
      <c r="N79" s="119"/>
      <c r="O79" s="21">
        <f t="shared" si="2"/>
        <v>43.561340926632866</v>
      </c>
      <c r="P79" s="21">
        <f aca="true" t="shared" si="28" ref="P79:P146">J79*100/E79</f>
        <v>74.25503164782019</v>
      </c>
      <c r="Q79" s="18">
        <f aca="true" t="shared" si="29" ref="Q79:Q146">J79*100/D79</f>
        <v>13.616283201997906</v>
      </c>
    </row>
    <row r="80" spans="1:17" ht="12.75">
      <c r="A80" s="16" t="s">
        <v>23</v>
      </c>
      <c r="B80" s="16"/>
      <c r="C80" s="22" t="s">
        <v>22</v>
      </c>
      <c r="D80" s="41">
        <f>F80+G80+H80+I80</f>
        <v>16600</v>
      </c>
      <c r="E80" s="41">
        <f aca="true" t="shared" si="30" ref="E80:E89">F80</f>
        <v>3320</v>
      </c>
      <c r="F80" s="34">
        <v>3320</v>
      </c>
      <c r="G80" s="34">
        <v>4316</v>
      </c>
      <c r="H80" s="12">
        <v>3818</v>
      </c>
      <c r="I80" s="12">
        <v>5146</v>
      </c>
      <c r="J80" s="13">
        <v>2857.2</v>
      </c>
      <c r="K80" s="15" t="e">
        <f>J80/#REF!*100</f>
        <v>#REF!</v>
      </c>
      <c r="L80" s="15">
        <f>J80/H80*100</f>
        <v>74.83499214248297</v>
      </c>
      <c r="M80" s="119"/>
      <c r="N80" s="119"/>
      <c r="O80" s="12">
        <f aca="true" t="shared" si="31" ref="O80:O151">J80*100/I80</f>
        <v>55.52273610571318</v>
      </c>
      <c r="P80" s="15">
        <f t="shared" si="28"/>
        <v>86.06024096385542</v>
      </c>
      <c r="Q80" s="13">
        <f t="shared" si="29"/>
        <v>17.212048192771086</v>
      </c>
    </row>
    <row r="81" spans="1:17" ht="12.75">
      <c r="A81" s="8" t="s">
        <v>56</v>
      </c>
      <c r="B81" s="8"/>
      <c r="C81" s="22" t="s">
        <v>57</v>
      </c>
      <c r="D81" s="41">
        <f>F81+G81+H81+I81</f>
        <v>5713</v>
      </c>
      <c r="E81" s="41">
        <f t="shared" si="30"/>
        <v>907</v>
      </c>
      <c r="F81" s="34">
        <v>907</v>
      </c>
      <c r="G81" s="34">
        <v>1485.4</v>
      </c>
      <c r="H81" s="12">
        <v>1652.5</v>
      </c>
      <c r="I81" s="12">
        <v>1668.1</v>
      </c>
      <c r="J81" s="13">
        <v>396.1</v>
      </c>
      <c r="K81" s="15"/>
      <c r="L81" s="15"/>
      <c r="M81" s="119"/>
      <c r="N81" s="119"/>
      <c r="O81" s="12"/>
      <c r="P81" s="15">
        <f>J81*100/E81</f>
        <v>43.67144432194046</v>
      </c>
      <c r="Q81" s="13">
        <f>J81*100/D81</f>
        <v>6.933309994748819</v>
      </c>
    </row>
    <row r="82" spans="1:17" ht="12.75">
      <c r="A82" s="8" t="s">
        <v>8</v>
      </c>
      <c r="B82" s="8"/>
      <c r="C82" s="22" t="s">
        <v>5</v>
      </c>
      <c r="D82" s="41">
        <f aca="true" t="shared" si="32" ref="D82:D89">F82+G82+H82+I82</f>
        <v>0</v>
      </c>
      <c r="E82" s="41">
        <f t="shared" si="30"/>
        <v>0</v>
      </c>
      <c r="F82" s="34"/>
      <c r="G82" s="34"/>
      <c r="H82" s="12"/>
      <c r="I82" s="12"/>
      <c r="J82" s="13"/>
      <c r="K82" s="15"/>
      <c r="L82" s="15"/>
      <c r="M82" s="119"/>
      <c r="N82" s="119"/>
      <c r="O82" s="12" t="e">
        <f t="shared" si="31"/>
        <v>#DIV/0!</v>
      </c>
      <c r="P82" s="15" t="e">
        <f>J82*100/E82</f>
        <v>#DIV/0!</v>
      </c>
      <c r="Q82" s="13" t="e">
        <f>J82*100/D82</f>
        <v>#DIV/0!</v>
      </c>
    </row>
    <row r="83" spans="1:17" ht="12.75">
      <c r="A83" s="8" t="s">
        <v>9</v>
      </c>
      <c r="B83" s="8"/>
      <c r="C83" s="22" t="s">
        <v>6</v>
      </c>
      <c r="D83" s="41">
        <f t="shared" si="32"/>
        <v>1640</v>
      </c>
      <c r="E83" s="41">
        <f t="shared" si="30"/>
        <v>308.1</v>
      </c>
      <c r="F83" s="34">
        <v>308.1</v>
      </c>
      <c r="G83" s="34">
        <v>445.4</v>
      </c>
      <c r="H83" s="12">
        <v>384.2</v>
      </c>
      <c r="I83" s="12">
        <v>502.3</v>
      </c>
      <c r="J83" s="13">
        <v>394.1</v>
      </c>
      <c r="K83" s="15" t="e">
        <f>J83/#REF!*100</f>
        <v>#REF!</v>
      </c>
      <c r="L83" s="15">
        <f>J83/H83*100</f>
        <v>102.57678292555961</v>
      </c>
      <c r="M83" s="119"/>
      <c r="N83" s="119"/>
      <c r="O83" s="12">
        <f t="shared" si="31"/>
        <v>78.45908819430619</v>
      </c>
      <c r="P83" s="15">
        <f t="shared" si="28"/>
        <v>127.9130152547874</v>
      </c>
      <c r="Q83" s="13">
        <f t="shared" si="29"/>
        <v>24.03048780487805</v>
      </c>
    </row>
    <row r="84" spans="1:17" ht="12.75">
      <c r="A84" s="8" t="s">
        <v>10</v>
      </c>
      <c r="B84" s="8"/>
      <c r="C84" s="22" t="s">
        <v>21</v>
      </c>
      <c r="D84" s="41">
        <f t="shared" si="32"/>
        <v>0</v>
      </c>
      <c r="E84" s="41">
        <f t="shared" si="30"/>
        <v>0</v>
      </c>
      <c r="F84" s="34"/>
      <c r="G84" s="34"/>
      <c r="H84" s="12"/>
      <c r="I84" s="12"/>
      <c r="J84" s="13"/>
      <c r="K84" s="15"/>
      <c r="L84" s="15"/>
      <c r="M84" s="119"/>
      <c r="N84" s="119"/>
      <c r="O84" s="12" t="e">
        <f t="shared" si="31"/>
        <v>#DIV/0!</v>
      </c>
      <c r="P84" s="15" t="e">
        <f t="shared" si="28"/>
        <v>#DIV/0!</v>
      </c>
      <c r="Q84" s="13" t="e">
        <f t="shared" si="29"/>
        <v>#DIV/0!</v>
      </c>
    </row>
    <row r="85" spans="1:17" ht="36">
      <c r="A85" s="9" t="s">
        <v>11</v>
      </c>
      <c r="B85" s="9"/>
      <c r="C85" s="22" t="s">
        <v>17</v>
      </c>
      <c r="D85" s="41">
        <f t="shared" si="32"/>
        <v>6122.6</v>
      </c>
      <c r="E85" s="41">
        <f t="shared" si="30"/>
        <v>920</v>
      </c>
      <c r="F85" s="34">
        <v>920</v>
      </c>
      <c r="G85" s="34">
        <v>1552.6</v>
      </c>
      <c r="H85" s="12">
        <v>1600</v>
      </c>
      <c r="I85" s="12">
        <v>2050</v>
      </c>
      <c r="J85" s="13">
        <v>436.4</v>
      </c>
      <c r="K85" s="15" t="e">
        <f>J85/#REF!*100</f>
        <v>#REF!</v>
      </c>
      <c r="L85" s="15">
        <f>J85/H85*100</f>
        <v>27.275</v>
      </c>
      <c r="M85" s="119"/>
      <c r="N85" s="119"/>
      <c r="O85" s="12">
        <f t="shared" si="31"/>
        <v>21.28780487804878</v>
      </c>
      <c r="P85" s="15">
        <f t="shared" si="28"/>
        <v>47.43478260869565</v>
      </c>
      <c r="Q85" s="13">
        <f t="shared" si="29"/>
        <v>7.127690850292359</v>
      </c>
    </row>
    <row r="86" spans="1:17" ht="24">
      <c r="A86" s="24" t="s">
        <v>42</v>
      </c>
      <c r="B86" s="24"/>
      <c r="C86" s="22" t="s">
        <v>43</v>
      </c>
      <c r="D86" s="41">
        <f t="shared" si="32"/>
        <v>479</v>
      </c>
      <c r="E86" s="41">
        <f t="shared" si="30"/>
        <v>144.3</v>
      </c>
      <c r="F86" s="34">
        <v>144.3</v>
      </c>
      <c r="G86" s="34">
        <v>105.6</v>
      </c>
      <c r="H86" s="12">
        <v>41.1</v>
      </c>
      <c r="I86" s="12">
        <v>188</v>
      </c>
      <c r="J86" s="13">
        <v>24.2</v>
      </c>
      <c r="K86" s="15" t="e">
        <f>J86/#REF!*100</f>
        <v>#REF!</v>
      </c>
      <c r="L86" s="15">
        <f>J86/H86*100</f>
        <v>58.88077858880778</v>
      </c>
      <c r="M86" s="119"/>
      <c r="N86" s="119"/>
      <c r="O86" s="12">
        <f t="shared" si="31"/>
        <v>12.872340425531915</v>
      </c>
      <c r="P86" s="15">
        <f t="shared" si="28"/>
        <v>16.77061677061677</v>
      </c>
      <c r="Q86" s="13">
        <f t="shared" si="29"/>
        <v>5.052192066805845</v>
      </c>
    </row>
    <row r="87" spans="1:17" ht="24">
      <c r="A87" s="23" t="s">
        <v>18</v>
      </c>
      <c r="B87" s="23"/>
      <c r="C87" s="22" t="s">
        <v>15</v>
      </c>
      <c r="D87" s="41">
        <f t="shared" si="32"/>
        <v>117.5</v>
      </c>
      <c r="E87" s="41">
        <f t="shared" si="30"/>
        <v>25</v>
      </c>
      <c r="F87" s="34">
        <v>25</v>
      </c>
      <c r="G87" s="34">
        <v>29</v>
      </c>
      <c r="H87" s="12">
        <v>30.5</v>
      </c>
      <c r="I87" s="12">
        <v>33</v>
      </c>
      <c r="J87" s="13">
        <v>57.2</v>
      </c>
      <c r="K87" s="15" t="e">
        <f>J87/#REF!*100</f>
        <v>#REF!</v>
      </c>
      <c r="L87" s="15">
        <f>J87/H87*100</f>
        <v>187.54098360655738</v>
      </c>
      <c r="M87" s="119"/>
      <c r="N87" s="119"/>
      <c r="O87" s="12">
        <f t="shared" si="31"/>
        <v>173.33333333333334</v>
      </c>
      <c r="P87" s="15">
        <f t="shared" si="28"/>
        <v>228.8</v>
      </c>
      <c r="Q87" s="13">
        <f t="shared" si="29"/>
        <v>48.680851063829785</v>
      </c>
    </row>
    <row r="88" spans="1:17" ht="12.75">
      <c r="A88" s="16" t="s">
        <v>12</v>
      </c>
      <c r="B88" s="16"/>
      <c r="C88" s="22" t="s">
        <v>7</v>
      </c>
      <c r="D88" s="41">
        <f t="shared" si="32"/>
        <v>0</v>
      </c>
      <c r="E88" s="41">
        <f t="shared" si="30"/>
        <v>0</v>
      </c>
      <c r="F88" s="34"/>
      <c r="G88" s="34"/>
      <c r="H88" s="12"/>
      <c r="I88" s="12"/>
      <c r="J88" s="13"/>
      <c r="K88" s="21"/>
      <c r="L88" s="21"/>
      <c r="M88" s="119"/>
      <c r="N88" s="119"/>
      <c r="O88" s="12" t="e">
        <f t="shared" si="31"/>
        <v>#DIV/0!</v>
      </c>
      <c r="P88" s="15"/>
      <c r="Q88" s="13"/>
    </row>
    <row r="89" spans="1:17" ht="12.75">
      <c r="A89" s="25" t="s">
        <v>39</v>
      </c>
      <c r="B89" s="120"/>
      <c r="C89" s="11" t="s">
        <v>40</v>
      </c>
      <c r="D89" s="41">
        <f t="shared" si="32"/>
        <v>0</v>
      </c>
      <c r="E89" s="41">
        <f t="shared" si="30"/>
        <v>0</v>
      </c>
      <c r="F89" s="34"/>
      <c r="G89" s="34"/>
      <c r="H89" s="12"/>
      <c r="I89" s="12"/>
      <c r="J89" s="13">
        <v>11.2</v>
      </c>
      <c r="K89" s="21"/>
      <c r="L89" s="21"/>
      <c r="M89" s="119"/>
      <c r="N89" s="119"/>
      <c r="O89" s="12" t="e">
        <f t="shared" si="31"/>
        <v>#DIV/0!</v>
      </c>
      <c r="P89" s="15"/>
      <c r="Q89" s="13"/>
    </row>
    <row r="90" spans="1:17" ht="24">
      <c r="A90" s="25" t="s">
        <v>44</v>
      </c>
      <c r="B90" s="120"/>
      <c r="C90" s="11" t="s">
        <v>45</v>
      </c>
      <c r="D90" s="11"/>
      <c r="E90" s="11"/>
      <c r="F90" s="34"/>
      <c r="G90" s="34"/>
      <c r="H90" s="12" t="e">
        <f>I90+#REF!+#REF!+#REF!</f>
        <v>#REF!</v>
      </c>
      <c r="I90" s="12"/>
      <c r="J90" s="13"/>
      <c r="K90" s="21"/>
      <c r="L90" s="21"/>
      <c r="M90" s="119"/>
      <c r="N90" s="119"/>
      <c r="O90" s="12" t="e">
        <f t="shared" si="31"/>
        <v>#DIV/0!</v>
      </c>
      <c r="P90" s="21" t="e">
        <f t="shared" si="28"/>
        <v>#DIV/0!</v>
      </c>
      <c r="Q90" s="18" t="e">
        <f t="shared" si="29"/>
        <v>#DIV/0!</v>
      </c>
    </row>
    <row r="91" spans="1:17" ht="12.75">
      <c r="A91" s="19" t="s">
        <v>1</v>
      </c>
      <c r="B91" s="19"/>
      <c r="C91" s="26" t="s">
        <v>0</v>
      </c>
      <c r="D91" s="27">
        <f aca="true" t="shared" si="33" ref="D91:J91">D92+D93</f>
        <v>56998.3</v>
      </c>
      <c r="E91" s="131">
        <f t="shared" si="33"/>
        <v>11433.9</v>
      </c>
      <c r="F91" s="27">
        <f t="shared" si="33"/>
        <v>11433.9</v>
      </c>
      <c r="G91" s="27">
        <f t="shared" si="33"/>
        <v>15250.7</v>
      </c>
      <c r="H91" s="27">
        <f t="shared" si="33"/>
        <v>18995</v>
      </c>
      <c r="I91" s="27">
        <f t="shared" si="33"/>
        <v>11318.7</v>
      </c>
      <c r="J91" s="27">
        <f t="shared" si="33"/>
        <v>6896.8</v>
      </c>
      <c r="K91" s="21" t="e">
        <f>J91/#REF!*100</f>
        <v>#REF!</v>
      </c>
      <c r="L91" s="21">
        <f>J91/H91*100</f>
        <v>36.30850223743091</v>
      </c>
      <c r="M91" s="119"/>
      <c r="N91" s="119"/>
      <c r="O91" s="31">
        <f t="shared" si="31"/>
        <v>60.93279263519662</v>
      </c>
      <c r="P91" s="21">
        <f t="shared" si="28"/>
        <v>60.318876323913976</v>
      </c>
      <c r="Q91" s="18">
        <f t="shared" si="29"/>
        <v>12.100010000298253</v>
      </c>
    </row>
    <row r="92" spans="1:17" ht="36">
      <c r="A92" s="10" t="s">
        <v>53</v>
      </c>
      <c r="B92" s="8"/>
      <c r="C92" s="28" t="s">
        <v>20</v>
      </c>
      <c r="D92" s="41">
        <f>F92+G92+H92+I92</f>
        <v>56998.3</v>
      </c>
      <c r="E92" s="41">
        <f>F92</f>
        <v>11433.9</v>
      </c>
      <c r="F92" s="34">
        <v>11433.9</v>
      </c>
      <c r="G92" s="34">
        <v>15250.7</v>
      </c>
      <c r="H92" s="12">
        <v>18995</v>
      </c>
      <c r="I92" s="12">
        <v>11318.7</v>
      </c>
      <c r="J92" s="13">
        <v>6896.8</v>
      </c>
      <c r="K92" s="15" t="e">
        <f>J92/#REF!*100</f>
        <v>#REF!</v>
      </c>
      <c r="L92" s="15">
        <f>J92/H92*100</f>
        <v>36.30850223743091</v>
      </c>
      <c r="M92" s="119"/>
      <c r="N92" s="119"/>
      <c r="O92" s="12">
        <f t="shared" si="31"/>
        <v>60.93279263519662</v>
      </c>
      <c r="P92" s="15">
        <f t="shared" si="28"/>
        <v>60.318876323913976</v>
      </c>
      <c r="Q92" s="13">
        <f t="shared" si="29"/>
        <v>12.100010000298253</v>
      </c>
    </row>
    <row r="93" spans="1:17" ht="12.75">
      <c r="A93" s="10" t="s">
        <v>2</v>
      </c>
      <c r="B93" s="10"/>
      <c r="C93" s="29" t="s">
        <v>19</v>
      </c>
      <c r="D93" s="41">
        <f>F93+G93+H93+I93</f>
        <v>0</v>
      </c>
      <c r="E93" s="41">
        <f>F93</f>
        <v>0</v>
      </c>
      <c r="F93" s="132"/>
      <c r="G93" s="132"/>
      <c r="H93" s="12"/>
      <c r="I93" s="12"/>
      <c r="J93" s="13"/>
      <c r="K93" s="15" t="e">
        <f>J93/#REF!*100</f>
        <v>#REF!</v>
      </c>
      <c r="L93" s="15"/>
      <c r="M93" s="119"/>
      <c r="N93" s="119"/>
      <c r="O93" s="12" t="e">
        <f t="shared" si="31"/>
        <v>#DIV/0!</v>
      </c>
      <c r="P93" s="15" t="e">
        <f>J93*100/E93</f>
        <v>#DIV/0!</v>
      </c>
      <c r="Q93" s="13" t="e">
        <f>J93*100/D93</f>
        <v>#DIV/0!</v>
      </c>
    </row>
    <row r="94" spans="1:17" ht="12.75">
      <c r="A94" s="16"/>
      <c r="B94" s="124"/>
      <c r="C94" s="17" t="s">
        <v>4</v>
      </c>
      <c r="D94" s="18">
        <f aca="true" t="shared" si="34" ref="D94:J94">D91+D79</f>
        <v>87670.4</v>
      </c>
      <c r="E94" s="18">
        <f t="shared" si="34"/>
        <v>17058.3</v>
      </c>
      <c r="F94" s="18">
        <f t="shared" si="34"/>
        <v>17058.3</v>
      </c>
      <c r="G94" s="18">
        <f t="shared" si="34"/>
        <v>23184.7</v>
      </c>
      <c r="H94" s="18">
        <f t="shared" si="34"/>
        <v>26521.3</v>
      </c>
      <c r="I94" s="18">
        <f t="shared" si="34"/>
        <v>20906.1</v>
      </c>
      <c r="J94" s="18">
        <f t="shared" si="34"/>
        <v>11073.2</v>
      </c>
      <c r="K94" s="21" t="e">
        <f>J94/#REF!*100</f>
        <v>#REF!</v>
      </c>
      <c r="L94" s="21">
        <f>J94/H94*100</f>
        <v>41.75210114134677</v>
      </c>
      <c r="M94" s="119"/>
      <c r="N94" s="125" t="e">
        <f>I94+#REF!+#REF!</f>
        <v>#REF!</v>
      </c>
      <c r="O94" s="31">
        <f t="shared" si="31"/>
        <v>52.966359100932266</v>
      </c>
      <c r="P94" s="21">
        <f t="shared" si="28"/>
        <v>64.91385425276845</v>
      </c>
      <c r="Q94" s="18">
        <f t="shared" si="29"/>
        <v>12.630488739643027</v>
      </c>
    </row>
    <row r="95" spans="1:17" ht="12.75">
      <c r="A95" s="150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2"/>
      <c r="M95" s="119"/>
      <c r="N95" s="119"/>
      <c r="O95" s="126"/>
      <c r="P95" s="21"/>
      <c r="Q95" s="18"/>
    </row>
    <row r="96" spans="1:17" ht="12.75">
      <c r="A96" s="149" t="s">
        <v>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21"/>
      <c r="Q96" s="18"/>
    </row>
    <row r="97" spans="1:17" ht="12.75">
      <c r="A97" s="19" t="s">
        <v>3</v>
      </c>
      <c r="B97" s="19"/>
      <c r="C97" s="20" t="s">
        <v>54</v>
      </c>
      <c r="D97" s="21">
        <f aca="true" t="shared" si="35" ref="D97:J97">D98+D101+D105+D102+D103+D106+D104+D100+D99</f>
        <v>7435</v>
      </c>
      <c r="E97" s="21">
        <f t="shared" si="35"/>
        <v>1858.3</v>
      </c>
      <c r="F97" s="21">
        <f t="shared" si="35"/>
        <v>1858.3</v>
      </c>
      <c r="G97" s="21">
        <f t="shared" si="35"/>
        <v>1859.2</v>
      </c>
      <c r="H97" s="21">
        <f t="shared" si="35"/>
        <v>1859.3</v>
      </c>
      <c r="I97" s="21">
        <f t="shared" si="35"/>
        <v>1858.2</v>
      </c>
      <c r="J97" s="21">
        <f t="shared" si="35"/>
        <v>587.1999999999999</v>
      </c>
      <c r="K97" s="21" t="e">
        <f>J97/#REF!*100</f>
        <v>#REF!</v>
      </c>
      <c r="L97" s="21">
        <f>J97/H97*100</f>
        <v>31.58177808852794</v>
      </c>
      <c r="M97" s="119"/>
      <c r="N97" s="119"/>
      <c r="O97" s="21">
        <f t="shared" si="31"/>
        <v>31.600473576579482</v>
      </c>
      <c r="P97" s="21">
        <f t="shared" si="28"/>
        <v>31.598773072162725</v>
      </c>
      <c r="Q97" s="18">
        <f t="shared" si="29"/>
        <v>7.897780766644249</v>
      </c>
    </row>
    <row r="98" spans="1:17" ht="12.75">
      <c r="A98" s="16" t="s">
        <v>23</v>
      </c>
      <c r="B98" s="16"/>
      <c r="C98" s="22" t="s">
        <v>22</v>
      </c>
      <c r="D98" s="41">
        <f>F98+G98+H98+I98</f>
        <v>1150</v>
      </c>
      <c r="E98" s="41">
        <f aca="true" t="shared" si="36" ref="E98:E108">F98</f>
        <v>287.5</v>
      </c>
      <c r="F98" s="34">
        <v>287.5</v>
      </c>
      <c r="G98" s="34">
        <v>287.5</v>
      </c>
      <c r="H98" s="12">
        <v>287.5</v>
      </c>
      <c r="I98" s="13">
        <v>287.5</v>
      </c>
      <c r="J98" s="13">
        <v>142.5</v>
      </c>
      <c r="K98" s="15"/>
      <c r="L98" s="15">
        <f>J98/H98*100</f>
        <v>49.56521739130435</v>
      </c>
      <c r="M98" s="125"/>
      <c r="N98" s="119"/>
      <c r="O98" s="12">
        <f t="shared" si="31"/>
        <v>49.56521739130435</v>
      </c>
      <c r="P98" s="15">
        <f t="shared" si="28"/>
        <v>49.56521739130435</v>
      </c>
      <c r="Q98" s="13">
        <f t="shared" si="29"/>
        <v>12.391304347826088</v>
      </c>
    </row>
    <row r="99" spans="1:17" ht="12.75">
      <c r="A99" s="8" t="s">
        <v>56</v>
      </c>
      <c r="B99" s="8"/>
      <c r="C99" s="22" t="s">
        <v>57</v>
      </c>
      <c r="D99" s="41">
        <f>F99+G99+H99+I99</f>
        <v>6170</v>
      </c>
      <c r="E99" s="41">
        <f t="shared" si="36"/>
        <v>1542.5</v>
      </c>
      <c r="F99" s="34">
        <v>1542.5</v>
      </c>
      <c r="G99" s="34">
        <v>1542.5</v>
      </c>
      <c r="H99" s="12">
        <v>1542.5</v>
      </c>
      <c r="I99" s="13">
        <v>1542.5</v>
      </c>
      <c r="J99" s="13">
        <v>427.7</v>
      </c>
      <c r="K99" s="15"/>
      <c r="L99" s="15"/>
      <c r="M99" s="125"/>
      <c r="N99" s="119"/>
      <c r="O99" s="12"/>
      <c r="P99" s="15">
        <f>J99*100/E99</f>
        <v>27.72771474878444</v>
      </c>
      <c r="Q99" s="13">
        <f>J99*100/D99</f>
        <v>6.93192868719611</v>
      </c>
    </row>
    <row r="100" spans="1:17" ht="12.75">
      <c r="A100" s="8" t="s">
        <v>8</v>
      </c>
      <c r="B100" s="8"/>
      <c r="C100" s="22" t="s">
        <v>5</v>
      </c>
      <c r="D100" s="41">
        <f>F100+G100+H100+I100</f>
        <v>0</v>
      </c>
      <c r="E100" s="41">
        <f t="shared" si="36"/>
        <v>0</v>
      </c>
      <c r="F100" s="34"/>
      <c r="G100" s="34"/>
      <c r="H100" s="12"/>
      <c r="I100" s="13"/>
      <c r="J100" s="13"/>
      <c r="K100" s="15"/>
      <c r="L100" s="15"/>
      <c r="M100" s="125"/>
      <c r="N100" s="119"/>
      <c r="O100" s="12"/>
      <c r="P100" s="15" t="e">
        <f>J100*100/E100</f>
        <v>#DIV/0!</v>
      </c>
      <c r="Q100" s="13" t="e">
        <f>J100*100/D100</f>
        <v>#DIV/0!</v>
      </c>
    </row>
    <row r="101" spans="1:17" ht="12.75">
      <c r="A101" s="8" t="s">
        <v>9</v>
      </c>
      <c r="B101" s="8"/>
      <c r="C101" s="22" t="s">
        <v>6</v>
      </c>
      <c r="D101" s="41">
        <f aca="true" t="shared" si="37" ref="D101:D109">F101+G101+H101+I101</f>
        <v>62</v>
      </c>
      <c r="E101" s="41">
        <f t="shared" si="36"/>
        <v>15.8</v>
      </c>
      <c r="F101" s="34">
        <v>15.8</v>
      </c>
      <c r="G101" s="34">
        <v>15.7</v>
      </c>
      <c r="H101" s="12">
        <v>15.8</v>
      </c>
      <c r="I101" s="13">
        <v>14.7</v>
      </c>
      <c r="J101" s="13">
        <v>11.2</v>
      </c>
      <c r="K101" s="15"/>
      <c r="L101" s="15">
        <f aca="true" t="shared" si="38" ref="L101:L108">J101/H101*100</f>
        <v>70.88607594936708</v>
      </c>
      <c r="M101" s="125"/>
      <c r="N101" s="119"/>
      <c r="O101" s="12">
        <f t="shared" si="31"/>
        <v>76.19047619047619</v>
      </c>
      <c r="P101" s="15">
        <f t="shared" si="28"/>
        <v>70.88607594936708</v>
      </c>
      <c r="Q101" s="13">
        <f t="shared" si="29"/>
        <v>18.06451612903226</v>
      </c>
    </row>
    <row r="102" spans="1:17" ht="12.75">
      <c r="A102" s="8" t="s">
        <v>10</v>
      </c>
      <c r="B102" s="8"/>
      <c r="C102" s="22" t="s">
        <v>21</v>
      </c>
      <c r="D102" s="41">
        <f t="shared" si="37"/>
        <v>11</v>
      </c>
      <c r="E102" s="41">
        <f t="shared" si="36"/>
        <v>2</v>
      </c>
      <c r="F102" s="34">
        <v>2</v>
      </c>
      <c r="G102" s="34">
        <v>3</v>
      </c>
      <c r="H102" s="12">
        <v>3</v>
      </c>
      <c r="I102" s="13">
        <v>3</v>
      </c>
      <c r="J102" s="13">
        <v>0.7</v>
      </c>
      <c r="K102" s="15"/>
      <c r="L102" s="15">
        <f t="shared" si="38"/>
        <v>23.333333333333332</v>
      </c>
      <c r="M102" s="119"/>
      <c r="N102" s="119"/>
      <c r="O102" s="12">
        <f t="shared" si="31"/>
        <v>23.333333333333332</v>
      </c>
      <c r="P102" s="15">
        <f t="shared" si="28"/>
        <v>35</v>
      </c>
      <c r="Q102" s="13">
        <f t="shared" si="29"/>
        <v>6.363636363636363</v>
      </c>
    </row>
    <row r="103" spans="1:17" ht="36">
      <c r="A103" s="9" t="s">
        <v>11</v>
      </c>
      <c r="B103" s="9"/>
      <c r="C103" s="22" t="s">
        <v>17</v>
      </c>
      <c r="D103" s="41">
        <f t="shared" si="37"/>
        <v>12</v>
      </c>
      <c r="E103" s="41">
        <f t="shared" si="36"/>
        <v>3</v>
      </c>
      <c r="F103" s="34">
        <v>3</v>
      </c>
      <c r="G103" s="34">
        <v>3</v>
      </c>
      <c r="H103" s="12">
        <v>3</v>
      </c>
      <c r="I103" s="13">
        <v>3</v>
      </c>
      <c r="J103" s="13">
        <v>5.1</v>
      </c>
      <c r="K103" s="15"/>
      <c r="L103" s="15">
        <f t="shared" si="38"/>
        <v>170</v>
      </c>
      <c r="M103" s="119"/>
      <c r="N103" s="119"/>
      <c r="O103" s="12">
        <f t="shared" si="31"/>
        <v>169.99999999999997</v>
      </c>
      <c r="P103" s="15">
        <f t="shared" si="28"/>
        <v>169.99999999999997</v>
      </c>
      <c r="Q103" s="13">
        <f t="shared" si="29"/>
        <v>42.49999999999999</v>
      </c>
    </row>
    <row r="104" spans="1:17" ht="24">
      <c r="A104" s="24" t="s">
        <v>42</v>
      </c>
      <c r="B104" s="24"/>
      <c r="C104" s="22" t="s">
        <v>43</v>
      </c>
      <c r="D104" s="41">
        <f t="shared" si="37"/>
        <v>30</v>
      </c>
      <c r="E104" s="41">
        <f t="shared" si="36"/>
        <v>7.5</v>
      </c>
      <c r="F104" s="34">
        <v>7.5</v>
      </c>
      <c r="G104" s="34">
        <v>7.5</v>
      </c>
      <c r="H104" s="12">
        <v>7.5</v>
      </c>
      <c r="I104" s="13">
        <v>7.5</v>
      </c>
      <c r="J104" s="13"/>
      <c r="K104" s="15"/>
      <c r="L104" s="15">
        <f t="shared" si="38"/>
        <v>0</v>
      </c>
      <c r="M104" s="119"/>
      <c r="N104" s="119"/>
      <c r="O104" s="12">
        <f t="shared" si="31"/>
        <v>0</v>
      </c>
      <c r="P104" s="15">
        <f t="shared" si="28"/>
        <v>0</v>
      </c>
      <c r="Q104" s="13">
        <f t="shared" si="29"/>
        <v>0</v>
      </c>
    </row>
    <row r="105" spans="1:17" ht="24">
      <c r="A105" s="24" t="s">
        <v>18</v>
      </c>
      <c r="B105" s="24"/>
      <c r="C105" s="22" t="s">
        <v>15</v>
      </c>
      <c r="D105" s="41">
        <f t="shared" si="37"/>
        <v>0</v>
      </c>
      <c r="E105" s="41">
        <f t="shared" si="36"/>
        <v>0</v>
      </c>
      <c r="F105" s="34"/>
      <c r="G105" s="34"/>
      <c r="H105" s="12"/>
      <c r="I105" s="13"/>
      <c r="J105" s="13"/>
      <c r="K105" s="15"/>
      <c r="L105" s="15" t="e">
        <f t="shared" si="38"/>
        <v>#DIV/0!</v>
      </c>
      <c r="M105" s="119"/>
      <c r="N105" s="119"/>
      <c r="O105" s="12" t="e">
        <f t="shared" si="31"/>
        <v>#DIV/0!</v>
      </c>
      <c r="P105" s="15"/>
      <c r="Q105" s="13"/>
    </row>
    <row r="106" spans="1:17" ht="12.75">
      <c r="A106" s="24" t="s">
        <v>39</v>
      </c>
      <c r="B106" s="133"/>
      <c r="C106" s="11" t="s">
        <v>40</v>
      </c>
      <c r="D106" s="41">
        <f t="shared" si="37"/>
        <v>0</v>
      </c>
      <c r="E106" s="41">
        <f t="shared" si="36"/>
        <v>0</v>
      </c>
      <c r="F106" s="34"/>
      <c r="G106" s="34"/>
      <c r="H106" s="12"/>
      <c r="I106" s="13"/>
      <c r="J106" s="13"/>
      <c r="K106" s="21"/>
      <c r="L106" s="15" t="e">
        <f t="shared" si="38"/>
        <v>#DIV/0!</v>
      </c>
      <c r="M106" s="119"/>
      <c r="N106" s="119"/>
      <c r="O106" s="12" t="e">
        <f t="shared" si="31"/>
        <v>#DIV/0!</v>
      </c>
      <c r="P106" s="21"/>
      <c r="Q106" s="18"/>
    </row>
    <row r="107" spans="1:17" ht="12.75">
      <c r="A107" s="30" t="s">
        <v>1</v>
      </c>
      <c r="B107" s="30"/>
      <c r="C107" s="26" t="s">
        <v>0</v>
      </c>
      <c r="D107" s="27">
        <f aca="true" t="shared" si="39" ref="D107:K107">D108+D109</f>
        <v>24384.1</v>
      </c>
      <c r="E107" s="27">
        <f t="shared" si="39"/>
        <v>8865.7</v>
      </c>
      <c r="F107" s="27">
        <f t="shared" si="39"/>
        <v>8865.7</v>
      </c>
      <c r="G107" s="27">
        <f t="shared" si="39"/>
        <v>5172.8</v>
      </c>
      <c r="H107" s="27">
        <f t="shared" si="39"/>
        <v>5172.8</v>
      </c>
      <c r="I107" s="27">
        <f t="shared" si="39"/>
        <v>5172.8</v>
      </c>
      <c r="J107" s="27">
        <f t="shared" si="39"/>
        <v>5609.1</v>
      </c>
      <c r="K107" s="27">
        <f t="shared" si="39"/>
        <v>0</v>
      </c>
      <c r="L107" s="21">
        <f>J107/H107*100</f>
        <v>108.43450355706774</v>
      </c>
      <c r="M107" s="119"/>
      <c r="N107" s="119"/>
      <c r="O107" s="31">
        <f t="shared" si="31"/>
        <v>108.43450355706773</v>
      </c>
      <c r="P107" s="21">
        <f t="shared" si="28"/>
        <v>63.267423892078455</v>
      </c>
      <c r="Q107" s="18">
        <f t="shared" si="29"/>
        <v>23.003104482019022</v>
      </c>
    </row>
    <row r="108" spans="1:17" ht="36">
      <c r="A108" s="10" t="s">
        <v>53</v>
      </c>
      <c r="B108" s="8"/>
      <c r="C108" s="28" t="s">
        <v>20</v>
      </c>
      <c r="D108" s="41">
        <f t="shared" si="37"/>
        <v>24384.1</v>
      </c>
      <c r="E108" s="41">
        <f t="shared" si="36"/>
        <v>8865.7</v>
      </c>
      <c r="F108" s="34">
        <v>8865.7</v>
      </c>
      <c r="G108" s="34">
        <v>5172.8</v>
      </c>
      <c r="H108" s="12">
        <v>5172.8</v>
      </c>
      <c r="I108" s="13">
        <v>5172.8</v>
      </c>
      <c r="J108" s="13">
        <v>5609.1</v>
      </c>
      <c r="K108" s="15"/>
      <c r="L108" s="15">
        <f t="shared" si="38"/>
        <v>108.43450355706774</v>
      </c>
      <c r="M108" s="119"/>
      <c r="N108" s="119"/>
      <c r="O108" s="12">
        <f t="shared" si="31"/>
        <v>108.43450355706773</v>
      </c>
      <c r="P108" s="15">
        <f t="shared" si="28"/>
        <v>63.267423892078455</v>
      </c>
      <c r="Q108" s="13">
        <f t="shared" si="29"/>
        <v>23.003104482019022</v>
      </c>
    </row>
    <row r="109" spans="1:17" ht="12.75">
      <c r="A109" s="10" t="s">
        <v>2</v>
      </c>
      <c r="B109" s="10"/>
      <c r="C109" s="29" t="s">
        <v>19</v>
      </c>
      <c r="D109" s="41">
        <f t="shared" si="37"/>
        <v>0</v>
      </c>
      <c r="E109" s="41">
        <f>F109+G109</f>
        <v>0</v>
      </c>
      <c r="F109" s="132"/>
      <c r="G109" s="132"/>
      <c r="H109" s="12"/>
      <c r="I109" s="13"/>
      <c r="J109" s="13"/>
      <c r="K109" s="15"/>
      <c r="L109" s="15"/>
      <c r="M109" s="119"/>
      <c r="N109" s="119"/>
      <c r="O109" s="12" t="e">
        <f t="shared" si="31"/>
        <v>#DIV/0!</v>
      </c>
      <c r="P109" s="21"/>
      <c r="Q109" s="18"/>
    </row>
    <row r="110" spans="1:17" ht="12.75">
      <c r="A110" s="16"/>
      <c r="B110" s="124"/>
      <c r="C110" s="17" t="s">
        <v>4</v>
      </c>
      <c r="D110" s="18">
        <f aca="true" t="shared" si="40" ref="D110:K110">D107+D97</f>
        <v>31819.1</v>
      </c>
      <c r="E110" s="31">
        <f t="shared" si="40"/>
        <v>10724</v>
      </c>
      <c r="F110" s="31">
        <f t="shared" si="40"/>
        <v>10724</v>
      </c>
      <c r="G110" s="31">
        <f>G107+G97</f>
        <v>7032</v>
      </c>
      <c r="H110" s="18">
        <f t="shared" si="40"/>
        <v>7032.1</v>
      </c>
      <c r="I110" s="18">
        <f t="shared" si="40"/>
        <v>7031</v>
      </c>
      <c r="J110" s="18">
        <f t="shared" si="40"/>
        <v>6196.3</v>
      </c>
      <c r="K110" s="18" t="e">
        <f t="shared" si="40"/>
        <v>#REF!</v>
      </c>
      <c r="L110" s="21">
        <f>J110/H110*100</f>
        <v>88.1145034911335</v>
      </c>
      <c r="M110" s="119"/>
      <c r="N110" s="125" t="e">
        <f>I110+#REF!+#REF!</f>
        <v>#REF!</v>
      </c>
      <c r="O110" s="31">
        <f t="shared" si="31"/>
        <v>88.12828900583132</v>
      </c>
      <c r="P110" s="21">
        <f t="shared" si="28"/>
        <v>57.77974636329728</v>
      </c>
      <c r="Q110" s="18">
        <f t="shared" si="29"/>
        <v>19.473523764028524</v>
      </c>
    </row>
    <row r="111" spans="1:17" ht="12.7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2"/>
      <c r="M111" s="119"/>
      <c r="N111" s="119"/>
      <c r="O111" s="126"/>
      <c r="P111" s="21"/>
      <c r="Q111" s="18"/>
    </row>
    <row r="112" spans="1:17" ht="12.75">
      <c r="A112" s="149" t="s">
        <v>30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21"/>
      <c r="Q112" s="18"/>
    </row>
    <row r="113" spans="1:17" ht="12.75">
      <c r="A113" s="19" t="s">
        <v>3</v>
      </c>
      <c r="B113" s="19"/>
      <c r="C113" s="20" t="s">
        <v>54</v>
      </c>
      <c r="D113" s="21">
        <f aca="true" t="shared" si="41" ref="D113:J113">D114+D117+D121+D118+D119+D122+D120+D123+D115+D116</f>
        <v>5048</v>
      </c>
      <c r="E113" s="21">
        <f t="shared" si="41"/>
        <v>1202.9</v>
      </c>
      <c r="F113" s="21">
        <f t="shared" si="41"/>
        <v>1202.9</v>
      </c>
      <c r="G113" s="21">
        <f t="shared" si="41"/>
        <v>1278.6</v>
      </c>
      <c r="H113" s="21">
        <f t="shared" si="41"/>
        <v>1254</v>
      </c>
      <c r="I113" s="21">
        <f t="shared" si="41"/>
        <v>1312.5</v>
      </c>
      <c r="J113" s="21">
        <f t="shared" si="41"/>
        <v>798.5999999999999</v>
      </c>
      <c r="K113" s="21" t="e">
        <f>J113/#REF!*100</f>
        <v>#REF!</v>
      </c>
      <c r="L113" s="21">
        <f aca="true" t="shared" si="42" ref="L113:L121">J113/H113*100</f>
        <v>63.68421052631579</v>
      </c>
      <c r="M113" s="119"/>
      <c r="N113" s="119"/>
      <c r="O113" s="21">
        <f t="shared" si="31"/>
        <v>60.84571428571427</v>
      </c>
      <c r="P113" s="21">
        <f t="shared" si="28"/>
        <v>66.3895585667969</v>
      </c>
      <c r="Q113" s="18">
        <f t="shared" si="29"/>
        <v>15.820126782884307</v>
      </c>
    </row>
    <row r="114" spans="1:17" ht="12.75">
      <c r="A114" s="16" t="s">
        <v>23</v>
      </c>
      <c r="B114" s="16"/>
      <c r="C114" s="22" t="s">
        <v>22</v>
      </c>
      <c r="D114" s="41">
        <f>F114+G114+H114+I114</f>
        <v>1310</v>
      </c>
      <c r="E114" s="41">
        <f aca="true" t="shared" si="43" ref="E114:E125">F114</f>
        <v>286.3</v>
      </c>
      <c r="F114" s="41">
        <v>286.3</v>
      </c>
      <c r="G114" s="41">
        <v>363.7</v>
      </c>
      <c r="H114" s="13">
        <v>339.1</v>
      </c>
      <c r="I114" s="13">
        <v>320.9</v>
      </c>
      <c r="J114" s="13">
        <v>493.2</v>
      </c>
      <c r="K114" s="15" t="e">
        <f>J114/#REF!*100</f>
        <v>#REF!</v>
      </c>
      <c r="L114" s="15">
        <f t="shared" si="42"/>
        <v>145.44382188145087</v>
      </c>
      <c r="M114" s="119"/>
      <c r="N114" s="119"/>
      <c r="O114" s="12">
        <f t="shared" si="31"/>
        <v>153.69273917108134</v>
      </c>
      <c r="P114" s="15">
        <f t="shared" si="28"/>
        <v>172.26685295144952</v>
      </c>
      <c r="Q114" s="13">
        <f t="shared" si="29"/>
        <v>37.64885496183206</v>
      </c>
    </row>
    <row r="115" spans="1:17" ht="12.75">
      <c r="A115" s="8" t="s">
        <v>8</v>
      </c>
      <c r="B115" s="8"/>
      <c r="C115" s="22" t="s">
        <v>5</v>
      </c>
      <c r="D115" s="41">
        <f>F115+G115+H115+I115</f>
        <v>0</v>
      </c>
      <c r="E115" s="41">
        <f t="shared" si="43"/>
        <v>0</v>
      </c>
      <c r="F115" s="41"/>
      <c r="G115" s="41"/>
      <c r="H115" s="13"/>
      <c r="I115" s="13"/>
      <c r="J115" s="13"/>
      <c r="K115" s="15"/>
      <c r="L115" s="15"/>
      <c r="M115" s="119"/>
      <c r="N115" s="119"/>
      <c r="O115" s="12"/>
      <c r="P115" s="15" t="e">
        <f>J115*100/E115</f>
        <v>#DIV/0!</v>
      </c>
      <c r="Q115" s="13" t="e">
        <f>J115*100/D115</f>
        <v>#DIV/0!</v>
      </c>
    </row>
    <row r="116" spans="1:17" ht="12.75">
      <c r="A116" s="8" t="s">
        <v>56</v>
      </c>
      <c r="B116" s="8"/>
      <c r="C116" s="22" t="s">
        <v>57</v>
      </c>
      <c r="D116" s="41">
        <f>F116+G116+H116+I116</f>
        <v>3271</v>
      </c>
      <c r="E116" s="41">
        <f t="shared" si="43"/>
        <v>817.5</v>
      </c>
      <c r="F116" s="41">
        <v>817.5</v>
      </c>
      <c r="G116" s="41">
        <v>817.5</v>
      </c>
      <c r="H116" s="13">
        <v>817.5</v>
      </c>
      <c r="I116" s="13">
        <v>818.5</v>
      </c>
      <c r="J116" s="13">
        <v>226.7</v>
      </c>
      <c r="K116" s="15"/>
      <c r="L116" s="15"/>
      <c r="M116" s="119"/>
      <c r="N116" s="119"/>
      <c r="O116" s="12"/>
      <c r="P116" s="15">
        <f>J116*100/E116</f>
        <v>27.730886850152906</v>
      </c>
      <c r="Q116" s="13">
        <f>J116*100/D116</f>
        <v>6.930602262305105</v>
      </c>
    </row>
    <row r="117" spans="1:17" ht="12.75">
      <c r="A117" s="8" t="s">
        <v>9</v>
      </c>
      <c r="B117" s="8"/>
      <c r="C117" s="22" t="s">
        <v>6</v>
      </c>
      <c r="D117" s="41">
        <f aca="true" t="shared" si="44" ref="D117:D125">F117+G117+H117+I117</f>
        <v>77</v>
      </c>
      <c r="E117" s="41">
        <f t="shared" si="43"/>
        <v>1.5</v>
      </c>
      <c r="F117" s="41">
        <v>1.5</v>
      </c>
      <c r="G117" s="41"/>
      <c r="H117" s="13"/>
      <c r="I117" s="13">
        <v>75.5</v>
      </c>
      <c r="J117" s="13">
        <v>21.2</v>
      </c>
      <c r="K117" s="15" t="e">
        <f>J117/#REF!*100</f>
        <v>#REF!</v>
      </c>
      <c r="L117" s="15" t="e">
        <f t="shared" si="42"/>
        <v>#DIV/0!</v>
      </c>
      <c r="M117" s="119"/>
      <c r="N117" s="119"/>
      <c r="O117" s="12">
        <f t="shared" si="31"/>
        <v>28.079470198675498</v>
      </c>
      <c r="P117" s="15">
        <f t="shared" si="28"/>
        <v>1413.3333333333333</v>
      </c>
      <c r="Q117" s="13">
        <f t="shared" si="29"/>
        <v>27.532467532467532</v>
      </c>
    </row>
    <row r="118" spans="1:17" ht="12.75">
      <c r="A118" s="8" t="s">
        <v>10</v>
      </c>
      <c r="B118" s="8"/>
      <c r="C118" s="22" t="s">
        <v>21</v>
      </c>
      <c r="D118" s="41">
        <f t="shared" si="44"/>
        <v>30</v>
      </c>
      <c r="E118" s="41">
        <f t="shared" si="43"/>
        <v>7.5</v>
      </c>
      <c r="F118" s="41">
        <v>7.5</v>
      </c>
      <c r="G118" s="41">
        <v>7.5</v>
      </c>
      <c r="H118" s="13">
        <v>7.5</v>
      </c>
      <c r="I118" s="13">
        <v>7.5</v>
      </c>
      <c r="J118" s="13">
        <v>2.2</v>
      </c>
      <c r="K118" s="15" t="e">
        <f>J118/#REF!*100</f>
        <v>#REF!</v>
      </c>
      <c r="L118" s="15">
        <f t="shared" si="42"/>
        <v>29.333333333333332</v>
      </c>
      <c r="M118" s="119"/>
      <c r="N118" s="119"/>
      <c r="O118" s="12">
        <f t="shared" si="31"/>
        <v>29.333333333333336</v>
      </c>
      <c r="P118" s="15">
        <f t="shared" si="28"/>
        <v>29.333333333333336</v>
      </c>
      <c r="Q118" s="13">
        <f t="shared" si="29"/>
        <v>7.333333333333334</v>
      </c>
    </row>
    <row r="119" spans="1:17" ht="36">
      <c r="A119" s="9" t="s">
        <v>11</v>
      </c>
      <c r="B119" s="9"/>
      <c r="C119" s="22" t="s">
        <v>17</v>
      </c>
      <c r="D119" s="41">
        <f t="shared" si="44"/>
        <v>250</v>
      </c>
      <c r="E119" s="41">
        <f t="shared" si="43"/>
        <v>62.6</v>
      </c>
      <c r="F119" s="41">
        <v>62.6</v>
      </c>
      <c r="G119" s="41">
        <v>62.4</v>
      </c>
      <c r="H119" s="13">
        <v>62.4</v>
      </c>
      <c r="I119" s="13">
        <v>62.6</v>
      </c>
      <c r="J119" s="13">
        <v>45.3</v>
      </c>
      <c r="K119" s="15" t="e">
        <f>J119/#REF!*100</f>
        <v>#REF!</v>
      </c>
      <c r="L119" s="15">
        <f t="shared" si="42"/>
        <v>72.59615384615384</v>
      </c>
      <c r="M119" s="119"/>
      <c r="N119" s="119"/>
      <c r="O119" s="12">
        <f t="shared" si="31"/>
        <v>72.36421725239616</v>
      </c>
      <c r="P119" s="15">
        <f t="shared" si="28"/>
        <v>72.36421725239616</v>
      </c>
      <c r="Q119" s="13">
        <f t="shared" si="29"/>
        <v>18.12</v>
      </c>
    </row>
    <row r="120" spans="1:17" ht="24">
      <c r="A120" s="24" t="s">
        <v>42</v>
      </c>
      <c r="B120" s="24"/>
      <c r="C120" s="22" t="s">
        <v>43</v>
      </c>
      <c r="D120" s="41">
        <f t="shared" si="44"/>
        <v>110</v>
      </c>
      <c r="E120" s="41">
        <f t="shared" si="43"/>
        <v>27.5</v>
      </c>
      <c r="F120" s="41">
        <v>27.5</v>
      </c>
      <c r="G120" s="41">
        <v>27.5</v>
      </c>
      <c r="H120" s="13">
        <v>27.5</v>
      </c>
      <c r="I120" s="13">
        <v>27.5</v>
      </c>
      <c r="J120" s="13">
        <v>10</v>
      </c>
      <c r="K120" s="15" t="e">
        <f>J120/#REF!*100</f>
        <v>#REF!</v>
      </c>
      <c r="L120" s="15">
        <f t="shared" si="42"/>
        <v>36.36363636363637</v>
      </c>
      <c r="M120" s="119"/>
      <c r="N120" s="119"/>
      <c r="O120" s="12">
        <f t="shared" si="31"/>
        <v>36.36363636363637</v>
      </c>
      <c r="P120" s="15">
        <f t="shared" si="28"/>
        <v>36.36363636363637</v>
      </c>
      <c r="Q120" s="13">
        <f t="shared" si="29"/>
        <v>9.090909090909092</v>
      </c>
    </row>
    <row r="121" spans="1:17" ht="24">
      <c r="A121" s="23" t="s">
        <v>18</v>
      </c>
      <c r="B121" s="23"/>
      <c r="C121" s="22" t="s">
        <v>15</v>
      </c>
      <c r="D121" s="41">
        <f t="shared" si="44"/>
        <v>0</v>
      </c>
      <c r="E121" s="41">
        <f t="shared" si="43"/>
        <v>0</v>
      </c>
      <c r="F121" s="41"/>
      <c r="G121" s="41"/>
      <c r="H121" s="13"/>
      <c r="I121" s="13"/>
      <c r="J121" s="13"/>
      <c r="K121" s="15" t="e">
        <f>J121/#REF!*100</f>
        <v>#REF!</v>
      </c>
      <c r="L121" s="15" t="e">
        <f t="shared" si="42"/>
        <v>#DIV/0!</v>
      </c>
      <c r="M121" s="119"/>
      <c r="N121" s="119"/>
      <c r="O121" s="12" t="e">
        <f t="shared" si="31"/>
        <v>#DIV/0!</v>
      </c>
      <c r="P121" s="15"/>
      <c r="Q121" s="13"/>
    </row>
    <row r="122" spans="1:17" ht="12.75">
      <c r="A122" s="16" t="s">
        <v>12</v>
      </c>
      <c r="B122" s="16"/>
      <c r="C122" s="22" t="s">
        <v>7</v>
      </c>
      <c r="D122" s="41">
        <f t="shared" si="44"/>
        <v>0</v>
      </c>
      <c r="E122" s="41">
        <f t="shared" si="43"/>
        <v>0</v>
      </c>
      <c r="F122" s="41"/>
      <c r="G122" s="41"/>
      <c r="H122" s="13"/>
      <c r="I122" s="13"/>
      <c r="J122" s="13"/>
      <c r="K122" s="15"/>
      <c r="L122" s="15"/>
      <c r="M122" s="119"/>
      <c r="N122" s="119"/>
      <c r="O122" s="12" t="e">
        <f t="shared" si="31"/>
        <v>#DIV/0!</v>
      </c>
      <c r="P122" s="21" t="e">
        <f t="shared" si="28"/>
        <v>#DIV/0!</v>
      </c>
      <c r="Q122" s="18" t="e">
        <f t="shared" si="29"/>
        <v>#DIV/0!</v>
      </c>
    </row>
    <row r="123" spans="1:17" ht="12.75">
      <c r="A123" s="23" t="s">
        <v>39</v>
      </c>
      <c r="B123" s="133"/>
      <c r="C123" s="11" t="s">
        <v>40</v>
      </c>
      <c r="D123" s="41">
        <f t="shared" si="44"/>
        <v>0</v>
      </c>
      <c r="E123" s="41">
        <f t="shared" si="43"/>
        <v>0</v>
      </c>
      <c r="F123" s="41"/>
      <c r="G123" s="41"/>
      <c r="H123" s="13"/>
      <c r="I123" s="13"/>
      <c r="J123" s="13"/>
      <c r="K123" s="15"/>
      <c r="L123" s="15"/>
      <c r="M123" s="119"/>
      <c r="N123" s="119"/>
      <c r="O123" s="12" t="e">
        <f t="shared" si="31"/>
        <v>#DIV/0!</v>
      </c>
      <c r="P123" s="21"/>
      <c r="Q123" s="18"/>
    </row>
    <row r="124" spans="1:17" ht="12.75">
      <c r="A124" s="19" t="s">
        <v>1</v>
      </c>
      <c r="B124" s="19"/>
      <c r="C124" s="26" t="s">
        <v>0</v>
      </c>
      <c r="D124" s="27">
        <f aca="true" t="shared" si="45" ref="D124:K124">D125</f>
        <v>23673.5</v>
      </c>
      <c r="E124" s="134">
        <f t="shared" si="45"/>
        <v>4822.7</v>
      </c>
      <c r="F124" s="134">
        <f t="shared" si="45"/>
        <v>4822.7</v>
      </c>
      <c r="G124" s="134">
        <f t="shared" si="45"/>
        <v>7064.7</v>
      </c>
      <c r="H124" s="134">
        <f t="shared" si="45"/>
        <v>5425.9</v>
      </c>
      <c r="I124" s="27">
        <f t="shared" si="45"/>
        <v>6360.2</v>
      </c>
      <c r="J124" s="27">
        <f t="shared" si="45"/>
        <v>3263.5</v>
      </c>
      <c r="K124" s="27" t="e">
        <f t="shared" si="45"/>
        <v>#REF!</v>
      </c>
      <c r="L124" s="21">
        <f>J124/H124*100</f>
        <v>60.14670377264601</v>
      </c>
      <c r="M124" s="119"/>
      <c r="N124" s="119"/>
      <c r="O124" s="31">
        <f t="shared" si="31"/>
        <v>51.31127951951196</v>
      </c>
      <c r="P124" s="21">
        <f t="shared" si="28"/>
        <v>67.66956269309723</v>
      </c>
      <c r="Q124" s="18">
        <f t="shared" si="29"/>
        <v>13.785456311909941</v>
      </c>
    </row>
    <row r="125" spans="1:17" ht="36">
      <c r="A125" s="10" t="s">
        <v>53</v>
      </c>
      <c r="B125" s="8"/>
      <c r="C125" s="28" t="s">
        <v>20</v>
      </c>
      <c r="D125" s="41">
        <f t="shared" si="44"/>
        <v>23673.5</v>
      </c>
      <c r="E125" s="41">
        <f t="shared" si="43"/>
        <v>4822.7</v>
      </c>
      <c r="F125" s="41">
        <v>4822.7</v>
      </c>
      <c r="G125" s="41">
        <v>7064.7</v>
      </c>
      <c r="H125" s="13">
        <v>5425.9</v>
      </c>
      <c r="I125" s="13">
        <v>6360.2</v>
      </c>
      <c r="J125" s="13">
        <v>3263.5</v>
      </c>
      <c r="K125" s="15" t="e">
        <f>J125/#REF!*100</f>
        <v>#REF!</v>
      </c>
      <c r="L125" s="15">
        <f>J125/H125*100</f>
        <v>60.14670377264601</v>
      </c>
      <c r="M125" s="119"/>
      <c r="N125" s="119"/>
      <c r="O125" s="12">
        <f t="shared" si="31"/>
        <v>51.31127951951196</v>
      </c>
      <c r="P125" s="15">
        <f t="shared" si="28"/>
        <v>67.66956269309723</v>
      </c>
      <c r="Q125" s="13">
        <f t="shared" si="29"/>
        <v>13.785456311909941</v>
      </c>
    </row>
    <row r="126" spans="1:17" ht="12.75">
      <c r="A126" s="16"/>
      <c r="B126" s="124"/>
      <c r="C126" s="17" t="s">
        <v>4</v>
      </c>
      <c r="D126" s="18">
        <f aca="true" t="shared" si="46" ref="D126:J126">D124+D113</f>
        <v>28721.5</v>
      </c>
      <c r="E126" s="18">
        <f t="shared" si="46"/>
        <v>6025.6</v>
      </c>
      <c r="F126" s="18">
        <f t="shared" si="46"/>
        <v>6025.6</v>
      </c>
      <c r="G126" s="18">
        <f t="shared" si="46"/>
        <v>8343.3</v>
      </c>
      <c r="H126" s="18">
        <f t="shared" si="46"/>
        <v>6679.9</v>
      </c>
      <c r="I126" s="18">
        <f t="shared" si="46"/>
        <v>7672.7</v>
      </c>
      <c r="J126" s="18">
        <f t="shared" si="46"/>
        <v>4062.1</v>
      </c>
      <c r="K126" s="21" t="e">
        <f>J126/#REF!*100</f>
        <v>#REF!</v>
      </c>
      <c r="L126" s="21">
        <f>J126/H126*100</f>
        <v>60.810790580697315</v>
      </c>
      <c r="M126" s="119"/>
      <c r="N126" s="125" t="e">
        <f>I126+#REF!+#REF!</f>
        <v>#REF!</v>
      </c>
      <c r="O126" s="31">
        <f t="shared" si="31"/>
        <v>52.94224979472676</v>
      </c>
      <c r="P126" s="21">
        <f t="shared" si="28"/>
        <v>67.41403345724906</v>
      </c>
      <c r="Q126" s="18">
        <f t="shared" si="29"/>
        <v>14.143063558658149</v>
      </c>
    </row>
    <row r="127" spans="1:17" ht="12.7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2"/>
      <c r="M127" s="119"/>
      <c r="N127" s="119"/>
      <c r="O127" s="126"/>
      <c r="P127" s="21"/>
      <c r="Q127" s="18"/>
    </row>
    <row r="128" spans="1:17" ht="12.75">
      <c r="A128" s="149" t="s">
        <v>31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21"/>
      <c r="Q128" s="18"/>
    </row>
    <row r="129" spans="1:17" ht="12.75">
      <c r="A129" s="19" t="s">
        <v>3</v>
      </c>
      <c r="B129" s="19"/>
      <c r="C129" s="20" t="s">
        <v>54</v>
      </c>
      <c r="D129" s="21">
        <f aca="true" t="shared" si="47" ref="D129:J129">D130+D132+D133+D134+D136+D138+D135+D137+D131</f>
        <v>9547</v>
      </c>
      <c r="E129" s="21">
        <f t="shared" si="47"/>
        <v>1898.8</v>
      </c>
      <c r="F129" s="21">
        <f t="shared" si="47"/>
        <v>1898.8</v>
      </c>
      <c r="G129" s="21">
        <f t="shared" si="47"/>
        <v>2675.8</v>
      </c>
      <c r="H129" s="21">
        <f t="shared" si="47"/>
        <v>2431.8</v>
      </c>
      <c r="I129" s="21">
        <f t="shared" si="47"/>
        <v>2540.6</v>
      </c>
      <c r="J129" s="21">
        <f t="shared" si="47"/>
        <v>810.6000000000001</v>
      </c>
      <c r="K129" s="21" t="e">
        <f>J129/#REF!*100</f>
        <v>#REF!</v>
      </c>
      <c r="L129" s="21">
        <f aca="true" t="shared" si="48" ref="L129:L136">J129/H129*100</f>
        <v>33.333333333333336</v>
      </c>
      <c r="M129" s="119"/>
      <c r="N129" s="119"/>
      <c r="O129" s="21">
        <f t="shared" si="31"/>
        <v>31.905849012044406</v>
      </c>
      <c r="P129" s="21">
        <f t="shared" si="28"/>
        <v>42.69012007583738</v>
      </c>
      <c r="Q129" s="18">
        <f t="shared" si="29"/>
        <v>8.490625327327958</v>
      </c>
    </row>
    <row r="130" spans="1:17" ht="12.75">
      <c r="A130" s="16" t="s">
        <v>23</v>
      </c>
      <c r="B130" s="16"/>
      <c r="C130" s="22" t="s">
        <v>22</v>
      </c>
      <c r="D130" s="41">
        <f>F130+G130+H130+I130</f>
        <v>2000</v>
      </c>
      <c r="E130" s="41">
        <f aca="true" t="shared" si="49" ref="E130:E141">F130</f>
        <v>400</v>
      </c>
      <c r="F130" s="34">
        <v>400</v>
      </c>
      <c r="G130" s="34">
        <v>500</v>
      </c>
      <c r="H130" s="12">
        <v>450</v>
      </c>
      <c r="I130" s="13">
        <v>650</v>
      </c>
      <c r="J130" s="13">
        <v>259.3</v>
      </c>
      <c r="K130" s="15" t="e">
        <f>J130/#REF!*100</f>
        <v>#REF!</v>
      </c>
      <c r="L130" s="15">
        <f t="shared" si="48"/>
        <v>57.62222222222223</v>
      </c>
      <c r="M130" s="119"/>
      <c r="N130" s="119"/>
      <c r="O130" s="12">
        <f t="shared" si="31"/>
        <v>39.89230769230769</v>
      </c>
      <c r="P130" s="15">
        <f t="shared" si="28"/>
        <v>64.825</v>
      </c>
      <c r="Q130" s="13">
        <f t="shared" si="29"/>
        <v>12.965</v>
      </c>
    </row>
    <row r="131" spans="1:17" ht="12.75">
      <c r="A131" s="8" t="s">
        <v>56</v>
      </c>
      <c r="B131" s="8"/>
      <c r="C131" s="22" t="s">
        <v>57</v>
      </c>
      <c r="D131" s="41">
        <f>F131+G131+H131+I131</f>
        <v>7083</v>
      </c>
      <c r="E131" s="41">
        <f t="shared" si="49"/>
        <v>1445.6</v>
      </c>
      <c r="F131" s="34">
        <v>1445.6</v>
      </c>
      <c r="G131" s="34">
        <v>2052.5</v>
      </c>
      <c r="H131" s="12">
        <v>1852.9</v>
      </c>
      <c r="I131" s="13">
        <v>1732</v>
      </c>
      <c r="J131" s="13">
        <v>491.1</v>
      </c>
      <c r="K131" s="15"/>
      <c r="L131" s="15"/>
      <c r="M131" s="119"/>
      <c r="N131" s="119"/>
      <c r="O131" s="12"/>
      <c r="P131" s="15">
        <f>J131*100/E131</f>
        <v>33.972053126729385</v>
      </c>
      <c r="Q131" s="13">
        <f>J131*100/D131</f>
        <v>6.933502753070733</v>
      </c>
    </row>
    <row r="132" spans="1:17" ht="12.75">
      <c r="A132" s="8" t="s">
        <v>9</v>
      </c>
      <c r="B132" s="8"/>
      <c r="C132" s="22" t="s">
        <v>6</v>
      </c>
      <c r="D132" s="41">
        <f aca="true" t="shared" si="50" ref="D132:D141">F132+G132+H132+I132</f>
        <v>267</v>
      </c>
      <c r="E132" s="41">
        <f t="shared" si="49"/>
        <v>20.1</v>
      </c>
      <c r="F132" s="34">
        <v>20.1</v>
      </c>
      <c r="G132" s="34">
        <v>66.6</v>
      </c>
      <c r="H132" s="12">
        <v>77.7</v>
      </c>
      <c r="I132" s="13">
        <v>102.6</v>
      </c>
      <c r="J132" s="13">
        <v>29.8</v>
      </c>
      <c r="K132" s="15" t="e">
        <f>J132/#REF!*100</f>
        <v>#REF!</v>
      </c>
      <c r="L132" s="15">
        <f t="shared" si="48"/>
        <v>38.35263835263835</v>
      </c>
      <c r="M132" s="119"/>
      <c r="N132" s="119"/>
      <c r="O132" s="12">
        <f t="shared" si="31"/>
        <v>29.044834307992204</v>
      </c>
      <c r="P132" s="15">
        <f t="shared" si="28"/>
        <v>148.25870646766168</v>
      </c>
      <c r="Q132" s="13">
        <f t="shared" si="29"/>
        <v>11.161048689138577</v>
      </c>
    </row>
    <row r="133" spans="1:17" ht="12.75">
      <c r="A133" s="8" t="s">
        <v>10</v>
      </c>
      <c r="B133" s="8"/>
      <c r="C133" s="22" t="s">
        <v>21</v>
      </c>
      <c r="D133" s="41">
        <f t="shared" si="50"/>
        <v>47</v>
      </c>
      <c r="E133" s="41">
        <f t="shared" si="49"/>
        <v>5.5</v>
      </c>
      <c r="F133" s="34">
        <v>5.5</v>
      </c>
      <c r="G133" s="34">
        <v>14</v>
      </c>
      <c r="H133" s="12">
        <v>14.2</v>
      </c>
      <c r="I133" s="13">
        <v>13.3</v>
      </c>
      <c r="J133" s="13">
        <v>7.1</v>
      </c>
      <c r="K133" s="15" t="e">
        <f>J133/#REF!*100</f>
        <v>#REF!</v>
      </c>
      <c r="L133" s="15">
        <f t="shared" si="48"/>
        <v>50</v>
      </c>
      <c r="M133" s="119"/>
      <c r="N133" s="119"/>
      <c r="O133" s="12">
        <f t="shared" si="31"/>
        <v>53.38345864661654</v>
      </c>
      <c r="P133" s="15">
        <f t="shared" si="28"/>
        <v>129.0909090909091</v>
      </c>
      <c r="Q133" s="13">
        <f t="shared" si="29"/>
        <v>15.106382978723405</v>
      </c>
    </row>
    <row r="134" spans="1:17" ht="36">
      <c r="A134" s="9" t="s">
        <v>11</v>
      </c>
      <c r="B134" s="9"/>
      <c r="C134" s="22" t="s">
        <v>17</v>
      </c>
      <c r="D134" s="41">
        <f t="shared" si="50"/>
        <v>70</v>
      </c>
      <c r="E134" s="41">
        <f t="shared" si="49"/>
        <v>10.6</v>
      </c>
      <c r="F134" s="34">
        <v>10.6</v>
      </c>
      <c r="G134" s="34">
        <v>18.7</v>
      </c>
      <c r="H134" s="12">
        <v>22</v>
      </c>
      <c r="I134" s="13">
        <v>18.7</v>
      </c>
      <c r="J134" s="13">
        <v>23.3</v>
      </c>
      <c r="K134" s="15" t="e">
        <f>J134/#REF!*100</f>
        <v>#REF!</v>
      </c>
      <c r="L134" s="15">
        <f t="shared" si="48"/>
        <v>105.9090909090909</v>
      </c>
      <c r="M134" s="119"/>
      <c r="N134" s="119"/>
      <c r="O134" s="12">
        <f t="shared" si="31"/>
        <v>124.59893048128343</v>
      </c>
      <c r="P134" s="15">
        <f t="shared" si="28"/>
        <v>219.811320754717</v>
      </c>
      <c r="Q134" s="13">
        <f t="shared" si="29"/>
        <v>33.285714285714285</v>
      </c>
    </row>
    <row r="135" spans="1:17" ht="24">
      <c r="A135" s="24" t="s">
        <v>42</v>
      </c>
      <c r="B135" s="24"/>
      <c r="C135" s="22" t="s">
        <v>43</v>
      </c>
      <c r="D135" s="41">
        <f t="shared" si="50"/>
        <v>80</v>
      </c>
      <c r="E135" s="41">
        <f t="shared" si="49"/>
        <v>17</v>
      </c>
      <c r="F135" s="34">
        <v>17</v>
      </c>
      <c r="G135" s="34">
        <v>24</v>
      </c>
      <c r="H135" s="12">
        <v>15</v>
      </c>
      <c r="I135" s="13">
        <v>24</v>
      </c>
      <c r="J135" s="13"/>
      <c r="K135" s="15" t="e">
        <f>J135/#REF!*100</f>
        <v>#REF!</v>
      </c>
      <c r="L135" s="15">
        <f t="shared" si="48"/>
        <v>0</v>
      </c>
      <c r="M135" s="119"/>
      <c r="N135" s="119"/>
      <c r="O135" s="12">
        <f t="shared" si="31"/>
        <v>0</v>
      </c>
      <c r="P135" s="15">
        <f t="shared" si="28"/>
        <v>0</v>
      </c>
      <c r="Q135" s="13">
        <f t="shared" si="29"/>
        <v>0</v>
      </c>
    </row>
    <row r="136" spans="1:17" ht="24">
      <c r="A136" s="24" t="s">
        <v>18</v>
      </c>
      <c r="B136" s="24"/>
      <c r="C136" s="22" t="s">
        <v>15</v>
      </c>
      <c r="D136" s="41">
        <f t="shared" si="50"/>
        <v>0</v>
      </c>
      <c r="E136" s="41">
        <f t="shared" si="49"/>
        <v>0</v>
      </c>
      <c r="F136" s="34"/>
      <c r="G136" s="34"/>
      <c r="H136" s="12"/>
      <c r="I136" s="13"/>
      <c r="J136" s="13"/>
      <c r="K136" s="15" t="e">
        <f>J136/#REF!*100</f>
        <v>#REF!</v>
      </c>
      <c r="L136" s="15" t="e">
        <f t="shared" si="48"/>
        <v>#DIV/0!</v>
      </c>
      <c r="M136" s="119"/>
      <c r="N136" s="119"/>
      <c r="O136" s="12" t="e">
        <f t="shared" si="31"/>
        <v>#DIV/0!</v>
      </c>
      <c r="P136" s="15"/>
      <c r="Q136" s="13"/>
    </row>
    <row r="137" spans="1:17" ht="12.75">
      <c r="A137" s="16" t="s">
        <v>12</v>
      </c>
      <c r="B137" s="16"/>
      <c r="C137" s="22" t="s">
        <v>7</v>
      </c>
      <c r="D137" s="41">
        <f t="shared" si="50"/>
        <v>0</v>
      </c>
      <c r="E137" s="41">
        <f t="shared" si="49"/>
        <v>0</v>
      </c>
      <c r="F137" s="34"/>
      <c r="G137" s="34"/>
      <c r="H137" s="12"/>
      <c r="I137" s="13"/>
      <c r="J137" s="13"/>
      <c r="K137" s="15"/>
      <c r="L137" s="15"/>
      <c r="M137" s="119"/>
      <c r="N137" s="119"/>
      <c r="O137" s="12"/>
      <c r="P137" s="15"/>
      <c r="Q137" s="13"/>
    </row>
    <row r="138" spans="1:17" ht="12.75">
      <c r="A138" s="24" t="s">
        <v>39</v>
      </c>
      <c r="B138" s="133"/>
      <c r="C138" s="11" t="s">
        <v>40</v>
      </c>
      <c r="D138" s="41">
        <f t="shared" si="50"/>
        <v>0</v>
      </c>
      <c r="E138" s="41">
        <f t="shared" si="49"/>
        <v>0</v>
      </c>
      <c r="F138" s="34"/>
      <c r="G138" s="34"/>
      <c r="H138" s="12"/>
      <c r="I138" s="13"/>
      <c r="J138" s="12"/>
      <c r="K138" s="15"/>
      <c r="L138" s="15"/>
      <c r="M138" s="119"/>
      <c r="N138" s="119"/>
      <c r="O138" s="12"/>
      <c r="P138" s="15"/>
      <c r="Q138" s="13"/>
    </row>
    <row r="139" spans="1:17" ht="12.75">
      <c r="A139" s="30" t="s">
        <v>1</v>
      </c>
      <c r="B139" s="30"/>
      <c r="C139" s="26" t="s">
        <v>0</v>
      </c>
      <c r="D139" s="27">
        <f aca="true" t="shared" si="51" ref="D139:J139">D140+D141</f>
        <v>38572.200000000004</v>
      </c>
      <c r="E139" s="27">
        <f t="shared" si="51"/>
        <v>8747.2</v>
      </c>
      <c r="F139" s="27">
        <f t="shared" si="51"/>
        <v>8747.2</v>
      </c>
      <c r="G139" s="27">
        <f t="shared" si="51"/>
        <v>9525</v>
      </c>
      <c r="H139" s="27">
        <f t="shared" si="51"/>
        <v>11264.1</v>
      </c>
      <c r="I139" s="27">
        <f t="shared" si="51"/>
        <v>9035.9</v>
      </c>
      <c r="J139" s="27">
        <f t="shared" si="51"/>
        <v>6485.8</v>
      </c>
      <c r="K139" s="21" t="e">
        <f>J139/#REF!*100</f>
        <v>#REF!</v>
      </c>
      <c r="L139" s="21">
        <f>J139/H139*100</f>
        <v>57.57938938752319</v>
      </c>
      <c r="M139" s="119"/>
      <c r="N139" s="119"/>
      <c r="O139" s="31">
        <f t="shared" si="31"/>
        <v>71.77812946137075</v>
      </c>
      <c r="P139" s="21">
        <f t="shared" si="28"/>
        <v>74.14715566124016</v>
      </c>
      <c r="Q139" s="18">
        <f t="shared" si="29"/>
        <v>16.814700743022176</v>
      </c>
    </row>
    <row r="140" spans="1:17" ht="36">
      <c r="A140" s="10" t="s">
        <v>53</v>
      </c>
      <c r="B140" s="8"/>
      <c r="C140" s="28" t="s">
        <v>20</v>
      </c>
      <c r="D140" s="41">
        <f t="shared" si="50"/>
        <v>38572.200000000004</v>
      </c>
      <c r="E140" s="41">
        <f t="shared" si="49"/>
        <v>8747.2</v>
      </c>
      <c r="F140" s="34">
        <v>8747.2</v>
      </c>
      <c r="G140" s="34">
        <v>9525</v>
      </c>
      <c r="H140" s="12">
        <v>11264.1</v>
      </c>
      <c r="I140" s="13">
        <v>9035.9</v>
      </c>
      <c r="J140" s="13">
        <v>6485.8</v>
      </c>
      <c r="K140" s="15" t="e">
        <f>J140/#REF!*100</f>
        <v>#REF!</v>
      </c>
      <c r="L140" s="15">
        <f>J140/H140*100</f>
        <v>57.57938938752319</v>
      </c>
      <c r="M140" s="119"/>
      <c r="N140" s="119"/>
      <c r="O140" s="12">
        <f t="shared" si="31"/>
        <v>71.77812946137075</v>
      </c>
      <c r="P140" s="15">
        <f t="shared" si="28"/>
        <v>74.14715566124016</v>
      </c>
      <c r="Q140" s="13">
        <f t="shared" si="29"/>
        <v>16.814700743022176</v>
      </c>
    </row>
    <row r="141" spans="1:17" ht="12.75">
      <c r="A141" s="10" t="s">
        <v>2</v>
      </c>
      <c r="B141" s="10"/>
      <c r="C141" s="29" t="s">
        <v>19</v>
      </c>
      <c r="D141" s="41">
        <f t="shared" si="50"/>
        <v>0</v>
      </c>
      <c r="E141" s="41">
        <f t="shared" si="49"/>
        <v>0</v>
      </c>
      <c r="F141" s="132"/>
      <c r="G141" s="132"/>
      <c r="H141" s="12"/>
      <c r="I141" s="13"/>
      <c r="J141" s="13"/>
      <c r="K141" s="15"/>
      <c r="L141" s="15"/>
      <c r="M141" s="119"/>
      <c r="N141" s="119"/>
      <c r="O141" s="12" t="e">
        <f t="shared" si="31"/>
        <v>#DIV/0!</v>
      </c>
      <c r="P141" s="15"/>
      <c r="Q141" s="13"/>
    </row>
    <row r="142" spans="1:17" ht="12.75">
      <c r="A142" s="16"/>
      <c r="B142" s="124"/>
      <c r="C142" s="17" t="s">
        <v>4</v>
      </c>
      <c r="D142" s="18">
        <f aca="true" t="shared" si="52" ref="D142:J142">D139+D129</f>
        <v>48119.200000000004</v>
      </c>
      <c r="E142" s="18">
        <f t="shared" si="52"/>
        <v>10646</v>
      </c>
      <c r="F142" s="31">
        <f t="shared" si="52"/>
        <v>10646</v>
      </c>
      <c r="G142" s="31">
        <f t="shared" si="52"/>
        <v>12200.8</v>
      </c>
      <c r="H142" s="31">
        <f t="shared" si="52"/>
        <v>13695.900000000001</v>
      </c>
      <c r="I142" s="18">
        <f t="shared" si="52"/>
        <v>11576.5</v>
      </c>
      <c r="J142" s="18">
        <f t="shared" si="52"/>
        <v>7296.400000000001</v>
      </c>
      <c r="K142" s="21" t="e">
        <f>J142/#REF!*100</f>
        <v>#REF!</v>
      </c>
      <c r="L142" s="21">
        <f>J142/H142*100</f>
        <v>53.27433757547879</v>
      </c>
      <c r="M142" s="119"/>
      <c r="N142" s="125" t="e">
        <f>I142+#REF!+#REF!</f>
        <v>#REF!</v>
      </c>
      <c r="O142" s="31">
        <f t="shared" si="31"/>
        <v>63.02768539714076</v>
      </c>
      <c r="P142" s="21">
        <f t="shared" si="28"/>
        <v>68.53653954536915</v>
      </c>
      <c r="Q142" s="18">
        <f t="shared" si="29"/>
        <v>15.163178107699212</v>
      </c>
    </row>
    <row r="143" spans="1:17" ht="12.75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6"/>
      <c r="M143" s="119"/>
      <c r="N143" s="119"/>
      <c r="O143" s="126"/>
      <c r="P143" s="21"/>
      <c r="Q143" s="18"/>
    </row>
    <row r="144" spans="1:17" ht="12.75">
      <c r="A144" s="149" t="s">
        <v>32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21"/>
      <c r="Q144" s="18"/>
    </row>
    <row r="145" spans="1:17" ht="12.75">
      <c r="A145" s="19" t="s">
        <v>3</v>
      </c>
      <c r="B145" s="19"/>
      <c r="C145" s="20" t="s">
        <v>54</v>
      </c>
      <c r="D145" s="21">
        <f aca="true" t="shared" si="53" ref="D145:J145">D146+D149+D151+D153+D150+D154+D152+D155+D148+D147</f>
        <v>18757</v>
      </c>
      <c r="E145" s="21">
        <f t="shared" si="53"/>
        <v>4864.9</v>
      </c>
      <c r="F145" s="21">
        <f t="shared" si="53"/>
        <v>4864.9</v>
      </c>
      <c r="G145" s="21">
        <f t="shared" si="53"/>
        <v>5307</v>
      </c>
      <c r="H145" s="21">
        <f t="shared" si="53"/>
        <v>4394.8</v>
      </c>
      <c r="I145" s="21">
        <f t="shared" si="53"/>
        <v>4190.3</v>
      </c>
      <c r="J145" s="21">
        <f t="shared" si="53"/>
        <v>2578.6</v>
      </c>
      <c r="K145" s="21" t="e">
        <f>J145/#REF!*100</f>
        <v>#REF!</v>
      </c>
      <c r="L145" s="21">
        <f>J145/H145*100</f>
        <v>58.6738873213798</v>
      </c>
      <c r="M145" s="119"/>
      <c r="N145" s="119"/>
      <c r="O145" s="21">
        <f t="shared" si="31"/>
        <v>61.53736009354939</v>
      </c>
      <c r="P145" s="21">
        <f t="shared" si="28"/>
        <v>53.00417274764127</v>
      </c>
      <c r="Q145" s="18">
        <f t="shared" si="29"/>
        <v>13.747400970304419</v>
      </c>
    </row>
    <row r="146" spans="1:17" ht="12.75">
      <c r="A146" s="16" t="s">
        <v>23</v>
      </c>
      <c r="B146" s="16"/>
      <c r="C146" s="22" t="s">
        <v>22</v>
      </c>
      <c r="D146" s="34">
        <f>F146+G146+H146+I146</f>
        <v>13150</v>
      </c>
      <c r="E146" s="41">
        <f aca="true" t="shared" si="54" ref="E146:E158">F146</f>
        <v>3300</v>
      </c>
      <c r="F146" s="34">
        <v>3300</v>
      </c>
      <c r="G146" s="34">
        <v>4020</v>
      </c>
      <c r="H146" s="12">
        <v>3140</v>
      </c>
      <c r="I146" s="13">
        <v>2690</v>
      </c>
      <c r="J146" s="13">
        <v>2044</v>
      </c>
      <c r="K146" s="15" t="e">
        <f>J146/#REF!*100</f>
        <v>#REF!</v>
      </c>
      <c r="L146" s="15">
        <f>J146/H146*100</f>
        <v>65.09554140127388</v>
      </c>
      <c r="M146" s="119"/>
      <c r="N146" s="119"/>
      <c r="O146" s="12">
        <f t="shared" si="31"/>
        <v>75.98513011152416</v>
      </c>
      <c r="P146" s="15">
        <f t="shared" si="28"/>
        <v>61.93939393939394</v>
      </c>
      <c r="Q146" s="13">
        <f t="shared" si="29"/>
        <v>15.543726235741445</v>
      </c>
    </row>
    <row r="147" spans="1:17" ht="12.75">
      <c r="A147" s="8" t="s">
        <v>56</v>
      </c>
      <c r="B147" s="8"/>
      <c r="C147" s="22" t="s">
        <v>57</v>
      </c>
      <c r="D147" s="34">
        <f>F147+G147+H147+I147</f>
        <v>4215</v>
      </c>
      <c r="E147" s="41">
        <f t="shared" si="54"/>
        <v>1054</v>
      </c>
      <c r="F147" s="34">
        <v>1054</v>
      </c>
      <c r="G147" s="34">
        <v>1055</v>
      </c>
      <c r="H147" s="12">
        <v>1054</v>
      </c>
      <c r="I147" s="13">
        <v>1052</v>
      </c>
      <c r="J147" s="13">
        <v>292.2</v>
      </c>
      <c r="K147" s="15"/>
      <c r="L147" s="15"/>
      <c r="M147" s="119"/>
      <c r="N147" s="119"/>
      <c r="O147" s="12"/>
      <c r="P147" s="15">
        <f>J147*100/E147</f>
        <v>27.722960151802656</v>
      </c>
      <c r="Q147" s="13">
        <f>J147*100/D147</f>
        <v>6.932384341637011</v>
      </c>
    </row>
    <row r="148" spans="1:17" ht="12.75">
      <c r="A148" s="8" t="s">
        <v>8</v>
      </c>
      <c r="B148" s="8"/>
      <c r="C148" s="22" t="s">
        <v>5</v>
      </c>
      <c r="D148" s="34">
        <f aca="true" t="shared" si="55" ref="D148:D157">F148+G148+H148+I148</f>
        <v>5</v>
      </c>
      <c r="E148" s="41">
        <f t="shared" si="54"/>
        <v>2</v>
      </c>
      <c r="F148" s="34">
        <v>2</v>
      </c>
      <c r="G148" s="34">
        <v>3</v>
      </c>
      <c r="H148" s="12"/>
      <c r="I148" s="13"/>
      <c r="J148" s="13">
        <v>4.3</v>
      </c>
      <c r="K148" s="15"/>
      <c r="L148" s="15"/>
      <c r="M148" s="119"/>
      <c r="N148" s="119"/>
      <c r="O148" s="12" t="e">
        <f t="shared" si="31"/>
        <v>#DIV/0!</v>
      </c>
      <c r="P148" s="15">
        <f>J148*100/E148</f>
        <v>215</v>
      </c>
      <c r="Q148" s="13">
        <f>J148*100/D148</f>
        <v>86</v>
      </c>
    </row>
    <row r="149" spans="1:17" ht="12.75">
      <c r="A149" s="8" t="s">
        <v>9</v>
      </c>
      <c r="B149" s="8"/>
      <c r="C149" s="22" t="s">
        <v>6</v>
      </c>
      <c r="D149" s="34">
        <f t="shared" si="55"/>
        <v>1070</v>
      </c>
      <c r="E149" s="41">
        <f t="shared" si="54"/>
        <v>426.9</v>
      </c>
      <c r="F149" s="34">
        <v>426.9</v>
      </c>
      <c r="G149" s="34">
        <v>154</v>
      </c>
      <c r="H149" s="12">
        <v>127.8</v>
      </c>
      <c r="I149" s="13">
        <v>361.3</v>
      </c>
      <c r="J149" s="13">
        <v>153.7</v>
      </c>
      <c r="K149" s="15" t="e">
        <f>J149/#REF!*100</f>
        <v>#REF!</v>
      </c>
      <c r="L149" s="15">
        <f>J149/H149*100</f>
        <v>120.2660406885759</v>
      </c>
      <c r="M149" s="119"/>
      <c r="N149" s="119"/>
      <c r="O149" s="12">
        <f t="shared" si="31"/>
        <v>42.540824799335724</v>
      </c>
      <c r="P149" s="15">
        <f aca="true" t="shared" si="56" ref="P149:P215">J149*100/E149</f>
        <v>36.00374795033966</v>
      </c>
      <c r="Q149" s="13">
        <f aca="true" t="shared" si="57" ref="Q149:Q215">J149*100/D149</f>
        <v>14.364485981308409</v>
      </c>
    </row>
    <row r="150" spans="1:17" ht="12.75">
      <c r="A150" s="8" t="s">
        <v>10</v>
      </c>
      <c r="B150" s="8"/>
      <c r="C150" s="22" t="s">
        <v>21</v>
      </c>
      <c r="D150" s="34">
        <f t="shared" si="55"/>
        <v>161</v>
      </c>
      <c r="E150" s="41">
        <f t="shared" si="54"/>
        <v>43</v>
      </c>
      <c r="F150" s="34">
        <v>43</v>
      </c>
      <c r="G150" s="34">
        <v>36</v>
      </c>
      <c r="H150" s="12">
        <v>34</v>
      </c>
      <c r="I150" s="13">
        <v>48</v>
      </c>
      <c r="J150" s="13">
        <v>29.9</v>
      </c>
      <c r="K150" s="15" t="e">
        <f>J150/#REF!*100</f>
        <v>#REF!</v>
      </c>
      <c r="L150" s="15">
        <f>J150/H150*100</f>
        <v>87.94117647058823</v>
      </c>
      <c r="M150" s="119"/>
      <c r="N150" s="119"/>
      <c r="O150" s="12">
        <f t="shared" si="31"/>
        <v>62.291666666666664</v>
      </c>
      <c r="P150" s="15">
        <f t="shared" si="56"/>
        <v>69.53488372093024</v>
      </c>
      <c r="Q150" s="13">
        <f t="shared" si="57"/>
        <v>18.571428571428573</v>
      </c>
    </row>
    <row r="151" spans="1:17" ht="36">
      <c r="A151" s="9" t="s">
        <v>11</v>
      </c>
      <c r="B151" s="9"/>
      <c r="C151" s="22" t="s">
        <v>17</v>
      </c>
      <c r="D151" s="34">
        <f t="shared" si="55"/>
        <v>156</v>
      </c>
      <c r="E151" s="41">
        <f t="shared" si="54"/>
        <v>39</v>
      </c>
      <c r="F151" s="34">
        <v>39</v>
      </c>
      <c r="G151" s="34">
        <v>39</v>
      </c>
      <c r="H151" s="12">
        <v>39</v>
      </c>
      <c r="I151" s="13">
        <v>39</v>
      </c>
      <c r="J151" s="13">
        <v>54.5</v>
      </c>
      <c r="K151" s="15" t="e">
        <f>J151/#REF!*100</f>
        <v>#REF!</v>
      </c>
      <c r="L151" s="15">
        <f>J151/H151*100</f>
        <v>139.74358974358972</v>
      </c>
      <c r="M151" s="119"/>
      <c r="N151" s="119"/>
      <c r="O151" s="12">
        <f t="shared" si="31"/>
        <v>139.74358974358975</v>
      </c>
      <c r="P151" s="15">
        <f t="shared" si="56"/>
        <v>139.74358974358975</v>
      </c>
      <c r="Q151" s="13">
        <f t="shared" si="57"/>
        <v>34.93589743589744</v>
      </c>
    </row>
    <row r="152" spans="1:17" ht="24">
      <c r="A152" s="24" t="s">
        <v>42</v>
      </c>
      <c r="B152" s="24"/>
      <c r="C152" s="22" t="s">
        <v>43</v>
      </c>
      <c r="D152" s="34">
        <f t="shared" si="55"/>
        <v>0</v>
      </c>
      <c r="E152" s="41">
        <f t="shared" si="54"/>
        <v>0</v>
      </c>
      <c r="F152" s="34"/>
      <c r="G152" s="34"/>
      <c r="H152" s="12"/>
      <c r="I152" s="13"/>
      <c r="J152" s="13"/>
      <c r="K152" s="15"/>
      <c r="L152" s="15"/>
      <c r="M152" s="119"/>
      <c r="N152" s="119"/>
      <c r="O152" s="12" t="e">
        <f aca="true" t="shared" si="58" ref="O152:O219">J152*100/I152</f>
        <v>#DIV/0!</v>
      </c>
      <c r="P152" s="15" t="e">
        <f t="shared" si="56"/>
        <v>#DIV/0!</v>
      </c>
      <c r="Q152" s="13" t="e">
        <f t="shared" si="57"/>
        <v>#DIV/0!</v>
      </c>
    </row>
    <row r="153" spans="1:17" ht="24">
      <c r="A153" s="23" t="s">
        <v>18</v>
      </c>
      <c r="B153" s="23"/>
      <c r="C153" s="22" t="s">
        <v>15</v>
      </c>
      <c r="D153" s="34">
        <f t="shared" si="55"/>
        <v>0</v>
      </c>
      <c r="E153" s="41">
        <f t="shared" si="54"/>
        <v>0</v>
      </c>
      <c r="F153" s="34"/>
      <c r="G153" s="34"/>
      <c r="H153" s="12"/>
      <c r="I153" s="13"/>
      <c r="J153" s="13"/>
      <c r="K153" s="15" t="e">
        <f>J153/#REF!*100</f>
        <v>#REF!</v>
      </c>
      <c r="L153" s="15" t="e">
        <f>J153/H153*100</f>
        <v>#DIV/0!</v>
      </c>
      <c r="M153" s="119"/>
      <c r="N153" s="119"/>
      <c r="O153" s="12" t="e">
        <f t="shared" si="58"/>
        <v>#DIV/0!</v>
      </c>
      <c r="P153" s="15"/>
      <c r="Q153" s="13"/>
    </row>
    <row r="154" spans="1:17" ht="12.75">
      <c r="A154" s="16" t="s">
        <v>12</v>
      </c>
      <c r="B154" s="16"/>
      <c r="C154" s="22" t="s">
        <v>7</v>
      </c>
      <c r="D154" s="34">
        <f t="shared" si="55"/>
        <v>0</v>
      </c>
      <c r="E154" s="41">
        <f t="shared" si="54"/>
        <v>0</v>
      </c>
      <c r="F154" s="34"/>
      <c r="G154" s="34"/>
      <c r="H154" s="12"/>
      <c r="I154" s="13"/>
      <c r="J154" s="13"/>
      <c r="K154" s="15" t="e">
        <f>J154/#REF!*100</f>
        <v>#REF!</v>
      </c>
      <c r="L154" s="15"/>
      <c r="M154" s="119"/>
      <c r="N154" s="119"/>
      <c r="O154" s="12" t="e">
        <f t="shared" si="58"/>
        <v>#DIV/0!</v>
      </c>
      <c r="P154" s="15"/>
      <c r="Q154" s="13"/>
    </row>
    <row r="155" spans="1:17" ht="12.75">
      <c r="A155" s="23" t="s">
        <v>39</v>
      </c>
      <c r="B155" s="135"/>
      <c r="C155" s="11" t="s">
        <v>40</v>
      </c>
      <c r="D155" s="34">
        <f t="shared" si="55"/>
        <v>0</v>
      </c>
      <c r="E155" s="41">
        <f t="shared" si="54"/>
        <v>0</v>
      </c>
      <c r="F155" s="34"/>
      <c r="G155" s="34"/>
      <c r="H155" s="12"/>
      <c r="I155" s="13"/>
      <c r="J155" s="13"/>
      <c r="K155" s="15"/>
      <c r="L155" s="15"/>
      <c r="M155" s="119"/>
      <c r="N155" s="119"/>
      <c r="O155" s="12" t="e">
        <f t="shared" si="58"/>
        <v>#DIV/0!</v>
      </c>
      <c r="P155" s="21"/>
      <c r="Q155" s="18"/>
    </row>
    <row r="156" spans="1:17" ht="12.75">
      <c r="A156" s="19" t="s">
        <v>1</v>
      </c>
      <c r="B156" s="19"/>
      <c r="C156" s="26" t="s">
        <v>0</v>
      </c>
      <c r="D156" s="27">
        <f>D157+D158</f>
        <v>29494</v>
      </c>
      <c r="E156" s="27">
        <f aca="true" t="shared" si="59" ref="E156:J156">E157+E158</f>
        <v>5470.3</v>
      </c>
      <c r="F156" s="27">
        <f t="shared" si="59"/>
        <v>5470.3</v>
      </c>
      <c r="G156" s="27">
        <f t="shared" si="59"/>
        <v>8236.1</v>
      </c>
      <c r="H156" s="27">
        <f t="shared" si="59"/>
        <v>9566.3</v>
      </c>
      <c r="I156" s="27">
        <f t="shared" si="59"/>
        <v>6221.3</v>
      </c>
      <c r="J156" s="27">
        <f t="shared" si="59"/>
        <v>3718.8</v>
      </c>
      <c r="K156" s="21" t="e">
        <f>J156/#REF!*100</f>
        <v>#REF!</v>
      </c>
      <c r="L156" s="21">
        <f>J156/H156*100</f>
        <v>38.873963810459635</v>
      </c>
      <c r="M156" s="119"/>
      <c r="N156" s="119"/>
      <c r="O156" s="31">
        <f t="shared" si="58"/>
        <v>59.775288123061095</v>
      </c>
      <c r="P156" s="21">
        <f t="shared" si="56"/>
        <v>67.98164634480742</v>
      </c>
      <c r="Q156" s="18">
        <f t="shared" si="57"/>
        <v>12.608666169390384</v>
      </c>
    </row>
    <row r="157" spans="1:17" ht="36">
      <c r="A157" s="10" t="s">
        <v>53</v>
      </c>
      <c r="B157" s="8"/>
      <c r="C157" s="28" t="s">
        <v>20</v>
      </c>
      <c r="D157" s="34">
        <f t="shared" si="55"/>
        <v>29494</v>
      </c>
      <c r="E157" s="41">
        <f t="shared" si="54"/>
        <v>5470.3</v>
      </c>
      <c r="F157" s="34">
        <v>5470.3</v>
      </c>
      <c r="G157" s="34">
        <v>8236.1</v>
      </c>
      <c r="H157" s="12">
        <v>9566.3</v>
      </c>
      <c r="I157" s="13">
        <v>6221.3</v>
      </c>
      <c r="J157" s="13">
        <v>3718.8</v>
      </c>
      <c r="K157" s="15" t="e">
        <f>J157/#REF!*100</f>
        <v>#REF!</v>
      </c>
      <c r="L157" s="15">
        <f>J157/H157*100</f>
        <v>38.873963810459635</v>
      </c>
      <c r="M157" s="119"/>
      <c r="N157" s="119"/>
      <c r="O157" s="12">
        <f t="shared" si="58"/>
        <v>59.775288123061095</v>
      </c>
      <c r="P157" s="15">
        <f t="shared" si="56"/>
        <v>67.98164634480742</v>
      </c>
      <c r="Q157" s="13">
        <f t="shared" si="57"/>
        <v>12.608666169390384</v>
      </c>
    </row>
    <row r="158" spans="1:17" ht="12.75">
      <c r="A158" s="10" t="s">
        <v>2</v>
      </c>
      <c r="B158" s="10"/>
      <c r="C158" s="29" t="s">
        <v>19</v>
      </c>
      <c r="D158" s="34">
        <f>F158+G158+H158+I158</f>
        <v>0</v>
      </c>
      <c r="E158" s="41">
        <f t="shared" si="54"/>
        <v>0</v>
      </c>
      <c r="F158" s="34"/>
      <c r="G158" s="34"/>
      <c r="H158" s="12"/>
      <c r="I158" s="13"/>
      <c r="J158" s="13"/>
      <c r="K158" s="15"/>
      <c r="L158" s="15"/>
      <c r="M158" s="119"/>
      <c r="N158" s="119"/>
      <c r="O158" s="12"/>
      <c r="P158" s="15"/>
      <c r="Q158" s="13"/>
    </row>
    <row r="159" spans="1:17" ht="12.75">
      <c r="A159" s="16"/>
      <c r="B159" s="124"/>
      <c r="C159" s="17" t="s">
        <v>4</v>
      </c>
      <c r="D159" s="18">
        <f aca="true" t="shared" si="60" ref="D159:J159">D156+D145</f>
        <v>48251</v>
      </c>
      <c r="E159" s="18">
        <f t="shared" si="60"/>
        <v>10335.2</v>
      </c>
      <c r="F159" s="18">
        <f t="shared" si="60"/>
        <v>10335.2</v>
      </c>
      <c r="G159" s="18">
        <f t="shared" si="60"/>
        <v>13543.1</v>
      </c>
      <c r="H159" s="18">
        <f t="shared" si="60"/>
        <v>13961.099999999999</v>
      </c>
      <c r="I159" s="18">
        <f t="shared" si="60"/>
        <v>10411.6</v>
      </c>
      <c r="J159" s="18">
        <f t="shared" si="60"/>
        <v>6297.4</v>
      </c>
      <c r="K159" s="21" t="e">
        <f>J159/#REF!*100</f>
        <v>#REF!</v>
      </c>
      <c r="L159" s="21">
        <f>J159/H159*100</f>
        <v>45.10676092858013</v>
      </c>
      <c r="M159" s="119"/>
      <c r="N159" s="125" t="e">
        <f>I159+#REF!+#REF!</f>
        <v>#REF!</v>
      </c>
      <c r="O159" s="31">
        <f t="shared" si="58"/>
        <v>60.484459641169465</v>
      </c>
      <c r="P159" s="21">
        <f t="shared" si="56"/>
        <v>60.93157365121139</v>
      </c>
      <c r="Q159" s="18">
        <f t="shared" si="57"/>
        <v>13.051335723611945</v>
      </c>
    </row>
    <row r="160" spans="1:17" ht="12.7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2"/>
      <c r="M160" s="119"/>
      <c r="N160" s="119"/>
      <c r="O160" s="126"/>
      <c r="P160" s="21"/>
      <c r="Q160" s="18"/>
    </row>
    <row r="161" spans="1:17" ht="12.75">
      <c r="A161" s="149" t="s">
        <v>33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21"/>
      <c r="Q161" s="18"/>
    </row>
    <row r="162" spans="1:17" ht="12.75">
      <c r="A162" s="19" t="s">
        <v>3</v>
      </c>
      <c r="B162" s="19"/>
      <c r="C162" s="20" t="s">
        <v>54</v>
      </c>
      <c r="D162" s="21">
        <f>D163+D166+D167+D168+D170+D171+D172+D169+D164+D165</f>
        <v>6264</v>
      </c>
      <c r="E162" s="21">
        <f aca="true" t="shared" si="61" ref="E162:O162">E163+E166+E167+E168+E170+E171+E172+E169+E164+E165</f>
        <v>1369.5</v>
      </c>
      <c r="F162" s="21">
        <f t="shared" si="61"/>
        <v>1369.5</v>
      </c>
      <c r="G162" s="21">
        <f t="shared" si="61"/>
        <v>1663.5</v>
      </c>
      <c r="H162" s="21">
        <f t="shared" si="61"/>
        <v>1527.5</v>
      </c>
      <c r="I162" s="21">
        <f t="shared" si="61"/>
        <v>1703.5</v>
      </c>
      <c r="J162" s="21">
        <f t="shared" si="61"/>
        <v>1748.8</v>
      </c>
      <c r="K162" s="21" t="e">
        <f t="shared" si="61"/>
        <v>#REF!</v>
      </c>
      <c r="L162" s="21" t="e">
        <f t="shared" si="61"/>
        <v>#DIV/0!</v>
      </c>
      <c r="M162" s="21">
        <f t="shared" si="61"/>
        <v>0</v>
      </c>
      <c r="N162" s="21">
        <f t="shared" si="61"/>
        <v>0</v>
      </c>
      <c r="O162" s="21" t="e">
        <f t="shared" si="61"/>
        <v>#DIV/0!</v>
      </c>
      <c r="P162" s="21">
        <f t="shared" si="56"/>
        <v>127.69623950346842</v>
      </c>
      <c r="Q162" s="18">
        <f t="shared" si="57"/>
        <v>27.918263090676884</v>
      </c>
    </row>
    <row r="163" spans="1:17" ht="12.75">
      <c r="A163" s="16" t="s">
        <v>23</v>
      </c>
      <c r="B163" s="16"/>
      <c r="C163" s="22" t="s">
        <v>22</v>
      </c>
      <c r="D163" s="34">
        <f>F163+G163+H163+I163</f>
        <v>2762</v>
      </c>
      <c r="E163" s="41">
        <f aca="true" t="shared" si="62" ref="E163:E175">F163</f>
        <v>512</v>
      </c>
      <c r="F163" s="41">
        <v>512</v>
      </c>
      <c r="G163" s="41">
        <v>800</v>
      </c>
      <c r="H163" s="12">
        <v>700</v>
      </c>
      <c r="I163" s="13">
        <v>750</v>
      </c>
      <c r="J163" s="13">
        <v>388.5</v>
      </c>
      <c r="K163" s="15" t="e">
        <f>J163/#REF!*100</f>
        <v>#REF!</v>
      </c>
      <c r="L163" s="15">
        <f aca="true" t="shared" si="63" ref="L163:L170">J163/H163*100</f>
        <v>55.50000000000001</v>
      </c>
      <c r="M163" s="119"/>
      <c r="N163" s="119"/>
      <c r="O163" s="12">
        <f t="shared" si="58"/>
        <v>51.8</v>
      </c>
      <c r="P163" s="15">
        <f>J163*100/E163</f>
        <v>75.87890625</v>
      </c>
      <c r="Q163" s="13">
        <f>J163*100/D163</f>
        <v>14.065894279507603</v>
      </c>
    </row>
    <row r="164" spans="1:17" ht="12.75">
      <c r="A164" s="8" t="s">
        <v>56</v>
      </c>
      <c r="B164" s="8"/>
      <c r="C164" s="22" t="s">
        <v>57</v>
      </c>
      <c r="D164" s="34">
        <f>F164+G164+H164+I164</f>
        <v>2899</v>
      </c>
      <c r="E164" s="41">
        <f t="shared" si="62"/>
        <v>724.5</v>
      </c>
      <c r="F164" s="41">
        <v>724.5</v>
      </c>
      <c r="G164" s="41">
        <v>724.5</v>
      </c>
      <c r="H164" s="12">
        <v>724.5</v>
      </c>
      <c r="I164" s="13">
        <v>725.5</v>
      </c>
      <c r="J164" s="13">
        <v>201</v>
      </c>
      <c r="K164" s="15"/>
      <c r="L164" s="15"/>
      <c r="M164" s="119"/>
      <c r="N164" s="119"/>
      <c r="O164" s="12"/>
      <c r="P164" s="15">
        <f>J164*100/E164</f>
        <v>27.74327122153209</v>
      </c>
      <c r="Q164" s="13">
        <f>J164*100/D164</f>
        <v>6.9334253190755435</v>
      </c>
    </row>
    <row r="165" spans="1:17" ht="12.75">
      <c r="A165" s="8" t="s">
        <v>8</v>
      </c>
      <c r="B165" s="8"/>
      <c r="C165" s="22" t="s">
        <v>5</v>
      </c>
      <c r="D165" s="34">
        <f>F165+G165+H165+I165</f>
        <v>0</v>
      </c>
      <c r="E165" s="41">
        <f t="shared" si="62"/>
        <v>0</v>
      </c>
      <c r="F165" s="41"/>
      <c r="G165" s="41"/>
      <c r="H165" s="12"/>
      <c r="I165" s="13"/>
      <c r="J165" s="13">
        <v>39</v>
      </c>
      <c r="K165" s="15"/>
      <c r="L165" s="15"/>
      <c r="M165" s="119"/>
      <c r="N165" s="119"/>
      <c r="O165" s="12"/>
      <c r="P165" s="15"/>
      <c r="Q165" s="13"/>
    </row>
    <row r="166" spans="1:17" ht="12.75">
      <c r="A166" s="8" t="s">
        <v>9</v>
      </c>
      <c r="B166" s="8"/>
      <c r="C166" s="22" t="s">
        <v>6</v>
      </c>
      <c r="D166" s="34">
        <f>F166+G166+H166+I166</f>
        <v>395</v>
      </c>
      <c r="E166" s="41">
        <f t="shared" si="62"/>
        <v>45</v>
      </c>
      <c r="F166" s="41">
        <v>45</v>
      </c>
      <c r="G166" s="41">
        <v>100</v>
      </c>
      <c r="H166" s="12">
        <v>70</v>
      </c>
      <c r="I166" s="13">
        <v>180</v>
      </c>
      <c r="J166" s="13">
        <v>1027.8</v>
      </c>
      <c r="K166" s="15" t="e">
        <f>J166/#REF!*100</f>
        <v>#REF!</v>
      </c>
      <c r="L166" s="15">
        <f t="shared" si="63"/>
        <v>1468.2857142857142</v>
      </c>
      <c r="M166" s="119"/>
      <c r="N166" s="119"/>
      <c r="O166" s="12">
        <f t="shared" si="58"/>
        <v>571</v>
      </c>
      <c r="P166" s="15">
        <f t="shared" si="56"/>
        <v>2284</v>
      </c>
      <c r="Q166" s="13">
        <f t="shared" si="57"/>
        <v>260.2025316455696</v>
      </c>
    </row>
    <row r="167" spans="1:17" ht="12.75">
      <c r="A167" s="8" t="s">
        <v>10</v>
      </c>
      <c r="B167" s="8"/>
      <c r="C167" s="22" t="s">
        <v>21</v>
      </c>
      <c r="D167" s="34">
        <f aca="true" t="shared" si="64" ref="D167:D174">F167+G167+H167+I167</f>
        <v>40</v>
      </c>
      <c r="E167" s="41">
        <f t="shared" si="62"/>
        <v>10</v>
      </c>
      <c r="F167" s="41">
        <v>10</v>
      </c>
      <c r="G167" s="41">
        <v>10</v>
      </c>
      <c r="H167" s="12">
        <v>10</v>
      </c>
      <c r="I167" s="13">
        <v>10</v>
      </c>
      <c r="J167" s="13">
        <v>2.5</v>
      </c>
      <c r="K167" s="15" t="e">
        <f>J167/#REF!*100</f>
        <v>#REF!</v>
      </c>
      <c r="L167" s="15">
        <f t="shared" si="63"/>
        <v>25</v>
      </c>
      <c r="M167" s="119"/>
      <c r="N167" s="119"/>
      <c r="O167" s="12">
        <f t="shared" si="58"/>
        <v>25</v>
      </c>
      <c r="P167" s="15">
        <f t="shared" si="56"/>
        <v>25</v>
      </c>
      <c r="Q167" s="13">
        <f t="shared" si="57"/>
        <v>6.25</v>
      </c>
    </row>
    <row r="168" spans="1:17" ht="36">
      <c r="A168" s="9" t="s">
        <v>11</v>
      </c>
      <c r="B168" s="9"/>
      <c r="C168" s="22" t="s">
        <v>17</v>
      </c>
      <c r="D168" s="34">
        <f t="shared" si="64"/>
        <v>52</v>
      </c>
      <c r="E168" s="41">
        <f t="shared" si="62"/>
        <v>12</v>
      </c>
      <c r="F168" s="41">
        <v>12</v>
      </c>
      <c r="G168" s="41">
        <v>12</v>
      </c>
      <c r="H168" s="12">
        <v>13</v>
      </c>
      <c r="I168" s="13">
        <v>15</v>
      </c>
      <c r="J168" s="13">
        <v>10.3</v>
      </c>
      <c r="K168" s="15" t="e">
        <f>J168/#REF!*100</f>
        <v>#REF!</v>
      </c>
      <c r="L168" s="15">
        <f t="shared" si="63"/>
        <v>79.23076923076924</v>
      </c>
      <c r="M168" s="119"/>
      <c r="N168" s="119"/>
      <c r="O168" s="12">
        <f t="shared" si="58"/>
        <v>68.66666666666667</v>
      </c>
      <c r="P168" s="15">
        <f t="shared" si="56"/>
        <v>85.83333333333333</v>
      </c>
      <c r="Q168" s="13">
        <f t="shared" si="57"/>
        <v>19.807692307692307</v>
      </c>
    </row>
    <row r="169" spans="1:17" ht="24">
      <c r="A169" s="24" t="s">
        <v>42</v>
      </c>
      <c r="B169" s="24"/>
      <c r="C169" s="22" t="s">
        <v>43</v>
      </c>
      <c r="D169" s="34">
        <f t="shared" si="64"/>
        <v>70</v>
      </c>
      <c r="E169" s="41">
        <f t="shared" si="62"/>
        <v>20</v>
      </c>
      <c r="F169" s="41">
        <v>20</v>
      </c>
      <c r="G169" s="41">
        <v>17</v>
      </c>
      <c r="H169" s="12">
        <v>10</v>
      </c>
      <c r="I169" s="13">
        <v>23</v>
      </c>
      <c r="J169" s="13">
        <v>32.8</v>
      </c>
      <c r="K169" s="15" t="e">
        <f>J169/#REF!*100</f>
        <v>#REF!</v>
      </c>
      <c r="L169" s="15">
        <f t="shared" si="63"/>
        <v>328</v>
      </c>
      <c r="M169" s="119"/>
      <c r="N169" s="119"/>
      <c r="O169" s="12">
        <f t="shared" si="58"/>
        <v>142.6086956521739</v>
      </c>
      <c r="P169" s="15">
        <f t="shared" si="56"/>
        <v>163.99999999999997</v>
      </c>
      <c r="Q169" s="13">
        <f t="shared" si="57"/>
        <v>46.857142857142854</v>
      </c>
    </row>
    <row r="170" spans="1:17" ht="24">
      <c r="A170" s="23" t="s">
        <v>18</v>
      </c>
      <c r="B170" s="23"/>
      <c r="C170" s="22" t="s">
        <v>15</v>
      </c>
      <c r="D170" s="34">
        <f t="shared" si="64"/>
        <v>46</v>
      </c>
      <c r="E170" s="41">
        <f t="shared" si="62"/>
        <v>46</v>
      </c>
      <c r="F170" s="41">
        <v>46</v>
      </c>
      <c r="G170" s="41"/>
      <c r="H170" s="12"/>
      <c r="I170" s="13"/>
      <c r="J170" s="13">
        <v>46.9</v>
      </c>
      <c r="K170" s="15" t="e">
        <f>J170/#REF!*100</f>
        <v>#REF!</v>
      </c>
      <c r="L170" s="15" t="e">
        <f t="shared" si="63"/>
        <v>#DIV/0!</v>
      </c>
      <c r="M170" s="119"/>
      <c r="N170" s="119"/>
      <c r="O170" s="12" t="e">
        <f t="shared" si="58"/>
        <v>#DIV/0!</v>
      </c>
      <c r="P170" s="15">
        <f t="shared" si="56"/>
        <v>101.95652173913044</v>
      </c>
      <c r="Q170" s="13">
        <f t="shared" si="57"/>
        <v>101.95652173913044</v>
      </c>
    </row>
    <row r="171" spans="1:17" ht="12.75">
      <c r="A171" s="16" t="s">
        <v>12</v>
      </c>
      <c r="B171" s="16"/>
      <c r="C171" s="22" t="s">
        <v>7</v>
      </c>
      <c r="D171" s="34">
        <f t="shared" si="64"/>
        <v>0</v>
      </c>
      <c r="E171" s="41">
        <f t="shared" si="62"/>
        <v>0</v>
      </c>
      <c r="F171" s="41"/>
      <c r="G171" s="41"/>
      <c r="H171" s="12"/>
      <c r="I171" s="13"/>
      <c r="J171" s="13"/>
      <c r="K171" s="15"/>
      <c r="L171" s="15"/>
      <c r="M171" s="119"/>
      <c r="N171" s="119"/>
      <c r="O171" s="12" t="e">
        <f t="shared" si="58"/>
        <v>#DIV/0!</v>
      </c>
      <c r="P171" s="21" t="e">
        <f t="shared" si="56"/>
        <v>#DIV/0!</v>
      </c>
      <c r="Q171" s="18" t="e">
        <f t="shared" si="57"/>
        <v>#DIV/0!</v>
      </c>
    </row>
    <row r="172" spans="1:17" ht="12.75">
      <c r="A172" s="36" t="s">
        <v>39</v>
      </c>
      <c r="B172" s="120"/>
      <c r="C172" s="11" t="s">
        <v>40</v>
      </c>
      <c r="D172" s="34">
        <f t="shared" si="64"/>
        <v>0</v>
      </c>
      <c r="E172" s="41">
        <f t="shared" si="62"/>
        <v>0</v>
      </c>
      <c r="F172" s="41"/>
      <c r="G172" s="41"/>
      <c r="H172" s="12"/>
      <c r="I172" s="13"/>
      <c r="J172" s="13"/>
      <c r="K172" s="15"/>
      <c r="L172" s="15"/>
      <c r="M172" s="119"/>
      <c r="N172" s="119"/>
      <c r="O172" s="12" t="e">
        <f t="shared" si="58"/>
        <v>#DIV/0!</v>
      </c>
      <c r="P172" s="21"/>
      <c r="Q172" s="18"/>
    </row>
    <row r="173" spans="1:17" ht="12.75">
      <c r="A173" s="19" t="s">
        <v>1</v>
      </c>
      <c r="B173" s="19"/>
      <c r="C173" s="26" t="s">
        <v>0</v>
      </c>
      <c r="D173" s="27">
        <f aca="true" t="shared" si="65" ref="D173:J173">D174+D175</f>
        <v>24169.2</v>
      </c>
      <c r="E173" s="134">
        <f t="shared" si="65"/>
        <v>4930.6</v>
      </c>
      <c r="F173" s="134">
        <f t="shared" si="65"/>
        <v>4930.6</v>
      </c>
      <c r="G173" s="134">
        <f t="shared" si="65"/>
        <v>7261.2</v>
      </c>
      <c r="H173" s="27">
        <f t="shared" si="65"/>
        <v>5980.2</v>
      </c>
      <c r="I173" s="27">
        <f t="shared" si="65"/>
        <v>5997.2</v>
      </c>
      <c r="J173" s="27">
        <f t="shared" si="65"/>
        <v>3284</v>
      </c>
      <c r="K173" s="21" t="e">
        <f>J173/#REF!*100</f>
        <v>#REF!</v>
      </c>
      <c r="L173" s="21">
        <f>J173/H173*100</f>
        <v>54.91455135279757</v>
      </c>
      <c r="M173" s="119"/>
      <c r="N173" s="119"/>
      <c r="O173" s="31">
        <f t="shared" si="58"/>
        <v>54.758887480824384</v>
      </c>
      <c r="P173" s="21">
        <f t="shared" si="56"/>
        <v>66.60447004421368</v>
      </c>
      <c r="Q173" s="18">
        <f t="shared" si="57"/>
        <v>13.587541168098241</v>
      </c>
    </row>
    <row r="174" spans="1:17" ht="36">
      <c r="A174" s="10" t="s">
        <v>53</v>
      </c>
      <c r="B174" s="8"/>
      <c r="C174" s="28" t="s">
        <v>20</v>
      </c>
      <c r="D174" s="34">
        <f t="shared" si="64"/>
        <v>24169.2</v>
      </c>
      <c r="E174" s="41">
        <f t="shared" si="62"/>
        <v>4930.6</v>
      </c>
      <c r="F174" s="41">
        <v>4930.6</v>
      </c>
      <c r="G174" s="41">
        <v>7261.2</v>
      </c>
      <c r="H174" s="12">
        <v>5980.2</v>
      </c>
      <c r="I174" s="13">
        <v>5997.2</v>
      </c>
      <c r="J174" s="13">
        <v>3284</v>
      </c>
      <c r="K174" s="15" t="e">
        <f>J174/#REF!*100</f>
        <v>#REF!</v>
      </c>
      <c r="L174" s="15">
        <f>J174/H174*100</f>
        <v>54.91455135279757</v>
      </c>
      <c r="M174" s="119"/>
      <c r="N174" s="119"/>
      <c r="O174" s="12">
        <f t="shared" si="58"/>
        <v>54.758887480824384</v>
      </c>
      <c r="P174" s="15">
        <f t="shared" si="56"/>
        <v>66.60447004421368</v>
      </c>
      <c r="Q174" s="13">
        <f t="shared" si="57"/>
        <v>13.587541168098241</v>
      </c>
    </row>
    <row r="175" spans="1:17" ht="12.75">
      <c r="A175" s="10" t="s">
        <v>2</v>
      </c>
      <c r="B175" s="10"/>
      <c r="C175" s="29" t="s">
        <v>19</v>
      </c>
      <c r="D175" s="34">
        <f>F175+G175+H175+I175</f>
        <v>0</v>
      </c>
      <c r="E175" s="41">
        <f t="shared" si="62"/>
        <v>0</v>
      </c>
      <c r="F175" s="42"/>
      <c r="G175" s="42"/>
      <c r="H175" s="12"/>
      <c r="I175" s="13"/>
      <c r="J175" s="13"/>
      <c r="K175" s="15" t="e">
        <f>J175/#REF!*100</f>
        <v>#REF!</v>
      </c>
      <c r="L175" s="15"/>
      <c r="M175" s="119"/>
      <c r="N175" s="119"/>
      <c r="O175" s="12" t="e">
        <f t="shared" si="58"/>
        <v>#DIV/0!</v>
      </c>
      <c r="P175" s="15"/>
      <c r="Q175" s="13"/>
    </row>
    <row r="176" spans="1:17" ht="12.75">
      <c r="A176" s="16"/>
      <c r="B176" s="124"/>
      <c r="C176" s="17" t="s">
        <v>4</v>
      </c>
      <c r="D176" s="18">
        <f aca="true" t="shared" si="66" ref="D176:J176">D173+D162</f>
        <v>30433.2</v>
      </c>
      <c r="E176" s="18">
        <f t="shared" si="66"/>
        <v>6300.1</v>
      </c>
      <c r="F176" s="18">
        <f t="shared" si="66"/>
        <v>6300.1</v>
      </c>
      <c r="G176" s="18">
        <f t="shared" si="66"/>
        <v>8924.7</v>
      </c>
      <c r="H176" s="18">
        <f t="shared" si="66"/>
        <v>7507.7</v>
      </c>
      <c r="I176" s="18">
        <f t="shared" si="66"/>
        <v>7700.7</v>
      </c>
      <c r="J176" s="18">
        <f t="shared" si="66"/>
        <v>5032.8</v>
      </c>
      <c r="K176" s="21" t="e">
        <f>J176/#REF!*100</f>
        <v>#REF!</v>
      </c>
      <c r="L176" s="21">
        <f>J176/H176*100</f>
        <v>67.03517721805613</v>
      </c>
      <c r="M176" s="119"/>
      <c r="N176" s="125" t="e">
        <f>I176+#REF!+#REF!</f>
        <v>#REF!</v>
      </c>
      <c r="O176" s="31">
        <f t="shared" si="58"/>
        <v>65.35509758853091</v>
      </c>
      <c r="P176" s="21">
        <f t="shared" si="56"/>
        <v>79.88444627863049</v>
      </c>
      <c r="Q176" s="18">
        <f t="shared" si="57"/>
        <v>16.537202791688024</v>
      </c>
    </row>
    <row r="177" spans="1:17" ht="12.7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2"/>
      <c r="M177" s="119"/>
      <c r="N177" s="119"/>
      <c r="O177" s="126"/>
      <c r="P177" s="21"/>
      <c r="Q177" s="18"/>
    </row>
    <row r="178" spans="1:17" ht="12.75">
      <c r="A178" s="149" t="s">
        <v>34</v>
      </c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21"/>
      <c r="Q178" s="18"/>
    </row>
    <row r="179" spans="1:17" ht="12.75">
      <c r="A179" s="19" t="s">
        <v>3</v>
      </c>
      <c r="B179" s="19"/>
      <c r="C179" s="20" t="s">
        <v>54</v>
      </c>
      <c r="D179" s="21">
        <f aca="true" t="shared" si="67" ref="D179:J179">D180+D182+D183+D184+D185+D187+D189+D188+D186+D181</f>
        <v>21981</v>
      </c>
      <c r="E179" s="21">
        <f t="shared" si="67"/>
        <v>4837</v>
      </c>
      <c r="F179" s="21">
        <f t="shared" si="67"/>
        <v>4837</v>
      </c>
      <c r="G179" s="21">
        <f t="shared" si="67"/>
        <v>5312</v>
      </c>
      <c r="H179" s="21">
        <f t="shared" si="67"/>
        <v>5413.5</v>
      </c>
      <c r="I179" s="21">
        <f t="shared" si="67"/>
        <v>6418.5</v>
      </c>
      <c r="J179" s="21">
        <f t="shared" si="67"/>
        <v>2900.5</v>
      </c>
      <c r="K179" s="21" t="e">
        <f>J179/#REF!*100</f>
        <v>#REF!</v>
      </c>
      <c r="L179" s="21">
        <f>J179/H179*100</f>
        <v>53.57901542440195</v>
      </c>
      <c r="M179" s="119"/>
      <c r="N179" s="119"/>
      <c r="O179" s="21">
        <f t="shared" si="58"/>
        <v>45.18968606372206</v>
      </c>
      <c r="P179" s="21">
        <f t="shared" si="56"/>
        <v>59.96485424850114</v>
      </c>
      <c r="Q179" s="18">
        <f t="shared" si="57"/>
        <v>13.19548701150994</v>
      </c>
    </row>
    <row r="180" spans="1:17" ht="12.75">
      <c r="A180" s="16" t="s">
        <v>23</v>
      </c>
      <c r="B180" s="16"/>
      <c r="C180" s="22" t="s">
        <v>22</v>
      </c>
      <c r="D180" s="34">
        <f>F180+G180+H180+I180</f>
        <v>16150</v>
      </c>
      <c r="E180" s="41">
        <f aca="true" t="shared" si="68" ref="E180:E187">F180</f>
        <v>3612</v>
      </c>
      <c r="F180" s="34">
        <v>3612</v>
      </c>
      <c r="G180" s="34">
        <v>4112</v>
      </c>
      <c r="H180" s="12">
        <v>4212</v>
      </c>
      <c r="I180" s="13">
        <v>4214</v>
      </c>
      <c r="J180" s="13">
        <v>2549</v>
      </c>
      <c r="K180" s="15" t="e">
        <f>J180/#REF!*100</f>
        <v>#REF!</v>
      </c>
      <c r="L180" s="15">
        <f>J180/H180*100</f>
        <v>60.51756885090218</v>
      </c>
      <c r="M180" s="119"/>
      <c r="N180" s="119"/>
      <c r="O180" s="12">
        <f t="shared" si="58"/>
        <v>60.48884670147129</v>
      </c>
      <c r="P180" s="15">
        <f t="shared" si="56"/>
        <v>70.5703211517165</v>
      </c>
      <c r="Q180" s="13">
        <f t="shared" si="57"/>
        <v>15.78328173374613</v>
      </c>
    </row>
    <row r="181" spans="1:17" ht="12.75">
      <c r="A181" s="8" t="s">
        <v>56</v>
      </c>
      <c r="B181" s="8"/>
      <c r="C181" s="22" t="s">
        <v>57</v>
      </c>
      <c r="D181" s="34">
        <f>F181+G181+H181+I181</f>
        <v>3484</v>
      </c>
      <c r="E181" s="41">
        <f t="shared" si="68"/>
        <v>846</v>
      </c>
      <c r="F181" s="34">
        <v>846</v>
      </c>
      <c r="G181" s="34">
        <v>846</v>
      </c>
      <c r="H181" s="12">
        <v>846</v>
      </c>
      <c r="I181" s="13">
        <v>946</v>
      </c>
      <c r="J181" s="13">
        <v>241.5</v>
      </c>
      <c r="K181" s="15"/>
      <c r="L181" s="15"/>
      <c r="M181" s="119"/>
      <c r="N181" s="119"/>
      <c r="O181" s="12"/>
      <c r="P181" s="15">
        <f>J181*100/E181</f>
        <v>28.54609929078014</v>
      </c>
      <c r="Q181" s="13">
        <f>J181*100/D181</f>
        <v>6.931687715269804</v>
      </c>
    </row>
    <row r="182" spans="1:17" ht="12.75">
      <c r="A182" s="8" t="s">
        <v>8</v>
      </c>
      <c r="B182" s="8"/>
      <c r="C182" s="22" t="s">
        <v>5</v>
      </c>
      <c r="D182" s="34">
        <f aca="true" t="shared" si="69" ref="D182:D191">F182+G182+H182+I182</f>
        <v>0</v>
      </c>
      <c r="E182" s="41">
        <f t="shared" si="68"/>
        <v>0</v>
      </c>
      <c r="F182" s="34"/>
      <c r="G182" s="34"/>
      <c r="H182" s="12"/>
      <c r="I182" s="13"/>
      <c r="J182" s="13"/>
      <c r="K182" s="15"/>
      <c r="L182" s="15"/>
      <c r="M182" s="119"/>
      <c r="N182" s="119"/>
      <c r="O182" s="12" t="e">
        <f t="shared" si="58"/>
        <v>#DIV/0!</v>
      </c>
      <c r="P182" s="15" t="e">
        <f>J182*100/E182</f>
        <v>#DIV/0!</v>
      </c>
      <c r="Q182" s="13" t="e">
        <f>J182*100/D182</f>
        <v>#DIV/0!</v>
      </c>
    </row>
    <row r="183" spans="1:17" ht="12.75">
      <c r="A183" s="8" t="s">
        <v>9</v>
      </c>
      <c r="B183" s="8"/>
      <c r="C183" s="22" t="s">
        <v>6</v>
      </c>
      <c r="D183" s="34">
        <f t="shared" si="69"/>
        <v>1780</v>
      </c>
      <c r="E183" s="41">
        <f t="shared" si="68"/>
        <v>240</v>
      </c>
      <c r="F183" s="34">
        <v>240</v>
      </c>
      <c r="G183" s="34">
        <v>240</v>
      </c>
      <c r="H183" s="12">
        <v>240</v>
      </c>
      <c r="I183" s="13">
        <v>1060</v>
      </c>
      <c r="J183" s="13">
        <v>39.8</v>
      </c>
      <c r="K183" s="15" t="e">
        <f>J183/#REF!*100</f>
        <v>#REF!</v>
      </c>
      <c r="L183" s="15">
        <f>J183/H183*100</f>
        <v>16.583333333333332</v>
      </c>
      <c r="M183" s="119"/>
      <c r="N183" s="119"/>
      <c r="O183" s="12">
        <f t="shared" si="58"/>
        <v>3.754716981132075</v>
      </c>
      <c r="P183" s="15">
        <f t="shared" si="56"/>
        <v>16.583333333333332</v>
      </c>
      <c r="Q183" s="13">
        <f t="shared" si="57"/>
        <v>2.235955056179775</v>
      </c>
    </row>
    <row r="184" spans="1:17" ht="12.75">
      <c r="A184" s="8" t="s">
        <v>10</v>
      </c>
      <c r="B184" s="8"/>
      <c r="C184" s="22" t="s">
        <v>21</v>
      </c>
      <c r="D184" s="34">
        <f t="shared" si="69"/>
        <v>116</v>
      </c>
      <c r="E184" s="41">
        <f t="shared" si="68"/>
        <v>27</v>
      </c>
      <c r="F184" s="34">
        <v>27</v>
      </c>
      <c r="G184" s="34">
        <v>27</v>
      </c>
      <c r="H184" s="12">
        <v>27</v>
      </c>
      <c r="I184" s="13">
        <v>35</v>
      </c>
      <c r="J184" s="13">
        <v>29.9</v>
      </c>
      <c r="K184" s="15" t="e">
        <f>J184/#REF!*100</f>
        <v>#REF!</v>
      </c>
      <c r="L184" s="15">
        <f>J184/H184*100</f>
        <v>110.74074074074073</v>
      </c>
      <c r="M184" s="119"/>
      <c r="N184" s="119"/>
      <c r="O184" s="12">
        <f t="shared" si="58"/>
        <v>85.42857142857143</v>
      </c>
      <c r="P184" s="15">
        <f t="shared" si="56"/>
        <v>110.74074074074075</v>
      </c>
      <c r="Q184" s="13">
        <f t="shared" si="57"/>
        <v>25.775862068965516</v>
      </c>
    </row>
    <row r="185" spans="1:17" ht="36">
      <c r="A185" s="9" t="s">
        <v>11</v>
      </c>
      <c r="B185" s="9"/>
      <c r="C185" s="22" t="s">
        <v>17</v>
      </c>
      <c r="D185" s="34">
        <f t="shared" si="69"/>
        <v>341</v>
      </c>
      <c r="E185" s="41">
        <f t="shared" si="68"/>
        <v>82</v>
      </c>
      <c r="F185" s="34">
        <v>82</v>
      </c>
      <c r="G185" s="34">
        <v>67</v>
      </c>
      <c r="H185" s="12">
        <v>78.5</v>
      </c>
      <c r="I185" s="13">
        <v>113.5</v>
      </c>
      <c r="J185" s="13">
        <v>31.1</v>
      </c>
      <c r="K185" s="15" t="e">
        <f>J185/#REF!*100</f>
        <v>#REF!</v>
      </c>
      <c r="L185" s="15">
        <f>J185/H185*100</f>
        <v>39.61783439490446</v>
      </c>
      <c r="M185" s="119"/>
      <c r="N185" s="119"/>
      <c r="O185" s="12">
        <f t="shared" si="58"/>
        <v>27.400881057268723</v>
      </c>
      <c r="P185" s="15">
        <f t="shared" si="56"/>
        <v>37.926829268292686</v>
      </c>
      <c r="Q185" s="13">
        <f t="shared" si="57"/>
        <v>9.120234604105573</v>
      </c>
    </row>
    <row r="186" spans="1:17" ht="24">
      <c r="A186" s="23" t="s">
        <v>42</v>
      </c>
      <c r="B186" s="24"/>
      <c r="C186" s="22" t="s">
        <v>43</v>
      </c>
      <c r="D186" s="34">
        <f t="shared" si="69"/>
        <v>110</v>
      </c>
      <c r="E186" s="41">
        <f t="shared" si="68"/>
        <v>30</v>
      </c>
      <c r="F186" s="34">
        <v>30</v>
      </c>
      <c r="G186" s="34">
        <v>20</v>
      </c>
      <c r="H186" s="12">
        <v>10</v>
      </c>
      <c r="I186" s="13">
        <v>50</v>
      </c>
      <c r="J186" s="13">
        <v>9.2</v>
      </c>
      <c r="K186" s="15" t="e">
        <f>J186/#REF!*100</f>
        <v>#REF!</v>
      </c>
      <c r="L186" s="15">
        <f>J186/H186*100</f>
        <v>92</v>
      </c>
      <c r="M186" s="119"/>
      <c r="N186" s="119"/>
      <c r="O186" s="12">
        <f t="shared" si="58"/>
        <v>18.4</v>
      </c>
      <c r="P186" s="15">
        <f t="shared" si="56"/>
        <v>30.666666666666664</v>
      </c>
      <c r="Q186" s="13">
        <f t="shared" si="57"/>
        <v>8.363636363636363</v>
      </c>
    </row>
    <row r="187" spans="1:17" ht="24">
      <c r="A187" s="23" t="s">
        <v>18</v>
      </c>
      <c r="B187" s="24"/>
      <c r="C187" s="22" t="s">
        <v>15</v>
      </c>
      <c r="D187" s="34">
        <f t="shared" si="69"/>
        <v>0</v>
      </c>
      <c r="E187" s="41">
        <f t="shared" si="68"/>
        <v>0</v>
      </c>
      <c r="F187" s="34"/>
      <c r="G187" s="34"/>
      <c r="H187" s="12"/>
      <c r="I187" s="13"/>
      <c r="J187" s="13"/>
      <c r="K187" s="15" t="e">
        <f>J187/#REF!*100</f>
        <v>#REF!</v>
      </c>
      <c r="L187" s="15" t="e">
        <f>J187/H187*100</f>
        <v>#DIV/0!</v>
      </c>
      <c r="M187" s="119"/>
      <c r="N187" s="119"/>
      <c r="O187" s="12" t="e">
        <f t="shared" si="58"/>
        <v>#DIV/0!</v>
      </c>
      <c r="P187" s="15"/>
      <c r="Q187" s="13"/>
    </row>
    <row r="188" spans="1:17" ht="12.75">
      <c r="A188" s="16" t="s">
        <v>12</v>
      </c>
      <c r="B188" s="16"/>
      <c r="C188" s="22" t="s">
        <v>7</v>
      </c>
      <c r="D188" s="34">
        <f t="shared" si="69"/>
        <v>0</v>
      </c>
      <c r="E188" s="41">
        <f>F188+G188</f>
        <v>0</v>
      </c>
      <c r="F188" s="34"/>
      <c r="G188" s="34"/>
      <c r="H188" s="12"/>
      <c r="I188" s="13"/>
      <c r="J188" s="13"/>
      <c r="K188" s="15" t="e">
        <f>J188/#REF!*100</f>
        <v>#REF!</v>
      </c>
      <c r="L188" s="15"/>
      <c r="M188" s="119"/>
      <c r="N188" s="119"/>
      <c r="O188" s="12" t="e">
        <f t="shared" si="58"/>
        <v>#DIV/0!</v>
      </c>
      <c r="P188" s="15"/>
      <c r="Q188" s="13"/>
    </row>
    <row r="189" spans="1:17" ht="12.75">
      <c r="A189" s="36" t="s">
        <v>39</v>
      </c>
      <c r="B189" s="120"/>
      <c r="C189" s="11" t="s">
        <v>40</v>
      </c>
      <c r="D189" s="34">
        <f t="shared" si="69"/>
        <v>0</v>
      </c>
      <c r="E189" s="41">
        <f>F189+G189</f>
        <v>0</v>
      </c>
      <c r="F189" s="136"/>
      <c r="G189" s="136"/>
      <c r="H189" s="12"/>
      <c r="I189" s="13"/>
      <c r="J189" s="13">
        <v>0</v>
      </c>
      <c r="K189" s="15" t="e">
        <f>J189/#REF!*100</f>
        <v>#REF!</v>
      </c>
      <c r="L189" s="15"/>
      <c r="M189" s="119"/>
      <c r="N189" s="119"/>
      <c r="O189" s="12" t="e">
        <f t="shared" si="58"/>
        <v>#DIV/0!</v>
      </c>
      <c r="P189" s="21"/>
      <c r="Q189" s="18"/>
    </row>
    <row r="190" spans="1:17" ht="12.75">
      <c r="A190" s="30" t="s">
        <v>1</v>
      </c>
      <c r="B190" s="19"/>
      <c r="C190" s="26" t="s">
        <v>0</v>
      </c>
      <c r="D190" s="31">
        <f aca="true" t="shared" si="70" ref="D190:J190">D191</f>
        <v>28828.3</v>
      </c>
      <c r="E190" s="31">
        <f t="shared" si="70"/>
        <v>6861.8</v>
      </c>
      <c r="F190" s="31">
        <f t="shared" si="70"/>
        <v>6861.8</v>
      </c>
      <c r="G190" s="31">
        <f t="shared" si="70"/>
        <v>6474.1</v>
      </c>
      <c r="H190" s="31">
        <f t="shared" si="70"/>
        <v>9377.6</v>
      </c>
      <c r="I190" s="31">
        <f t="shared" si="70"/>
        <v>6114.8</v>
      </c>
      <c r="J190" s="31">
        <f t="shared" si="70"/>
        <v>3588.9</v>
      </c>
      <c r="K190" s="21" t="e">
        <f>J190/#REF!*100</f>
        <v>#REF!</v>
      </c>
      <c r="L190" s="21">
        <f>J190/H190*100</f>
        <v>38.270986179832796</v>
      </c>
      <c r="M190" s="119"/>
      <c r="N190" s="119"/>
      <c r="O190" s="31">
        <f t="shared" si="58"/>
        <v>58.692025904363184</v>
      </c>
      <c r="P190" s="21">
        <f t="shared" si="56"/>
        <v>52.30260281558775</v>
      </c>
      <c r="Q190" s="18">
        <f t="shared" si="57"/>
        <v>12.449225240475505</v>
      </c>
    </row>
    <row r="191" spans="1:17" ht="36">
      <c r="A191" s="44" t="s">
        <v>53</v>
      </c>
      <c r="B191" s="8"/>
      <c r="C191" s="28" t="s">
        <v>20</v>
      </c>
      <c r="D191" s="34">
        <f t="shared" si="69"/>
        <v>28828.3</v>
      </c>
      <c r="E191" s="41">
        <f>F191</f>
        <v>6861.8</v>
      </c>
      <c r="F191" s="34">
        <v>6861.8</v>
      </c>
      <c r="G191" s="34">
        <v>6474.1</v>
      </c>
      <c r="H191" s="12">
        <v>9377.6</v>
      </c>
      <c r="I191" s="13">
        <v>6114.8</v>
      </c>
      <c r="J191" s="13">
        <v>3588.9</v>
      </c>
      <c r="K191" s="15" t="e">
        <f>J191/#REF!*100</f>
        <v>#REF!</v>
      </c>
      <c r="L191" s="15">
        <f>J191/H191*100</f>
        <v>38.270986179832796</v>
      </c>
      <c r="M191" s="119"/>
      <c r="N191" s="119"/>
      <c r="O191" s="12">
        <f t="shared" si="58"/>
        <v>58.692025904363184</v>
      </c>
      <c r="P191" s="15">
        <f t="shared" si="56"/>
        <v>52.30260281558775</v>
      </c>
      <c r="Q191" s="13">
        <f t="shared" si="57"/>
        <v>12.449225240475505</v>
      </c>
    </row>
    <row r="192" spans="1:17" ht="12.75">
      <c r="A192" s="16"/>
      <c r="B192" s="124"/>
      <c r="C192" s="17" t="s">
        <v>4</v>
      </c>
      <c r="D192" s="18">
        <f aca="true" t="shared" si="71" ref="D192:J192">D190+D179</f>
        <v>50809.3</v>
      </c>
      <c r="E192" s="18">
        <f t="shared" si="71"/>
        <v>11698.8</v>
      </c>
      <c r="F192" s="18">
        <f t="shared" si="71"/>
        <v>11698.8</v>
      </c>
      <c r="G192" s="18">
        <f t="shared" si="71"/>
        <v>11786.1</v>
      </c>
      <c r="H192" s="18">
        <f t="shared" si="71"/>
        <v>14791.1</v>
      </c>
      <c r="I192" s="18">
        <f t="shared" si="71"/>
        <v>12533.3</v>
      </c>
      <c r="J192" s="18">
        <f t="shared" si="71"/>
        <v>6489.4</v>
      </c>
      <c r="K192" s="21" t="e">
        <f>J192/#REF!*100</f>
        <v>#REF!</v>
      </c>
      <c r="L192" s="21">
        <f>J192/H192*100</f>
        <v>43.87368079453184</v>
      </c>
      <c r="M192" s="119"/>
      <c r="N192" s="125" t="e">
        <f>I192+#REF!+#REF!</f>
        <v>#REF!</v>
      </c>
      <c r="O192" s="31">
        <f t="shared" si="58"/>
        <v>51.777265365067464</v>
      </c>
      <c r="P192" s="21">
        <f t="shared" si="56"/>
        <v>55.47064656204056</v>
      </c>
      <c r="Q192" s="18">
        <f t="shared" si="57"/>
        <v>12.77207125467188</v>
      </c>
    </row>
    <row r="193" spans="1:17" ht="12.7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2"/>
      <c r="M193" s="119"/>
      <c r="N193" s="119"/>
      <c r="O193" s="126"/>
      <c r="P193" s="21"/>
      <c r="Q193" s="18"/>
    </row>
    <row r="194" spans="1:17" ht="12.75">
      <c r="A194" s="149" t="s">
        <v>35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21"/>
      <c r="Q194" s="18"/>
    </row>
    <row r="195" spans="1:17" ht="12.75">
      <c r="A195" s="19" t="s">
        <v>3</v>
      </c>
      <c r="B195" s="19"/>
      <c r="C195" s="20" t="s">
        <v>54</v>
      </c>
      <c r="D195" s="21">
        <f>D196+D199+D201+D202+D200+D203+D204+D198+D197</f>
        <v>5234.5</v>
      </c>
      <c r="E195" s="21">
        <f>E196+E199+E201+E202+E200+E203+E204+E198+E197</f>
        <v>702.4000000000001</v>
      </c>
      <c r="F195" s="21">
        <f aca="true" t="shared" si="72" ref="F195:O195">F196+F199+F201+F202+F200+F203+F204+F198+F197</f>
        <v>702.4000000000001</v>
      </c>
      <c r="G195" s="21">
        <f t="shared" si="72"/>
        <v>1339.6</v>
      </c>
      <c r="H195" s="21">
        <f t="shared" si="72"/>
        <v>1269.1</v>
      </c>
      <c r="I195" s="21">
        <f t="shared" si="72"/>
        <v>1923.4</v>
      </c>
      <c r="J195" s="21">
        <f t="shared" si="72"/>
        <v>439.6</v>
      </c>
      <c r="K195" s="21" t="e">
        <f t="shared" si="72"/>
        <v>#REF!</v>
      </c>
      <c r="L195" s="21" t="e">
        <f t="shared" si="72"/>
        <v>#DIV/0!</v>
      </c>
      <c r="M195" s="21">
        <f t="shared" si="72"/>
        <v>0</v>
      </c>
      <c r="N195" s="21">
        <f t="shared" si="72"/>
        <v>0</v>
      </c>
      <c r="O195" s="21" t="e">
        <f t="shared" si="72"/>
        <v>#DIV/0!</v>
      </c>
      <c r="P195" s="21">
        <f t="shared" si="56"/>
        <v>62.585421412300676</v>
      </c>
      <c r="Q195" s="18">
        <f t="shared" si="57"/>
        <v>8.398127805903142</v>
      </c>
    </row>
    <row r="196" spans="1:17" ht="12.75">
      <c r="A196" s="16" t="s">
        <v>23</v>
      </c>
      <c r="B196" s="16"/>
      <c r="C196" s="22" t="s">
        <v>22</v>
      </c>
      <c r="D196" s="34">
        <f>F196+G196+H196+I196</f>
        <v>1155</v>
      </c>
      <c r="E196" s="41">
        <f aca="true" t="shared" si="73" ref="E196:E203">F196</f>
        <v>190</v>
      </c>
      <c r="F196" s="34">
        <v>190</v>
      </c>
      <c r="G196" s="34">
        <v>330</v>
      </c>
      <c r="H196" s="12">
        <v>270</v>
      </c>
      <c r="I196" s="12">
        <v>365</v>
      </c>
      <c r="J196" s="13">
        <v>114.4</v>
      </c>
      <c r="K196" s="15" t="e">
        <f>J196/#REF!*100</f>
        <v>#REF!</v>
      </c>
      <c r="L196" s="15">
        <f aca="true" t="shared" si="74" ref="L196:L202">J196/H196*100</f>
        <v>42.370370370370374</v>
      </c>
      <c r="M196" s="119"/>
      <c r="N196" s="119"/>
      <c r="O196" s="12">
        <f t="shared" si="58"/>
        <v>31.34246575342466</v>
      </c>
      <c r="P196" s="15">
        <f t="shared" si="56"/>
        <v>60.21052631578947</v>
      </c>
      <c r="Q196" s="13">
        <f t="shared" si="57"/>
        <v>9.904761904761905</v>
      </c>
    </row>
    <row r="197" spans="1:17" ht="12.75">
      <c r="A197" s="8" t="s">
        <v>56</v>
      </c>
      <c r="B197" s="8"/>
      <c r="C197" s="22" t="s">
        <v>57</v>
      </c>
      <c r="D197" s="34">
        <f>F197+G197+H197+I197</f>
        <v>3813</v>
      </c>
      <c r="E197" s="41">
        <f t="shared" si="73"/>
        <v>478.3</v>
      </c>
      <c r="F197" s="34">
        <v>478.3</v>
      </c>
      <c r="G197" s="34">
        <v>953.2</v>
      </c>
      <c r="H197" s="12">
        <v>953.3</v>
      </c>
      <c r="I197" s="12">
        <v>1428.2</v>
      </c>
      <c r="J197" s="13">
        <v>264.3</v>
      </c>
      <c r="K197" s="15"/>
      <c r="L197" s="15"/>
      <c r="M197" s="119"/>
      <c r="N197" s="119"/>
      <c r="O197" s="12"/>
      <c r="P197" s="15">
        <f>J197*100/E197</f>
        <v>55.25820614676981</v>
      </c>
      <c r="Q197" s="13">
        <f>J197*100/D197</f>
        <v>6.931549960660897</v>
      </c>
    </row>
    <row r="198" spans="1:17" ht="12.75">
      <c r="A198" s="8" t="s">
        <v>8</v>
      </c>
      <c r="B198" s="137" t="s">
        <v>220</v>
      </c>
      <c r="C198" s="22" t="s">
        <v>5</v>
      </c>
      <c r="D198" s="34">
        <f aca="true" t="shared" si="75" ref="D198:D206">F198+G198+H198+I198</f>
        <v>15.8</v>
      </c>
      <c r="E198" s="41">
        <f t="shared" si="73"/>
        <v>11.3</v>
      </c>
      <c r="F198" s="34">
        <v>11.3</v>
      </c>
      <c r="G198" s="34">
        <v>4.5</v>
      </c>
      <c r="H198" s="12"/>
      <c r="I198" s="12"/>
      <c r="J198" s="13">
        <v>15.8</v>
      </c>
      <c r="K198" s="15" t="e">
        <f>J198/#REF!*100</f>
        <v>#REF!</v>
      </c>
      <c r="L198" s="15"/>
      <c r="M198" s="119"/>
      <c r="N198" s="119"/>
      <c r="O198" s="12" t="e">
        <f t="shared" si="58"/>
        <v>#DIV/0!</v>
      </c>
      <c r="P198" s="15">
        <f>J198*100/E198</f>
        <v>139.8230088495575</v>
      </c>
      <c r="Q198" s="13">
        <f t="shared" si="57"/>
        <v>100</v>
      </c>
    </row>
    <row r="199" spans="1:17" ht="12.75">
      <c r="A199" s="8" t="s">
        <v>9</v>
      </c>
      <c r="B199" s="8"/>
      <c r="C199" s="22" t="s">
        <v>6</v>
      </c>
      <c r="D199" s="34">
        <f t="shared" si="75"/>
        <v>162</v>
      </c>
      <c r="E199" s="41">
        <f t="shared" si="73"/>
        <v>5</v>
      </c>
      <c r="F199" s="34">
        <v>5</v>
      </c>
      <c r="G199" s="34">
        <v>30</v>
      </c>
      <c r="H199" s="12">
        <v>28</v>
      </c>
      <c r="I199" s="12">
        <v>99</v>
      </c>
      <c r="J199" s="13">
        <v>26.4</v>
      </c>
      <c r="K199" s="15" t="e">
        <f>J199/#REF!*100</f>
        <v>#REF!</v>
      </c>
      <c r="L199" s="15">
        <f t="shared" si="74"/>
        <v>94.28571428571428</v>
      </c>
      <c r="M199" s="119"/>
      <c r="N199" s="119"/>
      <c r="O199" s="12">
        <f t="shared" si="58"/>
        <v>26.666666666666668</v>
      </c>
      <c r="P199" s="15">
        <f t="shared" si="56"/>
        <v>528</v>
      </c>
      <c r="Q199" s="13">
        <f t="shared" si="57"/>
        <v>16.296296296296298</v>
      </c>
    </row>
    <row r="200" spans="1:17" ht="12.75">
      <c r="A200" s="8" t="s">
        <v>10</v>
      </c>
      <c r="B200" s="8"/>
      <c r="C200" s="22" t="s">
        <v>21</v>
      </c>
      <c r="D200" s="34">
        <f t="shared" si="75"/>
        <v>23.699999999999996</v>
      </c>
      <c r="E200" s="41">
        <f t="shared" si="73"/>
        <v>2</v>
      </c>
      <c r="F200" s="34">
        <v>2</v>
      </c>
      <c r="G200" s="34">
        <v>9.7</v>
      </c>
      <c r="H200" s="12">
        <v>5.6</v>
      </c>
      <c r="I200" s="12">
        <v>6.4</v>
      </c>
      <c r="J200" s="13">
        <v>2.5</v>
      </c>
      <c r="K200" s="15" t="e">
        <f>J200/#REF!*100</f>
        <v>#REF!</v>
      </c>
      <c r="L200" s="15">
        <f t="shared" si="74"/>
        <v>44.642857142857146</v>
      </c>
      <c r="M200" s="119"/>
      <c r="N200" s="119"/>
      <c r="O200" s="12">
        <f t="shared" si="58"/>
        <v>39.0625</v>
      </c>
      <c r="P200" s="15">
        <f t="shared" si="56"/>
        <v>125</v>
      </c>
      <c r="Q200" s="13">
        <f t="shared" si="57"/>
        <v>10.548523206751057</v>
      </c>
    </row>
    <row r="201" spans="1:17" ht="36">
      <c r="A201" s="9" t="s">
        <v>11</v>
      </c>
      <c r="B201" s="9"/>
      <c r="C201" s="22" t="s">
        <v>17</v>
      </c>
      <c r="D201" s="34">
        <f t="shared" si="75"/>
        <v>65</v>
      </c>
      <c r="E201" s="41">
        <f t="shared" si="73"/>
        <v>15.8</v>
      </c>
      <c r="F201" s="34">
        <v>15.8</v>
      </c>
      <c r="G201" s="34">
        <v>12.2</v>
      </c>
      <c r="H201" s="12">
        <v>12.2</v>
      </c>
      <c r="I201" s="12">
        <v>24.8</v>
      </c>
      <c r="J201" s="13">
        <v>16.2</v>
      </c>
      <c r="K201" s="15" t="e">
        <f>J201/#REF!*100</f>
        <v>#REF!</v>
      </c>
      <c r="L201" s="15">
        <f t="shared" si="74"/>
        <v>132.78688524590163</v>
      </c>
      <c r="M201" s="119"/>
      <c r="N201" s="119"/>
      <c r="O201" s="12">
        <f t="shared" si="58"/>
        <v>65.3225806451613</v>
      </c>
      <c r="P201" s="15">
        <f t="shared" si="56"/>
        <v>102.53164556962025</v>
      </c>
      <c r="Q201" s="13">
        <f t="shared" si="57"/>
        <v>24.923076923076923</v>
      </c>
    </row>
    <row r="202" spans="1:17" ht="24">
      <c r="A202" s="23" t="s">
        <v>18</v>
      </c>
      <c r="B202" s="23"/>
      <c r="C202" s="22" t="s">
        <v>15</v>
      </c>
      <c r="D202" s="34">
        <f t="shared" si="75"/>
        <v>0</v>
      </c>
      <c r="E202" s="41">
        <f t="shared" si="73"/>
        <v>0</v>
      </c>
      <c r="F202" s="34"/>
      <c r="G202" s="34"/>
      <c r="H202" s="12"/>
      <c r="I202" s="12"/>
      <c r="J202" s="13"/>
      <c r="K202" s="15" t="e">
        <f>J202/#REF!*100</f>
        <v>#REF!</v>
      </c>
      <c r="L202" s="15" t="e">
        <f t="shared" si="74"/>
        <v>#DIV/0!</v>
      </c>
      <c r="M202" s="119"/>
      <c r="N202" s="119"/>
      <c r="O202" s="12" t="e">
        <f t="shared" si="58"/>
        <v>#DIV/0!</v>
      </c>
      <c r="P202" s="15"/>
      <c r="Q202" s="13"/>
    </row>
    <row r="203" spans="1:17" ht="12.75">
      <c r="A203" s="23" t="s">
        <v>12</v>
      </c>
      <c r="B203" s="135"/>
      <c r="C203" s="22" t="s">
        <v>7</v>
      </c>
      <c r="D203" s="34">
        <f t="shared" si="75"/>
        <v>0</v>
      </c>
      <c r="E203" s="41">
        <f t="shared" si="73"/>
        <v>0</v>
      </c>
      <c r="F203" s="34"/>
      <c r="G203" s="34"/>
      <c r="H203" s="12"/>
      <c r="I203" s="12"/>
      <c r="J203" s="13"/>
      <c r="K203" s="15" t="e">
        <f>J203/#REF!*100</f>
        <v>#REF!</v>
      </c>
      <c r="L203" s="15"/>
      <c r="M203" s="119"/>
      <c r="N203" s="119"/>
      <c r="O203" s="12" t="e">
        <f t="shared" si="58"/>
        <v>#DIV/0!</v>
      </c>
      <c r="P203" s="15"/>
      <c r="Q203" s="13"/>
    </row>
    <row r="204" spans="1:17" ht="12.75">
      <c r="A204" s="36" t="s">
        <v>39</v>
      </c>
      <c r="B204" s="120"/>
      <c r="C204" s="11" t="s">
        <v>40</v>
      </c>
      <c r="D204" s="34">
        <f t="shared" si="75"/>
        <v>0</v>
      </c>
      <c r="E204" s="41">
        <f>F204+G204</f>
        <v>0</v>
      </c>
      <c r="F204" s="34"/>
      <c r="G204" s="34"/>
      <c r="H204" s="12"/>
      <c r="I204" s="12"/>
      <c r="J204" s="13"/>
      <c r="K204" s="15" t="e">
        <f>J204/#REF!*100</f>
        <v>#REF!</v>
      </c>
      <c r="L204" s="15"/>
      <c r="M204" s="119"/>
      <c r="N204" s="119"/>
      <c r="O204" s="12"/>
      <c r="P204" s="15"/>
      <c r="Q204" s="13"/>
    </row>
    <row r="205" spans="1:17" ht="12.75">
      <c r="A205" s="19" t="s">
        <v>1</v>
      </c>
      <c r="B205" s="19"/>
      <c r="C205" s="26" t="s">
        <v>0</v>
      </c>
      <c r="D205" s="27">
        <f aca="true" t="shared" si="76" ref="D205:J205">D206</f>
        <v>19476.7</v>
      </c>
      <c r="E205" s="27">
        <f t="shared" si="76"/>
        <v>4271.5</v>
      </c>
      <c r="F205" s="27">
        <f t="shared" si="76"/>
        <v>4271.5</v>
      </c>
      <c r="G205" s="27">
        <f t="shared" si="76"/>
        <v>5533.1</v>
      </c>
      <c r="H205" s="27">
        <f t="shared" si="76"/>
        <v>5173.4</v>
      </c>
      <c r="I205" s="27">
        <f t="shared" si="76"/>
        <v>4498.7</v>
      </c>
      <c r="J205" s="27">
        <f t="shared" si="76"/>
        <v>2558.3</v>
      </c>
      <c r="K205" s="21" t="e">
        <f>J205/#REF!*100</f>
        <v>#REF!</v>
      </c>
      <c r="L205" s="21">
        <f>J205/H205*100</f>
        <v>49.451038002087614</v>
      </c>
      <c r="M205" s="119"/>
      <c r="N205" s="119"/>
      <c r="O205" s="31">
        <f t="shared" si="58"/>
        <v>56.86753951141442</v>
      </c>
      <c r="P205" s="21">
        <f t="shared" si="56"/>
        <v>59.8923094931523</v>
      </c>
      <c r="Q205" s="18">
        <f t="shared" si="57"/>
        <v>13.135182038024922</v>
      </c>
    </row>
    <row r="206" spans="1:17" ht="36">
      <c r="A206" s="10" t="s">
        <v>53</v>
      </c>
      <c r="B206" s="8"/>
      <c r="C206" s="28" t="s">
        <v>20</v>
      </c>
      <c r="D206" s="34">
        <f t="shared" si="75"/>
        <v>19476.7</v>
      </c>
      <c r="E206" s="41">
        <f>F206</f>
        <v>4271.5</v>
      </c>
      <c r="F206" s="34">
        <v>4271.5</v>
      </c>
      <c r="G206" s="34">
        <v>5533.1</v>
      </c>
      <c r="H206" s="12">
        <v>5173.4</v>
      </c>
      <c r="I206" s="12">
        <v>4498.7</v>
      </c>
      <c r="J206" s="13">
        <v>2558.3</v>
      </c>
      <c r="K206" s="15" t="e">
        <f>J206/#REF!*100</f>
        <v>#REF!</v>
      </c>
      <c r="L206" s="15">
        <f>J206/H206*100</f>
        <v>49.451038002087614</v>
      </c>
      <c r="M206" s="119"/>
      <c r="N206" s="119"/>
      <c r="O206" s="12">
        <f t="shared" si="58"/>
        <v>56.86753951141442</v>
      </c>
      <c r="P206" s="15">
        <f t="shared" si="56"/>
        <v>59.8923094931523</v>
      </c>
      <c r="Q206" s="13">
        <f t="shared" si="57"/>
        <v>13.135182038024922</v>
      </c>
    </row>
    <row r="207" spans="1:17" ht="12.75">
      <c r="A207" s="16"/>
      <c r="B207" s="124"/>
      <c r="C207" s="17" t="s">
        <v>4</v>
      </c>
      <c r="D207" s="18">
        <f aca="true" t="shared" si="77" ref="D207:J207">D205+D195</f>
        <v>24711.2</v>
      </c>
      <c r="E207" s="18">
        <f t="shared" si="77"/>
        <v>4973.9</v>
      </c>
      <c r="F207" s="31">
        <f t="shared" si="77"/>
        <v>4973.9</v>
      </c>
      <c r="G207" s="31">
        <f t="shared" si="77"/>
        <v>6872.700000000001</v>
      </c>
      <c r="H207" s="31">
        <f t="shared" si="77"/>
        <v>6442.5</v>
      </c>
      <c r="I207" s="31">
        <f t="shared" si="77"/>
        <v>6422.1</v>
      </c>
      <c r="J207" s="18">
        <f t="shared" si="77"/>
        <v>2997.9</v>
      </c>
      <c r="K207" s="21" t="e">
        <f>J207/#REF!*100</f>
        <v>#REF!</v>
      </c>
      <c r="L207" s="21">
        <f>J207/H207*100</f>
        <v>46.53317811408615</v>
      </c>
      <c r="M207" s="119"/>
      <c r="N207" s="125" t="e">
        <f>I207+#REF!+#REF!</f>
        <v>#REF!</v>
      </c>
      <c r="O207" s="31">
        <f t="shared" si="58"/>
        <v>46.68099219881347</v>
      </c>
      <c r="P207" s="21">
        <f t="shared" si="56"/>
        <v>60.27262309254308</v>
      </c>
      <c r="Q207" s="18">
        <f t="shared" si="57"/>
        <v>12.131745928971478</v>
      </c>
    </row>
    <row r="208" spans="1:17" ht="12.7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2"/>
      <c r="M208" s="119"/>
      <c r="N208" s="119"/>
      <c r="O208" s="126"/>
      <c r="P208" s="21"/>
      <c r="Q208" s="18"/>
    </row>
    <row r="209" spans="1:17" ht="12.75">
      <c r="A209" s="146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8"/>
    </row>
    <row r="210" spans="1:17" ht="12.75">
      <c r="A210" s="19" t="s">
        <v>3</v>
      </c>
      <c r="B210" s="138"/>
      <c r="C210" s="20" t="s">
        <v>54</v>
      </c>
      <c r="D210" s="21">
        <f aca="true" t="shared" si="78" ref="D210:J210">D211+D213+D214+D215+D217+D218+D220+D222+D219+D216+D223+D221+D212</f>
        <v>933242.0999999999</v>
      </c>
      <c r="E210" s="21">
        <f t="shared" si="78"/>
        <v>247093.8</v>
      </c>
      <c r="F210" s="21">
        <f t="shared" si="78"/>
        <v>247093.8</v>
      </c>
      <c r="G210" s="21">
        <f t="shared" si="78"/>
        <v>242834.30000000005</v>
      </c>
      <c r="H210" s="21">
        <f t="shared" si="78"/>
        <v>208062</v>
      </c>
      <c r="I210" s="21">
        <f t="shared" si="78"/>
        <v>235252</v>
      </c>
      <c r="J210" s="21">
        <f t="shared" si="78"/>
        <v>142260.89999999997</v>
      </c>
      <c r="K210" s="21" t="e">
        <f>J210/#REF!*100</f>
        <v>#REF!</v>
      </c>
      <c r="L210" s="21">
        <f aca="true" t="shared" si="79" ref="L210:L221">J210/H210*100</f>
        <v>68.37428266574385</v>
      </c>
      <c r="M210" s="119"/>
      <c r="N210" s="119"/>
      <c r="O210" s="21">
        <f t="shared" si="58"/>
        <v>60.47170693554145</v>
      </c>
      <c r="P210" s="21">
        <f t="shared" si="56"/>
        <v>57.57364207438631</v>
      </c>
      <c r="Q210" s="18">
        <f t="shared" si="57"/>
        <v>15.24372936025925</v>
      </c>
    </row>
    <row r="211" spans="1:17" ht="12.75">
      <c r="A211" s="16" t="s">
        <v>23</v>
      </c>
      <c r="B211" s="139" t="s">
        <v>221</v>
      </c>
      <c r="C211" s="22" t="s">
        <v>22</v>
      </c>
      <c r="D211" s="34">
        <f>F211+G211+H211+I211</f>
        <v>642590.7999999999</v>
      </c>
      <c r="E211" s="41">
        <f aca="true" t="shared" si="80" ref="E211:E227">F211</f>
        <v>153898.09999999998</v>
      </c>
      <c r="F211" s="13">
        <f>F9+F31+F46+F63+F80+F98+F114+F130+F146+F163+F180+F196</f>
        <v>153898.09999999998</v>
      </c>
      <c r="G211" s="13">
        <f>G9+G31+G46+G63+G80+G98+G114+G130+G146+G163+G180+G196</f>
        <v>175245</v>
      </c>
      <c r="H211" s="13">
        <f>H9+H31+H46+H63+H80+H98+H114+H130+H146+H163+H180+H196</f>
        <v>145873.1</v>
      </c>
      <c r="I211" s="13">
        <f>I9+I31+I46+I63+I80+I98+I114+I130+I146+I163+I180+I196</f>
        <v>167574.59999999998</v>
      </c>
      <c r="J211" s="13">
        <f>J9+J31+J46+J63+J80+J98+J114+J130+J146+J163+J180+J196</f>
        <v>108183.29999999999</v>
      </c>
      <c r="K211" s="15" t="e">
        <f>J211/#REF!*100</f>
        <v>#REF!</v>
      </c>
      <c r="L211" s="15">
        <f t="shared" si="79"/>
        <v>74.1626112011056</v>
      </c>
      <c r="M211" s="119"/>
      <c r="N211" s="119"/>
      <c r="O211" s="12">
        <f t="shared" si="58"/>
        <v>64.5582922471544</v>
      </c>
      <c r="P211" s="15">
        <f t="shared" si="56"/>
        <v>70.29540975489626</v>
      </c>
      <c r="Q211" s="13">
        <f t="shared" si="57"/>
        <v>16.835488463264646</v>
      </c>
    </row>
    <row r="212" spans="1:17" ht="12.75">
      <c r="A212" s="8" t="s">
        <v>56</v>
      </c>
      <c r="B212" s="8"/>
      <c r="C212" s="22" t="s">
        <v>57</v>
      </c>
      <c r="D212" s="34">
        <f aca="true" t="shared" si="81" ref="D212:D227">F212+G212+H212+I212</f>
        <v>51911.1</v>
      </c>
      <c r="E212" s="41">
        <f t="shared" si="80"/>
        <v>11624.099999999999</v>
      </c>
      <c r="F212" s="13">
        <f>F10+F32+F47+F64+F81+F99+F116+F131+F147+F164+F181+F197</f>
        <v>11624.099999999999</v>
      </c>
      <c r="G212" s="13">
        <f>G10+G32+G47+G64+G81+G99+G116+G131+G147+G164+G181+G197</f>
        <v>13269.1</v>
      </c>
      <c r="H212" s="13">
        <f>H10+H32+H47+H64+H81+H99+H116+H131+H147+H164+H181+H197</f>
        <v>13252.9</v>
      </c>
      <c r="I212" s="13">
        <f>I10+I32+I47+I64+I81+I99+I116+I131+I147+I164+I181+I197</f>
        <v>13765</v>
      </c>
      <c r="J212" s="13">
        <f>J10+J32+J47+J64+J81+J99+J116+J131+J147+J164+J181+J197</f>
        <v>3598.7999999999997</v>
      </c>
      <c r="K212" s="13">
        <f>K10</f>
        <v>0</v>
      </c>
      <c r="L212" s="13">
        <f>L10</f>
        <v>0</v>
      </c>
      <c r="M212" s="13">
        <f>M10</f>
        <v>0</v>
      </c>
      <c r="N212" s="13">
        <f>N10</f>
        <v>0</v>
      </c>
      <c r="O212" s="13">
        <f>O10</f>
        <v>0</v>
      </c>
      <c r="P212" s="15">
        <f t="shared" si="56"/>
        <v>30.959816243838237</v>
      </c>
      <c r="Q212" s="13">
        <f t="shared" si="57"/>
        <v>6.93262134687957</v>
      </c>
    </row>
    <row r="213" spans="1:17" ht="12.75">
      <c r="A213" s="8" t="s">
        <v>8</v>
      </c>
      <c r="B213" s="137" t="s">
        <v>220</v>
      </c>
      <c r="C213" s="22" t="s">
        <v>5</v>
      </c>
      <c r="D213" s="34">
        <f t="shared" si="81"/>
        <v>36230.3</v>
      </c>
      <c r="E213" s="41">
        <f t="shared" si="80"/>
        <v>11327.6</v>
      </c>
      <c r="F213" s="13">
        <f>F11+F48+F65+F198+F148+F115+F182+F82+F100+F165</f>
        <v>11327.6</v>
      </c>
      <c r="G213" s="13">
        <f>G11+G48+G65+G198+G148+G115+G182+G82+G100+G165</f>
        <v>8995.2</v>
      </c>
      <c r="H213" s="13">
        <f>H11+H48+H65+H198+H148+H115+H182+H82+H100+H165</f>
        <v>8048.099999999999</v>
      </c>
      <c r="I213" s="13">
        <f>I11+I48+I65+I198+I148+I115+I182+I82+I100+I165</f>
        <v>7859.4</v>
      </c>
      <c r="J213" s="13">
        <f>J11+J48+J65+J198+J148+J115+J182+J82+J100+J165</f>
        <v>6247</v>
      </c>
      <c r="K213" s="15" t="e">
        <f>J213/#REF!*100</f>
        <v>#REF!</v>
      </c>
      <c r="L213" s="15">
        <f t="shared" si="79"/>
        <v>77.62080491047577</v>
      </c>
      <c r="M213" s="119"/>
      <c r="N213" s="119"/>
      <c r="O213" s="12">
        <f t="shared" si="58"/>
        <v>79.48443901570094</v>
      </c>
      <c r="P213" s="15">
        <f t="shared" si="56"/>
        <v>55.14848688159893</v>
      </c>
      <c r="Q213" s="13">
        <f t="shared" si="57"/>
        <v>17.242473840956325</v>
      </c>
    </row>
    <row r="214" spans="1:17" ht="12.75">
      <c r="A214" s="8" t="s">
        <v>9</v>
      </c>
      <c r="B214" s="137" t="s">
        <v>222</v>
      </c>
      <c r="C214" s="22" t="s">
        <v>6</v>
      </c>
      <c r="D214" s="34">
        <f t="shared" si="81"/>
        <v>19488</v>
      </c>
      <c r="E214" s="41">
        <f t="shared" si="80"/>
        <v>3916.1</v>
      </c>
      <c r="F214" s="13">
        <f>F12+F33+F49+F66+F83+F101+F117+F132+F149+F166+F183+F199</f>
        <v>3916.1</v>
      </c>
      <c r="G214" s="13">
        <f>G12+G33+G49+G66+G83+G101+G117+G132+G149+G166+G183+G199</f>
        <v>3845.2</v>
      </c>
      <c r="H214" s="13">
        <f>H12+H33+H49+H66+H83+H101+H117+H132+H149+H166+H183+H199</f>
        <v>3618</v>
      </c>
      <c r="I214" s="13">
        <f>I12+I33+I49+I66+I83+I101+I117+I132+I149+I166+I183+I199</f>
        <v>8108.700000000001</v>
      </c>
      <c r="J214" s="13">
        <f>J12+J33+J49+J66+J83+J101+J117+J132+J149+J166+J183+J199</f>
        <v>5213.5</v>
      </c>
      <c r="K214" s="15" t="e">
        <f>J214/#REF!*100</f>
        <v>#REF!</v>
      </c>
      <c r="L214" s="15">
        <f t="shared" si="79"/>
        <v>144.09894969596462</v>
      </c>
      <c r="M214" s="119"/>
      <c r="N214" s="119"/>
      <c r="O214" s="12">
        <f t="shared" si="58"/>
        <v>64.2951397881288</v>
      </c>
      <c r="P214" s="15">
        <f t="shared" si="56"/>
        <v>133.12989964505502</v>
      </c>
      <c r="Q214" s="13">
        <f t="shared" si="57"/>
        <v>26.752360426929393</v>
      </c>
    </row>
    <row r="215" spans="1:17" ht="12.75">
      <c r="A215" s="8" t="s">
        <v>10</v>
      </c>
      <c r="B215" s="137" t="s">
        <v>223</v>
      </c>
      <c r="C215" s="22" t="s">
        <v>21</v>
      </c>
      <c r="D215" s="34">
        <f t="shared" si="81"/>
        <v>3764.7</v>
      </c>
      <c r="E215" s="41">
        <f t="shared" si="80"/>
        <v>932</v>
      </c>
      <c r="F215" s="13">
        <f>F13+F34+F67+F84+F102+F118+F133+F150+F167+F184+F200</f>
        <v>932</v>
      </c>
      <c r="G215" s="13">
        <f>G13+G34+G67+G84+G102+G118+G133+G150+G167+G184+G200</f>
        <v>942.2</v>
      </c>
      <c r="H215" s="13">
        <f>H13+H34+H67+H84+H102+H118+H133+H150+H167+H184+H200</f>
        <v>935.3000000000001</v>
      </c>
      <c r="I215" s="13">
        <f>I13+I34+I67+I84+I102+I118+I133+I150+I167+I184+I200</f>
        <v>955.1999999999999</v>
      </c>
      <c r="J215" s="13">
        <f>J13+J34+J50+J67+J84+J102+J118+J133+J150+J167+J184+J200</f>
        <v>574</v>
      </c>
      <c r="K215" s="15" t="e">
        <f>J215/#REF!*100</f>
        <v>#REF!</v>
      </c>
      <c r="L215" s="15">
        <f t="shared" si="79"/>
        <v>61.37068320325029</v>
      </c>
      <c r="M215" s="119"/>
      <c r="N215" s="119"/>
      <c r="O215" s="12">
        <f t="shared" si="58"/>
        <v>60.092127303182586</v>
      </c>
      <c r="P215" s="15">
        <f t="shared" si="56"/>
        <v>61.587982832618025</v>
      </c>
      <c r="Q215" s="13">
        <f t="shared" si="57"/>
        <v>15.246898823279412</v>
      </c>
    </row>
    <row r="216" spans="1:17" ht="36">
      <c r="A216" s="8" t="s">
        <v>37</v>
      </c>
      <c r="B216" s="137" t="s">
        <v>224</v>
      </c>
      <c r="C216" s="22" t="s">
        <v>38</v>
      </c>
      <c r="D216" s="34">
        <f t="shared" si="81"/>
        <v>0</v>
      </c>
      <c r="E216" s="41">
        <f t="shared" si="80"/>
        <v>0</v>
      </c>
      <c r="F216" s="140">
        <f>F14</f>
        <v>0</v>
      </c>
      <c r="G216" s="140">
        <f>G14</f>
        <v>0</v>
      </c>
      <c r="H216" s="140">
        <f>H14</f>
        <v>0</v>
      </c>
      <c r="I216" s="140">
        <f>I14</f>
        <v>0</v>
      </c>
      <c r="J216" s="140">
        <f>J14</f>
        <v>0</v>
      </c>
      <c r="K216" s="15" t="e">
        <f>J216/#REF!*100</f>
        <v>#REF!</v>
      </c>
      <c r="L216" s="15"/>
      <c r="M216" s="119"/>
      <c r="N216" s="119"/>
      <c r="O216" s="12" t="e">
        <f t="shared" si="58"/>
        <v>#DIV/0!</v>
      </c>
      <c r="P216" s="15"/>
      <c r="Q216" s="13"/>
    </row>
    <row r="217" spans="1:17" ht="36">
      <c r="A217" s="9" t="s">
        <v>11</v>
      </c>
      <c r="B217" s="141" t="s">
        <v>225</v>
      </c>
      <c r="C217" s="22" t="s">
        <v>17</v>
      </c>
      <c r="D217" s="34">
        <f t="shared" si="81"/>
        <v>100803.59999999999</v>
      </c>
      <c r="E217" s="41">
        <f t="shared" si="80"/>
        <v>24407.799999999992</v>
      </c>
      <c r="F217" s="13">
        <f>F15+F35+F51+F68+F85+F103+F119+F134+F151+F168+F185+F201</f>
        <v>24407.799999999992</v>
      </c>
      <c r="G217" s="13">
        <f>G15+G35+G51+G68+G85+G103+G119+G134+G151+G168+G185+G201</f>
        <v>25130.600000000002</v>
      </c>
      <c r="H217" s="13">
        <f>H15+H35+H51+H68+H85+H103+H119+H134+H151+H168+H185+H201</f>
        <v>25518.7</v>
      </c>
      <c r="I217" s="13">
        <f>I15+I35+I51+I68+I85+I103+I119+I134+I151+I168+I185+I201</f>
        <v>25746.5</v>
      </c>
      <c r="J217" s="13">
        <f>J15+J35+J51+J68+J85+J103+J119+J134+J151+J168+J185+J201</f>
        <v>4360.9000000000015</v>
      </c>
      <c r="K217" s="15" t="e">
        <f>J217/#REF!*100</f>
        <v>#REF!</v>
      </c>
      <c r="L217" s="15">
        <f t="shared" si="79"/>
        <v>17.089036667228353</v>
      </c>
      <c r="M217" s="119"/>
      <c r="N217" s="119"/>
      <c r="O217" s="12">
        <f t="shared" si="58"/>
        <v>16.937836210747097</v>
      </c>
      <c r="P217" s="15">
        <f aca="true" t="shared" si="82" ref="P217:P228">J217*100/E217</f>
        <v>17.86682945615747</v>
      </c>
      <c r="Q217" s="13">
        <f aca="true" t="shared" si="83" ref="Q217:Q228">J217*100/D217</f>
        <v>4.326135177711909</v>
      </c>
    </row>
    <row r="218" spans="1:17" ht="24">
      <c r="A218" s="23" t="s">
        <v>14</v>
      </c>
      <c r="B218" s="142" t="s">
        <v>226</v>
      </c>
      <c r="C218" s="22" t="s">
        <v>13</v>
      </c>
      <c r="D218" s="34">
        <f t="shared" si="81"/>
        <v>12245.100000000002</v>
      </c>
      <c r="E218" s="41">
        <f t="shared" si="80"/>
        <v>3061.3</v>
      </c>
      <c r="F218" s="13">
        <f>F16</f>
        <v>3061.3</v>
      </c>
      <c r="G218" s="13">
        <f>G16</f>
        <v>3061.3</v>
      </c>
      <c r="H218" s="13">
        <f>H16</f>
        <v>3061.3</v>
      </c>
      <c r="I218" s="13">
        <f>I16</f>
        <v>3061.2</v>
      </c>
      <c r="J218" s="13">
        <f>J16</f>
        <v>634.3</v>
      </c>
      <c r="K218" s="15" t="e">
        <f>J218/#REF!*100</f>
        <v>#REF!</v>
      </c>
      <c r="L218" s="15">
        <f t="shared" si="79"/>
        <v>20.71995557442916</v>
      </c>
      <c r="M218" s="119"/>
      <c r="N218" s="119"/>
      <c r="O218" s="12">
        <f t="shared" si="58"/>
        <v>20.72063243172612</v>
      </c>
      <c r="P218" s="15">
        <f t="shared" si="82"/>
        <v>20.71995557442916</v>
      </c>
      <c r="Q218" s="13">
        <f t="shared" si="83"/>
        <v>5.180031196151929</v>
      </c>
    </row>
    <row r="219" spans="1:17" ht="24">
      <c r="A219" s="24" t="s">
        <v>42</v>
      </c>
      <c r="B219" s="143" t="s">
        <v>227</v>
      </c>
      <c r="C219" s="22" t="s">
        <v>43</v>
      </c>
      <c r="D219" s="34">
        <f t="shared" si="81"/>
        <v>11293</v>
      </c>
      <c r="E219" s="41">
        <f t="shared" si="80"/>
        <v>2734.6000000000004</v>
      </c>
      <c r="F219" s="144">
        <f>F17+F86+F104+F135+F152+F169+F186+F120+F69+F36</f>
        <v>2734.6000000000004</v>
      </c>
      <c r="G219" s="144">
        <f>G17+G86+G104+G135+G152+G169+G186+G120+G69+G36</f>
        <v>2776.6</v>
      </c>
      <c r="H219" s="144">
        <f>H17+H86+H104+H135+H152+H169+H186+H120+H69+H36</f>
        <v>2682.7999999999997</v>
      </c>
      <c r="I219" s="144">
        <f>I17+I86+I104+I135+I152+I169+I186+I120+I69+I36</f>
        <v>3099</v>
      </c>
      <c r="J219" s="144">
        <f>J17+J86+J104+J135+J152+J169+J186+J120+J69+J36</f>
        <v>2643.7999999999997</v>
      </c>
      <c r="K219" s="15" t="e">
        <f>J219/#REF!*100</f>
        <v>#REF!</v>
      </c>
      <c r="L219" s="15">
        <f t="shared" si="79"/>
        <v>98.54629491575966</v>
      </c>
      <c r="M219" s="119"/>
      <c r="N219" s="119"/>
      <c r="O219" s="12">
        <f t="shared" si="58"/>
        <v>85.31139077121652</v>
      </c>
      <c r="P219" s="15">
        <f t="shared" si="82"/>
        <v>96.67958750822788</v>
      </c>
      <c r="Q219" s="13">
        <f t="shared" si="83"/>
        <v>23.410962543168335</v>
      </c>
    </row>
    <row r="220" spans="1:17" ht="24">
      <c r="A220" s="24" t="s">
        <v>18</v>
      </c>
      <c r="B220" s="143" t="s">
        <v>228</v>
      </c>
      <c r="C220" s="22" t="s">
        <v>15</v>
      </c>
      <c r="D220" s="34">
        <f t="shared" si="81"/>
        <v>46913</v>
      </c>
      <c r="E220" s="41">
        <f t="shared" si="80"/>
        <v>30252.6</v>
      </c>
      <c r="F220" s="13">
        <f>F18+F37+F52+F70+F87+F105+F121+F153+F170+F187+F202+F136</f>
        <v>30252.6</v>
      </c>
      <c r="G220" s="13">
        <f>G18+G37+G52+G70+G87+G105+G121+G153+G170+G187+G202+G136</f>
        <v>8552.400000000001</v>
      </c>
      <c r="H220" s="13">
        <f>H18+H37+H52+H70+H87+H105+H121+H153+H170+H187+H202+H136</f>
        <v>4052.1000000000004</v>
      </c>
      <c r="I220" s="13">
        <f>I18+I37+I52+I70+I87+I105+I121+I153+I170+I187+I202+I136</f>
        <v>4055.8999999999996</v>
      </c>
      <c r="J220" s="13">
        <f>J18+J37+J52+J70+J87+J105+J121+J153+J170+J187+J202+J136</f>
        <v>4084.3</v>
      </c>
      <c r="K220" s="15" t="e">
        <f>J220/#REF!*100</f>
        <v>#REF!</v>
      </c>
      <c r="L220" s="15">
        <f t="shared" si="79"/>
        <v>100.79464968781619</v>
      </c>
      <c r="M220" s="119"/>
      <c r="N220" s="119"/>
      <c r="O220" s="12">
        <f aca="true" t="shared" si="84" ref="O220:O228">J220*100/I220</f>
        <v>100.70021450232994</v>
      </c>
      <c r="P220" s="15">
        <f t="shared" si="82"/>
        <v>13.500657794701944</v>
      </c>
      <c r="Q220" s="13">
        <f t="shared" si="83"/>
        <v>8.706115575640014</v>
      </c>
    </row>
    <row r="221" spans="1:17" ht="12.75">
      <c r="A221" s="24" t="s">
        <v>47</v>
      </c>
      <c r="B221" s="24"/>
      <c r="C221" s="22" t="s">
        <v>48</v>
      </c>
      <c r="D221" s="34">
        <f t="shared" si="81"/>
        <v>5</v>
      </c>
      <c r="E221" s="41">
        <f t="shared" si="80"/>
        <v>2</v>
      </c>
      <c r="F221" s="13">
        <f>F19</f>
        <v>2</v>
      </c>
      <c r="G221" s="13">
        <f>G19</f>
        <v>0</v>
      </c>
      <c r="H221" s="13">
        <f>H19</f>
        <v>3</v>
      </c>
      <c r="I221" s="13">
        <f>I19</f>
        <v>0</v>
      </c>
      <c r="J221" s="13">
        <f>J19</f>
        <v>3</v>
      </c>
      <c r="K221" s="15" t="e">
        <f>J221/#REF!*100</f>
        <v>#REF!</v>
      </c>
      <c r="L221" s="15">
        <f t="shared" si="79"/>
        <v>100</v>
      </c>
      <c r="M221" s="119"/>
      <c r="N221" s="119"/>
      <c r="O221" s="12" t="e">
        <f t="shared" si="84"/>
        <v>#DIV/0!</v>
      </c>
      <c r="P221" s="15">
        <f t="shared" si="82"/>
        <v>150</v>
      </c>
      <c r="Q221" s="13">
        <f t="shared" si="83"/>
        <v>60</v>
      </c>
    </row>
    <row r="222" spans="1:17" ht="12.75">
      <c r="A222" s="16" t="s">
        <v>12</v>
      </c>
      <c r="B222" s="139" t="s">
        <v>229</v>
      </c>
      <c r="C222" s="22" t="s">
        <v>7</v>
      </c>
      <c r="D222" s="34">
        <f t="shared" si="81"/>
        <v>7997.5</v>
      </c>
      <c r="E222" s="41">
        <f t="shared" si="80"/>
        <v>4937.6</v>
      </c>
      <c r="F222" s="13">
        <f aca="true" t="shared" si="85" ref="F222:O222">F20+F188+F203+F71+F137+F53+F154+F88</f>
        <v>4937.6</v>
      </c>
      <c r="G222" s="13">
        <f t="shared" si="85"/>
        <v>1016.7</v>
      </c>
      <c r="H222" s="13">
        <f t="shared" si="85"/>
        <v>1016.7</v>
      </c>
      <c r="I222" s="13">
        <f t="shared" si="85"/>
        <v>1026.5</v>
      </c>
      <c r="J222" s="13">
        <f t="shared" si="85"/>
        <v>6574.5</v>
      </c>
      <c r="K222" s="13" t="e">
        <f t="shared" si="85"/>
        <v>#REF!</v>
      </c>
      <c r="L222" s="13">
        <f t="shared" si="85"/>
        <v>646.650929477722</v>
      </c>
      <c r="M222" s="13">
        <f t="shared" si="85"/>
        <v>0</v>
      </c>
      <c r="N222" s="13">
        <f t="shared" si="85"/>
        <v>0</v>
      </c>
      <c r="O222" s="13" t="e">
        <f t="shared" si="85"/>
        <v>#DIV/0!</v>
      </c>
      <c r="P222" s="15">
        <f t="shared" si="82"/>
        <v>133.15173363577446</v>
      </c>
      <c r="Q222" s="13">
        <f t="shared" si="83"/>
        <v>82.20693966864646</v>
      </c>
    </row>
    <row r="223" spans="1:17" ht="12.75">
      <c r="A223" s="25" t="s">
        <v>39</v>
      </c>
      <c r="B223" s="145" t="s">
        <v>224</v>
      </c>
      <c r="C223" s="11" t="s">
        <v>40</v>
      </c>
      <c r="D223" s="34">
        <f t="shared" si="81"/>
        <v>0</v>
      </c>
      <c r="E223" s="41">
        <f t="shared" si="80"/>
        <v>0</v>
      </c>
      <c r="F223" s="13">
        <f>F21+F38+F54+F72+F89+F106+F123+F138+F155+F172+F189+F204</f>
        <v>0</v>
      </c>
      <c r="G223" s="13">
        <f>G21+G38+G54+G72+G89+G106+G123+G138+G155+G172+G189+G204</f>
        <v>0</v>
      </c>
      <c r="H223" s="13">
        <f>H21+H38+H54+H72+H89+H106+H123+H138+H155+H172+H189+H204</f>
        <v>0</v>
      </c>
      <c r="I223" s="13">
        <f>I21+I38+I54+I72+I89+I106+I123+I138+I155+I172+I189+I204</f>
        <v>0</v>
      </c>
      <c r="J223" s="13">
        <f>J21+J38+J54+J72+J89+J106+J123+J138+J155+J172+J189+J204</f>
        <v>143.5</v>
      </c>
      <c r="K223" s="15"/>
      <c r="L223" s="15"/>
      <c r="M223" s="119"/>
      <c r="N223" s="119"/>
      <c r="O223" s="12" t="e">
        <f t="shared" si="84"/>
        <v>#DIV/0!</v>
      </c>
      <c r="P223" s="15"/>
      <c r="Q223" s="13"/>
    </row>
    <row r="224" spans="1:17" ht="12.75">
      <c r="A224" s="19" t="s">
        <v>1</v>
      </c>
      <c r="B224" s="138"/>
      <c r="C224" s="26" t="s">
        <v>0</v>
      </c>
      <c r="D224" s="27">
        <f aca="true" t="shared" si="86" ref="D224:J224">D225+D226+D227</f>
        <v>2656740.3000000003</v>
      </c>
      <c r="E224" s="27">
        <f t="shared" si="86"/>
        <v>528589.3</v>
      </c>
      <c r="F224" s="27">
        <f t="shared" si="86"/>
        <v>528589.3</v>
      </c>
      <c r="G224" s="27">
        <f t="shared" si="86"/>
        <v>866364.6</v>
      </c>
      <c r="H224" s="27">
        <f t="shared" si="86"/>
        <v>675798</v>
      </c>
      <c r="I224" s="27">
        <f t="shared" si="86"/>
        <v>585988.4</v>
      </c>
      <c r="J224" s="27">
        <f t="shared" si="86"/>
        <v>267969.89999999997</v>
      </c>
      <c r="K224" s="21" t="e">
        <f>J224/#REF!*100</f>
        <v>#REF!</v>
      </c>
      <c r="L224" s="21">
        <f>J224/H224*100</f>
        <v>39.65236653556239</v>
      </c>
      <c r="M224" s="119"/>
      <c r="N224" s="119"/>
      <c r="O224" s="31">
        <f t="shared" si="84"/>
        <v>45.72955710386075</v>
      </c>
      <c r="P224" s="21">
        <f t="shared" si="82"/>
        <v>50.69529405911167</v>
      </c>
      <c r="Q224" s="18">
        <f t="shared" si="83"/>
        <v>10.086416801822892</v>
      </c>
    </row>
    <row r="225" spans="1:17" ht="36">
      <c r="A225" s="10" t="s">
        <v>53</v>
      </c>
      <c r="B225" s="137" t="s">
        <v>230</v>
      </c>
      <c r="C225" s="28" t="s">
        <v>20</v>
      </c>
      <c r="D225" s="34">
        <f t="shared" si="81"/>
        <v>2614344.6</v>
      </c>
      <c r="E225" s="41">
        <f>F225</f>
        <v>555225.5</v>
      </c>
      <c r="F225" s="12">
        <f>F23</f>
        <v>555225.5</v>
      </c>
      <c r="G225" s="12">
        <f>G23</f>
        <v>827332.7</v>
      </c>
      <c r="H225" s="12">
        <f>H23</f>
        <v>650798</v>
      </c>
      <c r="I225" s="12">
        <f>I23-76.3</f>
        <v>580988.4</v>
      </c>
      <c r="J225" s="12">
        <f>J23</f>
        <v>314606.1</v>
      </c>
      <c r="K225" s="15" t="e">
        <f>J225/#REF!*100</f>
        <v>#REF!</v>
      </c>
      <c r="L225" s="15">
        <f>J225/H225*100</f>
        <v>48.34158986352139</v>
      </c>
      <c r="M225" s="119"/>
      <c r="N225" s="119"/>
      <c r="O225" s="12">
        <f t="shared" si="84"/>
        <v>54.1501517069876</v>
      </c>
      <c r="P225" s="15">
        <f t="shared" si="82"/>
        <v>56.66276134651596</v>
      </c>
      <c r="Q225" s="13">
        <f t="shared" si="83"/>
        <v>12.033842057393656</v>
      </c>
    </row>
    <row r="226" spans="1:17" ht="12.75">
      <c r="A226" s="10" t="s">
        <v>2</v>
      </c>
      <c r="B226" s="10" t="s">
        <v>231</v>
      </c>
      <c r="C226" s="29" t="s">
        <v>19</v>
      </c>
      <c r="D226" s="34">
        <f t="shared" si="81"/>
        <v>45000</v>
      </c>
      <c r="E226" s="41">
        <f t="shared" si="80"/>
        <v>20000</v>
      </c>
      <c r="F226" s="13">
        <f>F24+F93+F109+F175+F141+F57+F41+F158</f>
        <v>20000</v>
      </c>
      <c r="G226" s="13">
        <f>G24+G93+G109+G175+G141+G57+G41+G158</f>
        <v>15000</v>
      </c>
      <c r="H226" s="13">
        <f>H24+H93+H109+H175+H141+H57+H41+H158</f>
        <v>5000</v>
      </c>
      <c r="I226" s="13">
        <f>I24+I93+I109+I175+I141+I57+I41+I158</f>
        <v>5000</v>
      </c>
      <c r="J226" s="13">
        <f>J24+J93+J109+J175+J141+J57+J41+J158</f>
        <v>0</v>
      </c>
      <c r="K226" s="15" t="e">
        <f>J226/#REF!*100</f>
        <v>#REF!</v>
      </c>
      <c r="L226" s="15">
        <f>J226/H226*100</f>
        <v>0</v>
      </c>
      <c r="M226" s="119"/>
      <c r="N226" s="119"/>
      <c r="O226" s="12">
        <f t="shared" si="84"/>
        <v>0</v>
      </c>
      <c r="P226" s="15">
        <f t="shared" si="82"/>
        <v>0</v>
      </c>
      <c r="Q226" s="13">
        <f t="shared" si="83"/>
        <v>0</v>
      </c>
    </row>
    <row r="227" spans="1:17" ht="48">
      <c r="A227" s="10" t="s">
        <v>52</v>
      </c>
      <c r="B227" s="121"/>
      <c r="C227" s="14" t="s">
        <v>49</v>
      </c>
      <c r="D227" s="34">
        <f t="shared" si="81"/>
        <v>-2604.2999999999956</v>
      </c>
      <c r="E227" s="41">
        <f t="shared" si="80"/>
        <v>-46636.2</v>
      </c>
      <c r="F227" s="13">
        <f>F26</f>
        <v>-46636.2</v>
      </c>
      <c r="G227" s="13">
        <f>G26</f>
        <v>24031.9</v>
      </c>
      <c r="H227" s="13">
        <f>H26</f>
        <v>20000</v>
      </c>
      <c r="I227" s="13">
        <f>I26</f>
        <v>0</v>
      </c>
      <c r="J227" s="13">
        <f>J26</f>
        <v>-46636.2</v>
      </c>
      <c r="K227" s="15" t="e">
        <f>J227/#REF!*100</f>
        <v>#REF!</v>
      </c>
      <c r="L227" s="15"/>
      <c r="M227" s="119"/>
      <c r="N227" s="119"/>
      <c r="O227" s="12" t="e">
        <f t="shared" si="84"/>
        <v>#DIV/0!</v>
      </c>
      <c r="P227" s="15">
        <f>J227*100/E227</f>
        <v>100</v>
      </c>
      <c r="Q227" s="13">
        <f>J227*100/D227</f>
        <v>1790.7383941942203</v>
      </c>
    </row>
    <row r="228" spans="1:17" ht="12.75">
      <c r="A228" s="16"/>
      <c r="B228" s="124"/>
      <c r="C228" s="17" t="s">
        <v>4</v>
      </c>
      <c r="D228" s="18">
        <f aca="true" t="shared" si="87" ref="D228:J228">D224+D210</f>
        <v>3589982.4000000004</v>
      </c>
      <c r="E228" s="18">
        <f t="shared" si="87"/>
        <v>775683.1000000001</v>
      </c>
      <c r="F228" s="18">
        <f t="shared" si="87"/>
        <v>775683.1000000001</v>
      </c>
      <c r="G228" s="18">
        <f t="shared" si="87"/>
        <v>1109198.9</v>
      </c>
      <c r="H228" s="18">
        <f t="shared" si="87"/>
        <v>883860</v>
      </c>
      <c r="I228" s="18">
        <f t="shared" si="87"/>
        <v>821240.4</v>
      </c>
      <c r="J228" s="18">
        <f t="shared" si="87"/>
        <v>410230.79999999993</v>
      </c>
      <c r="K228" s="21" t="e">
        <f>J228/#REF!*100</f>
        <v>#REF!</v>
      </c>
      <c r="L228" s="21">
        <f>J228/H228*100</f>
        <v>46.41354965718552</v>
      </c>
      <c r="M228" s="119"/>
      <c r="N228" s="125" t="e">
        <f>I228+#REF!+#REF!</f>
        <v>#REF!</v>
      </c>
      <c r="O228" s="31">
        <f t="shared" si="84"/>
        <v>49.95258392061568</v>
      </c>
      <c r="P228" s="21">
        <f t="shared" si="82"/>
        <v>52.886391362658266</v>
      </c>
      <c r="Q228" s="18">
        <f t="shared" si="83"/>
        <v>11.427097804156363</v>
      </c>
    </row>
  </sheetData>
  <sheetProtection/>
  <mergeCells count="41">
    <mergeCell ref="A112:O112"/>
    <mergeCell ref="A127:L127"/>
    <mergeCell ref="A128:O128"/>
    <mergeCell ref="A143:L143"/>
    <mergeCell ref="A144:O144"/>
    <mergeCell ref="A160:L160"/>
    <mergeCell ref="A61:O61"/>
    <mergeCell ref="A77:L77"/>
    <mergeCell ref="A78:O78"/>
    <mergeCell ref="A95:L95"/>
    <mergeCell ref="A96:O96"/>
    <mergeCell ref="A111:L111"/>
    <mergeCell ref="A7:O7"/>
    <mergeCell ref="A28:L28"/>
    <mergeCell ref="A29:O29"/>
    <mergeCell ref="C43:L43"/>
    <mergeCell ref="A44:O44"/>
    <mergeCell ref="A60:L60"/>
    <mergeCell ref="L4:L6"/>
    <mergeCell ref="M4:M6"/>
    <mergeCell ref="N4:N6"/>
    <mergeCell ref="O4:O6"/>
    <mergeCell ref="P4:P6"/>
    <mergeCell ref="Q4:Q6"/>
    <mergeCell ref="A1:Q1"/>
    <mergeCell ref="A2:L2"/>
    <mergeCell ref="D4:D6"/>
    <mergeCell ref="E4:E6"/>
    <mergeCell ref="F4:F6"/>
    <mergeCell ref="G4:G6"/>
    <mergeCell ref="H4:H6"/>
    <mergeCell ref="I4:I6"/>
    <mergeCell ref="J4:J6"/>
    <mergeCell ref="K4:K6"/>
    <mergeCell ref="A209:Q209"/>
    <mergeCell ref="A161:O161"/>
    <mergeCell ref="A177:L177"/>
    <mergeCell ref="A178:O178"/>
    <mergeCell ref="A193:L193"/>
    <mergeCell ref="A194:O194"/>
    <mergeCell ref="A208:L208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K114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79" t="s">
        <v>232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 thickBot="1">
      <c r="A2" s="45"/>
      <c r="B2" s="46"/>
      <c r="C2" s="47"/>
      <c r="D2" s="48"/>
      <c r="E2" s="49"/>
      <c r="F2" s="50"/>
      <c r="G2" s="51"/>
      <c r="H2" s="51"/>
      <c r="I2" s="52"/>
      <c r="J2" s="53"/>
      <c r="K2" s="53"/>
    </row>
    <row r="3" spans="1:11" ht="15" customHeight="1">
      <c r="A3" s="180" t="s">
        <v>58</v>
      </c>
      <c r="B3" s="182" t="s">
        <v>59</v>
      </c>
      <c r="C3" s="184" t="s">
        <v>60</v>
      </c>
      <c r="D3" s="184"/>
      <c r="E3" s="184"/>
      <c r="F3" s="185" t="s">
        <v>61</v>
      </c>
      <c r="G3" s="185"/>
      <c r="H3" s="185"/>
      <c r="I3" s="186" t="s">
        <v>62</v>
      </c>
      <c r="J3" s="186"/>
      <c r="K3" s="187"/>
    </row>
    <row r="4" spans="1:11" ht="12.75" customHeight="1">
      <c r="A4" s="181"/>
      <c r="B4" s="183"/>
      <c r="C4" s="188" t="s">
        <v>63</v>
      </c>
      <c r="D4" s="188" t="s">
        <v>233</v>
      </c>
      <c r="E4" s="188" t="s">
        <v>64</v>
      </c>
      <c r="F4" s="188" t="s">
        <v>63</v>
      </c>
      <c r="G4" s="190" t="s">
        <v>233</v>
      </c>
      <c r="H4" s="190" t="s">
        <v>64</v>
      </c>
      <c r="I4" s="191" t="s">
        <v>63</v>
      </c>
      <c r="J4" s="193" t="s">
        <v>234</v>
      </c>
      <c r="K4" s="175" t="s">
        <v>64</v>
      </c>
    </row>
    <row r="5" spans="1:11" ht="32.25" customHeight="1">
      <c r="A5" s="181"/>
      <c r="B5" s="183"/>
      <c r="C5" s="189"/>
      <c r="D5" s="188"/>
      <c r="E5" s="194"/>
      <c r="F5" s="189"/>
      <c r="G5" s="190"/>
      <c r="H5" s="189"/>
      <c r="I5" s="192"/>
      <c r="J5" s="193"/>
      <c r="K5" s="176"/>
    </row>
    <row r="6" spans="1:11" ht="12.75" customHeight="1">
      <c r="A6" s="181"/>
      <c r="B6" s="177" t="s">
        <v>65</v>
      </c>
      <c r="C6" s="177"/>
      <c r="D6" s="177"/>
      <c r="E6" s="177"/>
      <c r="F6" s="177"/>
      <c r="G6" s="177"/>
      <c r="H6" s="177"/>
      <c r="I6" s="177"/>
      <c r="J6" s="177"/>
      <c r="K6" s="178"/>
    </row>
    <row r="7" spans="1:11" ht="12.75" customHeight="1">
      <c r="A7" s="181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2.75" customHeight="1">
      <c r="A8" s="181"/>
      <c r="B8" s="177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15">
      <c r="A9" s="56" t="s">
        <v>66</v>
      </c>
      <c r="B9" s="57" t="s">
        <v>67</v>
      </c>
      <c r="C9" s="58">
        <f>SUM(C10:C16)</f>
        <v>272704.1</v>
      </c>
      <c r="D9" s="58">
        <f>SUM(D10:D16)</f>
        <v>47500.700000000004</v>
      </c>
      <c r="E9" s="58">
        <f>D9/C9*100</f>
        <v>17.418403317001836</v>
      </c>
      <c r="F9" s="58">
        <f>F10+F11+F12+F13+F14+F15+F16</f>
        <v>186615.9</v>
      </c>
      <c r="G9" s="58">
        <f>SUM(G10:G16)</f>
        <v>34140.2</v>
      </c>
      <c r="H9" s="59">
        <f>G9/F9*100</f>
        <v>18.29436827194253</v>
      </c>
      <c r="I9" s="58">
        <f>SUM(I10:I16)</f>
        <v>459173.60000000003</v>
      </c>
      <c r="J9" s="58">
        <f>SUM(J10:J16)</f>
        <v>81640.90000000001</v>
      </c>
      <c r="K9" s="60">
        <f>J9/I9*100</f>
        <v>17.779963830673193</v>
      </c>
    </row>
    <row r="10" spans="1:11" ht="15">
      <c r="A10" s="61" t="s">
        <v>68</v>
      </c>
      <c r="B10" s="62" t="s">
        <v>69</v>
      </c>
      <c r="C10" s="54">
        <v>3920</v>
      </c>
      <c r="D10" s="54">
        <v>693.5</v>
      </c>
      <c r="E10" s="54">
        <f>D10/C10*100</f>
        <v>17.691326530612244</v>
      </c>
      <c r="F10" s="63">
        <v>39550.4</v>
      </c>
      <c r="G10" s="63">
        <v>6929.8</v>
      </c>
      <c r="H10" s="63">
        <f>G10/F10*100</f>
        <v>17.521440996804078</v>
      </c>
      <c r="I10" s="64">
        <f aca="true" t="shared" si="0" ref="I10:J75">C10+F10</f>
        <v>43470.4</v>
      </c>
      <c r="J10" s="55">
        <f t="shared" si="0"/>
        <v>7623.3</v>
      </c>
      <c r="K10" s="65">
        <f aca="true" t="shared" si="1" ref="K10:K78">J10/I10*100</f>
        <v>17.536760646324858</v>
      </c>
    </row>
    <row r="11" spans="1:11" ht="30">
      <c r="A11" s="61" t="s">
        <v>70</v>
      </c>
      <c r="B11" s="62" t="s">
        <v>71</v>
      </c>
      <c r="C11" s="54">
        <v>7231</v>
      </c>
      <c r="D11" s="54">
        <v>2046.8</v>
      </c>
      <c r="E11" s="54">
        <f aca="true" t="shared" si="2" ref="E11:E18">D11/C11*100</f>
        <v>28.30590513068732</v>
      </c>
      <c r="F11" s="63">
        <v>0</v>
      </c>
      <c r="G11" s="63"/>
      <c r="H11" s="63">
        <v>0</v>
      </c>
      <c r="I11" s="64">
        <f t="shared" si="0"/>
        <v>7231</v>
      </c>
      <c r="J11" s="55">
        <f t="shared" si="0"/>
        <v>2046.8</v>
      </c>
      <c r="K11" s="65">
        <f t="shared" si="1"/>
        <v>28.30590513068732</v>
      </c>
    </row>
    <row r="12" spans="1:11" ht="30">
      <c r="A12" s="61" t="s">
        <v>72</v>
      </c>
      <c r="B12" s="62" t="s">
        <v>73</v>
      </c>
      <c r="C12" s="54">
        <v>128898.7</v>
      </c>
      <c r="D12" s="54">
        <v>31076.4</v>
      </c>
      <c r="E12" s="54">
        <f t="shared" si="2"/>
        <v>24.109164793748892</v>
      </c>
      <c r="F12" s="63">
        <v>119249.4</v>
      </c>
      <c r="G12" s="63">
        <v>22576.7</v>
      </c>
      <c r="H12" s="63">
        <f aca="true" t="shared" si="3" ref="H12:H18">G12/F12*100</f>
        <v>18.932338443631583</v>
      </c>
      <c r="I12" s="64">
        <f t="shared" si="0"/>
        <v>248148.09999999998</v>
      </c>
      <c r="J12" s="55">
        <f t="shared" si="0"/>
        <v>53653.100000000006</v>
      </c>
      <c r="K12" s="65">
        <f t="shared" si="1"/>
        <v>21.62140270266023</v>
      </c>
    </row>
    <row r="13" spans="1:11" ht="15">
      <c r="A13" s="61" t="s">
        <v>74</v>
      </c>
      <c r="B13" s="62" t="s">
        <v>75</v>
      </c>
      <c r="C13" s="54">
        <v>0</v>
      </c>
      <c r="D13" s="54"/>
      <c r="E13" s="54"/>
      <c r="F13" s="63">
        <v>0</v>
      </c>
      <c r="G13" s="63"/>
      <c r="H13" s="63">
        <v>0</v>
      </c>
      <c r="I13" s="64">
        <f t="shared" si="0"/>
        <v>0</v>
      </c>
      <c r="J13" s="55">
        <f t="shared" si="0"/>
        <v>0</v>
      </c>
      <c r="K13" s="114"/>
    </row>
    <row r="14" spans="1:11" ht="15">
      <c r="A14" s="61" t="s">
        <v>76</v>
      </c>
      <c r="B14" s="62" t="s">
        <v>77</v>
      </c>
      <c r="C14" s="54">
        <v>28790.4</v>
      </c>
      <c r="D14" s="54">
        <v>6427.5</v>
      </c>
      <c r="E14" s="54">
        <f t="shared" si="2"/>
        <v>22.32515005001667</v>
      </c>
      <c r="F14" s="63">
        <v>0</v>
      </c>
      <c r="G14" s="63"/>
      <c r="H14" s="63">
        <v>0</v>
      </c>
      <c r="I14" s="64">
        <f>C14+F14</f>
        <v>28790.4</v>
      </c>
      <c r="J14" s="55">
        <f>D14+G14</f>
        <v>6427.5</v>
      </c>
      <c r="K14" s="65">
        <f t="shared" si="1"/>
        <v>22.32515005001667</v>
      </c>
    </row>
    <row r="15" spans="1:11" ht="15">
      <c r="A15" s="66" t="s">
        <v>78</v>
      </c>
      <c r="B15" s="62" t="s">
        <v>79</v>
      </c>
      <c r="C15" s="54">
        <v>4036</v>
      </c>
      <c r="D15" s="54"/>
      <c r="E15" s="54">
        <f t="shared" si="2"/>
        <v>0</v>
      </c>
      <c r="F15" s="63">
        <v>943</v>
      </c>
      <c r="G15" s="63"/>
      <c r="H15" s="63">
        <f t="shared" si="3"/>
        <v>0</v>
      </c>
      <c r="I15" s="64">
        <f t="shared" si="0"/>
        <v>4979</v>
      </c>
      <c r="J15" s="55">
        <f t="shared" si="0"/>
        <v>0</v>
      </c>
      <c r="K15" s="65">
        <f t="shared" si="1"/>
        <v>0</v>
      </c>
    </row>
    <row r="16" spans="1:11" ht="15">
      <c r="A16" s="61" t="s">
        <v>80</v>
      </c>
      <c r="B16" s="62" t="s">
        <v>81</v>
      </c>
      <c r="C16" s="54">
        <v>99828</v>
      </c>
      <c r="D16" s="54">
        <v>7256.5</v>
      </c>
      <c r="E16" s="54">
        <f t="shared" si="2"/>
        <v>7.269002684617543</v>
      </c>
      <c r="F16" s="63">
        <v>26873.1</v>
      </c>
      <c r="G16" s="63">
        <v>4633.7</v>
      </c>
      <c r="H16" s="63">
        <f>G16/F16*100</f>
        <v>17.24289345107189</v>
      </c>
      <c r="I16" s="64">
        <f>C16+F16-70-76.4</f>
        <v>126554.70000000001</v>
      </c>
      <c r="J16" s="55">
        <f>D16+G16</f>
        <v>11890.2</v>
      </c>
      <c r="K16" s="65">
        <f t="shared" si="1"/>
        <v>9.395304955090564</v>
      </c>
    </row>
    <row r="17" spans="1:11" ht="15">
      <c r="A17" s="56" t="s">
        <v>82</v>
      </c>
      <c r="B17" s="57" t="s">
        <v>83</v>
      </c>
      <c r="C17" s="58">
        <f aca="true" t="shared" si="4" ref="C17:J17">C18</f>
        <v>3043.8</v>
      </c>
      <c r="D17" s="58">
        <f t="shared" si="4"/>
        <v>760.9</v>
      </c>
      <c r="E17" s="58">
        <f t="shared" si="4"/>
        <v>24.99835731651225</v>
      </c>
      <c r="F17" s="58">
        <f t="shared" si="4"/>
        <v>3043.8</v>
      </c>
      <c r="G17" s="58">
        <f t="shared" si="4"/>
        <v>185.9</v>
      </c>
      <c r="H17" s="67">
        <f t="shared" si="4"/>
        <v>6.107497207438071</v>
      </c>
      <c r="I17" s="58">
        <f t="shared" si="4"/>
        <v>3043.8</v>
      </c>
      <c r="J17" s="58">
        <f t="shared" si="4"/>
        <v>185.89999999999998</v>
      </c>
      <c r="K17" s="68">
        <f t="shared" si="1"/>
        <v>6.10749720743807</v>
      </c>
    </row>
    <row r="18" spans="1:11" ht="15">
      <c r="A18" s="61" t="s">
        <v>84</v>
      </c>
      <c r="B18" s="62" t="s">
        <v>85</v>
      </c>
      <c r="C18" s="54">
        <v>3043.8</v>
      </c>
      <c r="D18" s="54">
        <v>760.9</v>
      </c>
      <c r="E18" s="54">
        <f t="shared" si="2"/>
        <v>24.99835731651225</v>
      </c>
      <c r="F18" s="63">
        <v>3043.8</v>
      </c>
      <c r="G18" s="63">
        <v>185.9</v>
      </c>
      <c r="H18" s="63">
        <f t="shared" si="3"/>
        <v>6.107497207438071</v>
      </c>
      <c r="I18" s="64">
        <f>C18+F18-3043.8</f>
        <v>3043.8</v>
      </c>
      <c r="J18" s="55">
        <f>D18+G18-760.9</f>
        <v>185.89999999999998</v>
      </c>
      <c r="K18" s="65">
        <f t="shared" si="1"/>
        <v>6.10749720743807</v>
      </c>
    </row>
    <row r="19" spans="1:11" ht="12.75">
      <c r="A19" s="173" t="s">
        <v>86</v>
      </c>
      <c r="B19" s="174" t="s">
        <v>87</v>
      </c>
      <c r="C19" s="170">
        <f>C22+C23+C21</f>
        <v>15611.2</v>
      </c>
      <c r="D19" s="170">
        <f>D22+D23+D21</f>
        <v>569</v>
      </c>
      <c r="E19" s="170">
        <f>D19/C19*100</f>
        <v>3.6448191042328584</v>
      </c>
      <c r="F19" s="170">
        <f>F22+F23+F21</f>
        <v>7954.6</v>
      </c>
      <c r="G19" s="170">
        <f>G22+G23+G21</f>
        <v>667</v>
      </c>
      <c r="H19" s="170">
        <f>G19/F19*100</f>
        <v>8.385085359414678</v>
      </c>
      <c r="I19" s="170">
        <f>I22+I23+I21</f>
        <v>20906.3</v>
      </c>
      <c r="J19" s="170">
        <f>SUM(J21:J23)</f>
        <v>1175.9</v>
      </c>
      <c r="K19" s="170">
        <f>J19/I19*100</f>
        <v>5.624620329757059</v>
      </c>
    </row>
    <row r="20" spans="1:11" ht="12.75" customHeight="1">
      <c r="A20" s="173"/>
      <c r="B20" s="174"/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1" ht="12.75" customHeight="1">
      <c r="A21" s="66" t="s">
        <v>88</v>
      </c>
      <c r="B21" s="62" t="s">
        <v>89</v>
      </c>
      <c r="C21" s="54">
        <v>6151.7</v>
      </c>
      <c r="D21" s="54">
        <v>552.8</v>
      </c>
      <c r="E21" s="54">
        <f aca="true" t="shared" si="5" ref="E21:E88">D21/C21*100</f>
        <v>8.986133914202577</v>
      </c>
      <c r="F21" s="63">
        <v>761</v>
      </c>
      <c r="G21" s="63">
        <v>21.8</v>
      </c>
      <c r="H21" s="63">
        <f>G21/F21*100</f>
        <v>2.864651773981603</v>
      </c>
      <c r="I21" s="64">
        <f>C21+F21-761</f>
        <v>6151.7</v>
      </c>
      <c r="J21" s="55">
        <f>D21+G21-60.1</f>
        <v>514.4999999999999</v>
      </c>
      <c r="K21" s="65">
        <f>J21/I21*100</f>
        <v>8.363541785197585</v>
      </c>
    </row>
    <row r="22" spans="1:11" ht="15">
      <c r="A22" s="61" t="s">
        <v>90</v>
      </c>
      <c r="B22" s="62" t="s">
        <v>91</v>
      </c>
      <c r="C22" s="54">
        <v>7460.4</v>
      </c>
      <c r="D22" s="54">
        <v>16.2</v>
      </c>
      <c r="E22" s="54">
        <f t="shared" si="5"/>
        <v>0.21714653369792505</v>
      </c>
      <c r="F22" s="63">
        <v>6928.5</v>
      </c>
      <c r="G22" s="63">
        <v>645.2</v>
      </c>
      <c r="H22" s="63">
        <f>G22/F22*100</f>
        <v>9.312260951143827</v>
      </c>
      <c r="I22" s="64">
        <f>C22+F22-1666.2</f>
        <v>12722.699999999999</v>
      </c>
      <c r="J22" s="55">
        <f>D22+G22</f>
        <v>661.4000000000001</v>
      </c>
      <c r="K22" s="65">
        <f>J22/I22*100</f>
        <v>5.1985820619837</v>
      </c>
    </row>
    <row r="23" spans="1:11" ht="30">
      <c r="A23" s="66" t="s">
        <v>92</v>
      </c>
      <c r="B23" s="62" t="s">
        <v>93</v>
      </c>
      <c r="C23" s="54">
        <v>1999.1</v>
      </c>
      <c r="D23" s="54"/>
      <c r="E23" s="54">
        <f t="shared" si="5"/>
        <v>0</v>
      </c>
      <c r="F23" s="63">
        <v>265.1</v>
      </c>
      <c r="G23" s="63"/>
      <c r="H23" s="63">
        <f>G23/F23*100</f>
        <v>0</v>
      </c>
      <c r="I23" s="64">
        <f>C23+F23-232.3</f>
        <v>2031.8999999999999</v>
      </c>
      <c r="J23" s="64">
        <f>D23+G23</f>
        <v>0</v>
      </c>
      <c r="K23" s="65">
        <f>J23/I23*100</f>
        <v>0</v>
      </c>
    </row>
    <row r="24" spans="1:11" ht="15">
      <c r="A24" s="56" t="s">
        <v>94</v>
      </c>
      <c r="B24" s="57" t="s">
        <v>95</v>
      </c>
      <c r="C24" s="58">
        <f>SUM(C25:C43)</f>
        <v>262424.1</v>
      </c>
      <c r="D24" s="58">
        <f>SUM(D25:D43)</f>
        <v>19704.399999999998</v>
      </c>
      <c r="E24" s="58">
        <f>D24/C24*100</f>
        <v>7.508609155942613</v>
      </c>
      <c r="F24" s="58">
        <f>SUM(F25:F43)</f>
        <v>93347.40000000001</v>
      </c>
      <c r="G24" s="58">
        <f>SUM(G25:G43)</f>
        <v>3541.5</v>
      </c>
      <c r="H24" s="59">
        <f>G24/F24*100</f>
        <v>3.7938924919172887</v>
      </c>
      <c r="I24" s="58">
        <f>SUM(I25:I43)</f>
        <v>330721.5</v>
      </c>
      <c r="J24" s="58">
        <f>SUM(J25:J43)</f>
        <v>21290.100000000002</v>
      </c>
      <c r="K24" s="60">
        <f t="shared" si="1"/>
        <v>6.4374708024727765</v>
      </c>
    </row>
    <row r="25" spans="1:11" ht="45">
      <c r="A25" s="66" t="s">
        <v>96</v>
      </c>
      <c r="B25" s="69" t="s">
        <v>97</v>
      </c>
      <c r="C25" s="54">
        <v>14209.9</v>
      </c>
      <c r="D25" s="54">
        <v>1979</v>
      </c>
      <c r="E25" s="54">
        <f t="shared" si="5"/>
        <v>13.926910111964194</v>
      </c>
      <c r="F25" s="54">
        <v>2718</v>
      </c>
      <c r="G25" s="63">
        <v>437</v>
      </c>
      <c r="H25" s="63">
        <f>G25/F25*100</f>
        <v>16.077998528329655</v>
      </c>
      <c r="I25" s="64">
        <f>C25+F25-1955.8</f>
        <v>14972.100000000002</v>
      </c>
      <c r="J25" s="64">
        <f>D25+G25-1955.8</f>
        <v>460.20000000000005</v>
      </c>
      <c r="K25" s="65">
        <f t="shared" si="1"/>
        <v>3.073717113831727</v>
      </c>
    </row>
    <row r="26" spans="1:11" ht="15">
      <c r="A26" s="61" t="s">
        <v>98</v>
      </c>
      <c r="B26" s="62" t="s">
        <v>99</v>
      </c>
      <c r="C26" s="54">
        <v>33035</v>
      </c>
      <c r="D26" s="54">
        <v>11828.2</v>
      </c>
      <c r="E26" s="54">
        <f t="shared" si="5"/>
        <v>35.805055244437725</v>
      </c>
      <c r="F26" s="63">
        <v>0</v>
      </c>
      <c r="G26" s="63">
        <v>0</v>
      </c>
      <c r="H26" s="63">
        <v>0</v>
      </c>
      <c r="I26" s="64">
        <f t="shared" si="0"/>
        <v>33035</v>
      </c>
      <c r="J26" s="55">
        <f t="shared" si="0"/>
        <v>11828.2</v>
      </c>
      <c r="K26" s="65">
        <f t="shared" si="1"/>
        <v>35.805055244437725</v>
      </c>
    </row>
    <row r="27" spans="1:11" ht="15">
      <c r="A27" s="61" t="s">
        <v>100</v>
      </c>
      <c r="B27" s="62" t="s">
        <v>101</v>
      </c>
      <c r="C27" s="54">
        <v>12150</v>
      </c>
      <c r="D27" s="54">
        <v>146.8</v>
      </c>
      <c r="E27" s="54">
        <f t="shared" si="5"/>
        <v>1.2082304526748973</v>
      </c>
      <c r="F27" s="63">
        <v>0</v>
      </c>
      <c r="G27" s="63">
        <v>0</v>
      </c>
      <c r="H27" s="63">
        <v>0</v>
      </c>
      <c r="I27" s="64">
        <f t="shared" si="0"/>
        <v>12150</v>
      </c>
      <c r="J27" s="55">
        <f t="shared" si="0"/>
        <v>146.8</v>
      </c>
      <c r="K27" s="65">
        <f t="shared" si="1"/>
        <v>1.2082304526748973</v>
      </c>
    </row>
    <row r="28" spans="1:11" ht="30">
      <c r="A28" s="61" t="s">
        <v>100</v>
      </c>
      <c r="B28" s="62" t="s">
        <v>102</v>
      </c>
      <c r="C28" s="54">
        <v>17096</v>
      </c>
      <c r="D28" s="54">
        <v>2745.6</v>
      </c>
      <c r="E28" s="54">
        <f t="shared" si="5"/>
        <v>16.059897051941974</v>
      </c>
      <c r="F28" s="63">
        <v>13487.4</v>
      </c>
      <c r="G28" s="63">
        <v>857.5</v>
      </c>
      <c r="H28" s="63">
        <f>G28/F28*100</f>
        <v>6.35778578525142</v>
      </c>
      <c r="I28" s="64">
        <f t="shared" si="0"/>
        <v>30583.4</v>
      </c>
      <c r="J28" s="55">
        <f t="shared" si="0"/>
        <v>3603.1</v>
      </c>
      <c r="K28" s="65">
        <f t="shared" si="1"/>
        <v>11.781227724844195</v>
      </c>
    </row>
    <row r="29" spans="1:11" ht="15">
      <c r="A29" s="61" t="s">
        <v>100</v>
      </c>
      <c r="B29" s="62" t="s">
        <v>103</v>
      </c>
      <c r="C29" s="54">
        <v>8931</v>
      </c>
      <c r="D29" s="54"/>
      <c r="E29" s="54">
        <f t="shared" si="5"/>
        <v>0</v>
      </c>
      <c r="F29" s="63">
        <v>0</v>
      </c>
      <c r="G29" s="63">
        <v>0</v>
      </c>
      <c r="H29" s="63">
        <v>0</v>
      </c>
      <c r="I29" s="64">
        <f t="shared" si="0"/>
        <v>8931</v>
      </c>
      <c r="J29" s="55">
        <f t="shared" si="0"/>
        <v>0</v>
      </c>
      <c r="K29" s="65">
        <f t="shared" si="1"/>
        <v>0</v>
      </c>
    </row>
    <row r="30" spans="1:11" ht="60">
      <c r="A30" s="61" t="s">
        <v>104</v>
      </c>
      <c r="B30" s="70" t="s">
        <v>105</v>
      </c>
      <c r="C30" s="54">
        <v>5583.2</v>
      </c>
      <c r="D30" s="54"/>
      <c r="E30" s="54">
        <f t="shared" si="5"/>
        <v>0</v>
      </c>
      <c r="F30" s="63">
        <v>556.3</v>
      </c>
      <c r="G30" s="63"/>
      <c r="H30" s="63">
        <f aca="true" t="shared" si="6" ref="H30:H36">G30/F30*100</f>
        <v>0</v>
      </c>
      <c r="I30" s="64">
        <f t="shared" si="0"/>
        <v>6139.5</v>
      </c>
      <c r="J30" s="55">
        <f t="shared" si="0"/>
        <v>0</v>
      </c>
      <c r="K30" s="65">
        <f t="shared" si="1"/>
        <v>0</v>
      </c>
    </row>
    <row r="31" spans="1:11" ht="60">
      <c r="A31" s="66" t="s">
        <v>104</v>
      </c>
      <c r="B31" s="70" t="s">
        <v>106</v>
      </c>
      <c r="C31" s="54">
        <v>104707.6</v>
      </c>
      <c r="D31" s="54"/>
      <c r="E31" s="54">
        <f t="shared" si="5"/>
        <v>0</v>
      </c>
      <c r="F31" s="63">
        <v>10552.3</v>
      </c>
      <c r="G31" s="63"/>
      <c r="H31" s="63">
        <f t="shared" si="6"/>
        <v>0</v>
      </c>
      <c r="I31" s="64">
        <f>C31+F31-10552.3</f>
        <v>104707.6</v>
      </c>
      <c r="J31" s="55">
        <f>D31+G31</f>
        <v>0</v>
      </c>
      <c r="K31" s="65">
        <f>J31/I31*100</f>
        <v>0</v>
      </c>
    </row>
    <row r="32" spans="1:11" ht="105">
      <c r="A32" s="66" t="s">
        <v>104</v>
      </c>
      <c r="B32" s="62" t="s">
        <v>107</v>
      </c>
      <c r="C32" s="54">
        <v>4000</v>
      </c>
      <c r="D32" s="54"/>
      <c r="E32" s="54">
        <f t="shared" si="5"/>
        <v>0</v>
      </c>
      <c r="F32" s="63">
        <v>4000</v>
      </c>
      <c r="G32" s="63"/>
      <c r="H32" s="63">
        <f t="shared" si="6"/>
        <v>0</v>
      </c>
      <c r="I32" s="64">
        <f>C32+F32-4000</f>
        <v>4000</v>
      </c>
      <c r="J32" s="55">
        <f>D32+G32</f>
        <v>0</v>
      </c>
      <c r="K32" s="65">
        <f>J32/I32*100</f>
        <v>0</v>
      </c>
    </row>
    <row r="33" spans="1:11" ht="45">
      <c r="A33" s="66" t="s">
        <v>104</v>
      </c>
      <c r="B33" s="62" t="s">
        <v>108</v>
      </c>
      <c r="C33" s="54">
        <v>9021.9</v>
      </c>
      <c r="D33" s="54">
        <v>354.1</v>
      </c>
      <c r="E33" s="54">
        <f t="shared" si="5"/>
        <v>3.92489386936233</v>
      </c>
      <c r="F33" s="63">
        <v>6706.9</v>
      </c>
      <c r="G33" s="63"/>
      <c r="H33" s="63">
        <f t="shared" si="6"/>
        <v>0</v>
      </c>
      <c r="I33" s="64">
        <f>C33+F33-6706.9</f>
        <v>9021.9</v>
      </c>
      <c r="J33" s="55">
        <f>D33+G33</f>
        <v>354.1</v>
      </c>
      <c r="K33" s="65">
        <f>J33/I33*100</f>
        <v>3.92489386936233</v>
      </c>
    </row>
    <row r="34" spans="1:11" ht="45">
      <c r="A34" s="66" t="s">
        <v>104</v>
      </c>
      <c r="B34" s="62" t="s">
        <v>109</v>
      </c>
      <c r="C34" s="54"/>
      <c r="D34" s="54"/>
      <c r="E34" s="54"/>
      <c r="F34" s="63">
        <v>49812.4</v>
      </c>
      <c r="G34" s="63">
        <v>1742.7</v>
      </c>
      <c r="H34" s="63">
        <f t="shared" si="6"/>
        <v>3.4985264713203943</v>
      </c>
      <c r="I34" s="64">
        <f>C34+F34</f>
        <v>49812.4</v>
      </c>
      <c r="J34" s="55">
        <f t="shared" si="0"/>
        <v>1742.7</v>
      </c>
      <c r="K34" s="65">
        <f t="shared" si="1"/>
        <v>3.4985264713203943</v>
      </c>
    </row>
    <row r="35" spans="1:11" ht="15">
      <c r="A35" s="61" t="s">
        <v>110</v>
      </c>
      <c r="B35" s="62" t="s">
        <v>111</v>
      </c>
      <c r="C35" s="54">
        <v>3881</v>
      </c>
      <c r="D35" s="54">
        <v>568.3</v>
      </c>
      <c r="E35" s="71">
        <f t="shared" si="5"/>
        <v>14.64313321308941</v>
      </c>
      <c r="F35" s="63">
        <v>3679.1</v>
      </c>
      <c r="G35" s="63">
        <v>489.3</v>
      </c>
      <c r="H35" s="72">
        <f t="shared" si="6"/>
        <v>13.299448234622599</v>
      </c>
      <c r="I35" s="64">
        <f t="shared" si="0"/>
        <v>7560.1</v>
      </c>
      <c r="J35" s="55">
        <f t="shared" si="0"/>
        <v>1057.6</v>
      </c>
      <c r="K35" s="65">
        <f t="shared" si="1"/>
        <v>13.989232946654143</v>
      </c>
    </row>
    <row r="36" spans="1:11" ht="60">
      <c r="A36" s="61" t="s">
        <v>112</v>
      </c>
      <c r="B36" s="70" t="s">
        <v>113</v>
      </c>
      <c r="C36" s="71">
        <v>3500</v>
      </c>
      <c r="D36" s="54"/>
      <c r="E36" s="71">
        <f t="shared" si="5"/>
        <v>0</v>
      </c>
      <c r="F36" s="63">
        <v>1235</v>
      </c>
      <c r="G36" s="63">
        <v>15</v>
      </c>
      <c r="H36" s="72">
        <f t="shared" si="6"/>
        <v>1.214574898785425</v>
      </c>
      <c r="I36" s="64">
        <f>C36+F36-1235</f>
        <v>3500</v>
      </c>
      <c r="J36" s="55">
        <f>D36+G36</f>
        <v>15</v>
      </c>
      <c r="K36" s="65">
        <f t="shared" si="1"/>
        <v>0.4285714285714286</v>
      </c>
    </row>
    <row r="37" spans="1:11" ht="75">
      <c r="A37" s="61" t="s">
        <v>112</v>
      </c>
      <c r="B37" s="70" t="s">
        <v>114</v>
      </c>
      <c r="C37" s="71">
        <v>4500</v>
      </c>
      <c r="D37" s="63"/>
      <c r="E37" s="71">
        <f t="shared" si="5"/>
        <v>0</v>
      </c>
      <c r="F37" s="63">
        <v>0</v>
      </c>
      <c r="G37" s="63">
        <v>0</v>
      </c>
      <c r="H37" s="72">
        <v>0</v>
      </c>
      <c r="I37" s="64">
        <f t="shared" si="0"/>
        <v>4500</v>
      </c>
      <c r="J37" s="55">
        <f t="shared" si="0"/>
        <v>0</v>
      </c>
      <c r="K37" s="65">
        <f t="shared" si="1"/>
        <v>0</v>
      </c>
    </row>
    <row r="38" spans="1:11" ht="135">
      <c r="A38" s="61" t="s">
        <v>112</v>
      </c>
      <c r="B38" s="70" t="s">
        <v>115</v>
      </c>
      <c r="C38" s="71">
        <v>17762.3</v>
      </c>
      <c r="D38" s="63">
        <v>1896.5</v>
      </c>
      <c r="E38" s="71">
        <f t="shared" si="5"/>
        <v>10.67710825737658</v>
      </c>
      <c r="F38" s="63"/>
      <c r="G38" s="63"/>
      <c r="H38" s="72"/>
      <c r="I38" s="64">
        <f t="shared" si="0"/>
        <v>17762.3</v>
      </c>
      <c r="J38" s="55">
        <f t="shared" si="0"/>
        <v>1896.5</v>
      </c>
      <c r="K38" s="65">
        <f t="shared" si="1"/>
        <v>10.67710825737658</v>
      </c>
    </row>
    <row r="39" spans="1:11" ht="75">
      <c r="A39" s="66" t="s">
        <v>112</v>
      </c>
      <c r="B39" s="70" t="s">
        <v>116</v>
      </c>
      <c r="C39" s="71">
        <f>17547.9+1463.8</f>
        <v>19011.7</v>
      </c>
      <c r="D39" s="63"/>
      <c r="E39" s="71">
        <f t="shared" si="5"/>
        <v>0</v>
      </c>
      <c r="F39" s="63"/>
      <c r="G39" s="63"/>
      <c r="H39" s="72"/>
      <c r="I39" s="64">
        <f t="shared" si="0"/>
        <v>19011.7</v>
      </c>
      <c r="J39" s="55">
        <f t="shared" si="0"/>
        <v>0</v>
      </c>
      <c r="K39" s="65">
        <f t="shared" si="1"/>
        <v>0</v>
      </c>
    </row>
    <row r="40" spans="1:11" ht="90">
      <c r="A40" s="66" t="s">
        <v>112</v>
      </c>
      <c r="B40" s="70" t="s">
        <v>117</v>
      </c>
      <c r="C40" s="71">
        <v>2800</v>
      </c>
      <c r="D40" s="63"/>
      <c r="E40" s="71">
        <f t="shared" si="5"/>
        <v>0</v>
      </c>
      <c r="F40" s="63"/>
      <c r="G40" s="63"/>
      <c r="H40" s="72"/>
      <c r="I40" s="64">
        <f t="shared" si="0"/>
        <v>2800</v>
      </c>
      <c r="J40" s="55">
        <f t="shared" si="0"/>
        <v>0</v>
      </c>
      <c r="K40" s="65">
        <f t="shared" si="1"/>
        <v>0</v>
      </c>
    </row>
    <row r="41" spans="1:11" ht="45">
      <c r="A41" s="66" t="s">
        <v>112</v>
      </c>
      <c r="B41" s="70" t="s">
        <v>118</v>
      </c>
      <c r="C41" s="71">
        <v>1604</v>
      </c>
      <c r="D41" s="63">
        <v>185.9</v>
      </c>
      <c r="E41" s="71">
        <f t="shared" si="5"/>
        <v>11.589775561097257</v>
      </c>
      <c r="F41" s="63">
        <v>0</v>
      </c>
      <c r="G41" s="63">
        <v>0</v>
      </c>
      <c r="H41" s="72">
        <v>0</v>
      </c>
      <c r="I41" s="64">
        <f t="shared" si="0"/>
        <v>1604</v>
      </c>
      <c r="J41" s="55">
        <f t="shared" si="0"/>
        <v>185.9</v>
      </c>
      <c r="K41" s="65">
        <f t="shared" si="1"/>
        <v>11.589775561097257</v>
      </c>
    </row>
    <row r="42" spans="1:11" ht="45">
      <c r="A42" s="66" t="s">
        <v>112</v>
      </c>
      <c r="B42" s="70" t="s">
        <v>119</v>
      </c>
      <c r="C42" s="71">
        <v>30.5</v>
      </c>
      <c r="D42" s="63"/>
      <c r="E42" s="71">
        <f t="shared" si="5"/>
        <v>0</v>
      </c>
      <c r="F42" s="63"/>
      <c r="G42" s="63"/>
      <c r="H42" s="72">
        <v>0</v>
      </c>
      <c r="I42" s="64">
        <f t="shared" si="0"/>
        <v>30.5</v>
      </c>
      <c r="J42" s="55">
        <f t="shared" si="0"/>
        <v>0</v>
      </c>
      <c r="K42" s="65">
        <f t="shared" si="1"/>
        <v>0</v>
      </c>
    </row>
    <row r="43" spans="1:11" ht="75">
      <c r="A43" s="66" t="s">
        <v>112</v>
      </c>
      <c r="B43" s="70" t="s">
        <v>120</v>
      </c>
      <c r="C43" s="71">
        <v>600</v>
      </c>
      <c r="D43" s="63"/>
      <c r="E43" s="71">
        <f t="shared" si="5"/>
        <v>0</v>
      </c>
      <c r="F43" s="63">
        <v>600</v>
      </c>
      <c r="G43" s="63"/>
      <c r="H43" s="72">
        <f>G43/F43*100</f>
        <v>0</v>
      </c>
      <c r="I43" s="64">
        <f>C43+F43-600</f>
        <v>600</v>
      </c>
      <c r="J43" s="55">
        <f>D43+G43</f>
        <v>0</v>
      </c>
      <c r="K43" s="114">
        <f t="shared" si="1"/>
        <v>0</v>
      </c>
    </row>
    <row r="44" spans="1:11" ht="14.25">
      <c r="A44" s="56" t="s">
        <v>121</v>
      </c>
      <c r="B44" s="57" t="s">
        <v>122</v>
      </c>
      <c r="C44" s="116">
        <f>SUM(C45:C64)</f>
        <v>170800.5</v>
      </c>
      <c r="D44" s="116">
        <f>SUM(D45:D64)</f>
        <v>14822.7</v>
      </c>
      <c r="E44" s="58">
        <f t="shared" si="5"/>
        <v>8.678370379477812</v>
      </c>
      <c r="F44" s="73">
        <f>SUM(F45:F64)</f>
        <v>112111.20000000001</v>
      </c>
      <c r="G44" s="73">
        <f>SUM(G45:G64)</f>
        <v>6749.5</v>
      </c>
      <c r="H44" s="73">
        <f>G44/F44*100</f>
        <v>6.0203619263731</v>
      </c>
      <c r="I44" s="116">
        <f>SUM(I45:I64)</f>
        <v>261793.40000000002</v>
      </c>
      <c r="J44" s="116">
        <f>SUM(J45:J64)</f>
        <v>21572.199999999997</v>
      </c>
      <c r="K44" s="60">
        <f t="shared" si="1"/>
        <v>8.240161898657488</v>
      </c>
    </row>
    <row r="45" spans="1:11" ht="105">
      <c r="A45" s="61" t="s">
        <v>123</v>
      </c>
      <c r="B45" s="62" t="s">
        <v>203</v>
      </c>
      <c r="C45" s="54">
        <f>41578+17527.3</f>
        <v>59105.3</v>
      </c>
      <c r="D45" s="54">
        <v>12388.5</v>
      </c>
      <c r="E45" s="71">
        <f t="shared" si="5"/>
        <v>20.960049268001345</v>
      </c>
      <c r="F45" s="63">
        <v>0</v>
      </c>
      <c r="G45" s="63">
        <v>0</v>
      </c>
      <c r="H45" s="63">
        <v>0</v>
      </c>
      <c r="I45" s="64">
        <f t="shared" si="0"/>
        <v>59105.3</v>
      </c>
      <c r="J45" s="55">
        <f t="shared" si="0"/>
        <v>12388.5</v>
      </c>
      <c r="K45" s="65">
        <f t="shared" si="1"/>
        <v>20.960049268001345</v>
      </c>
    </row>
    <row r="46" spans="1:11" ht="120">
      <c r="A46" s="61" t="s">
        <v>123</v>
      </c>
      <c r="B46" s="62" t="s">
        <v>124</v>
      </c>
      <c r="C46" s="54">
        <v>6493.8</v>
      </c>
      <c r="D46" s="54"/>
      <c r="E46" s="71">
        <f t="shared" si="5"/>
        <v>0</v>
      </c>
      <c r="F46" s="63"/>
      <c r="G46" s="63"/>
      <c r="H46" s="63">
        <v>0</v>
      </c>
      <c r="I46" s="64">
        <f t="shared" si="0"/>
        <v>6493.8</v>
      </c>
      <c r="J46" s="55">
        <f t="shared" si="0"/>
        <v>0</v>
      </c>
      <c r="K46" s="65">
        <f t="shared" si="1"/>
        <v>0</v>
      </c>
    </row>
    <row r="47" spans="1:11" ht="30">
      <c r="A47" s="66" t="s">
        <v>123</v>
      </c>
      <c r="B47" s="70" t="s">
        <v>235</v>
      </c>
      <c r="C47" s="54">
        <v>206.8</v>
      </c>
      <c r="D47" s="54"/>
      <c r="E47" s="71">
        <f t="shared" si="5"/>
        <v>0</v>
      </c>
      <c r="F47" s="63"/>
      <c r="G47" s="63"/>
      <c r="H47" s="63"/>
      <c r="I47" s="64">
        <f>C47+F47</f>
        <v>206.8</v>
      </c>
      <c r="J47" s="55">
        <f>D47+G47</f>
        <v>0</v>
      </c>
      <c r="K47" s="114">
        <f t="shared" si="1"/>
        <v>0</v>
      </c>
    </row>
    <row r="48" spans="1:11" ht="30">
      <c r="A48" s="66" t="s">
        <v>123</v>
      </c>
      <c r="B48" s="62" t="s">
        <v>126</v>
      </c>
      <c r="C48" s="54"/>
      <c r="D48" s="54"/>
      <c r="E48" s="71"/>
      <c r="F48" s="63">
        <v>33542.4</v>
      </c>
      <c r="G48" s="63">
        <v>1602.3</v>
      </c>
      <c r="H48" s="63">
        <f>G48/F48*100</f>
        <v>4.776939038351459</v>
      </c>
      <c r="I48" s="64">
        <f t="shared" si="0"/>
        <v>33542.4</v>
      </c>
      <c r="J48" s="55">
        <f t="shared" si="0"/>
        <v>1602.3</v>
      </c>
      <c r="K48" s="65">
        <f t="shared" si="1"/>
        <v>4.776939038351459</v>
      </c>
    </row>
    <row r="49" spans="1:11" ht="135">
      <c r="A49" s="61" t="s">
        <v>127</v>
      </c>
      <c r="B49" s="62" t="s">
        <v>128</v>
      </c>
      <c r="C49" s="54">
        <v>5040.1</v>
      </c>
      <c r="D49" s="54">
        <v>273.7</v>
      </c>
      <c r="E49" s="71">
        <f t="shared" si="5"/>
        <v>5.430447808575226</v>
      </c>
      <c r="F49" s="63"/>
      <c r="G49" s="63"/>
      <c r="H49" s="63"/>
      <c r="I49" s="64">
        <f t="shared" si="0"/>
        <v>5040.1</v>
      </c>
      <c r="J49" s="55">
        <f t="shared" si="0"/>
        <v>273.7</v>
      </c>
      <c r="K49" s="65">
        <f t="shared" si="1"/>
        <v>5.430447808575226</v>
      </c>
    </row>
    <row r="50" spans="1:11" ht="135">
      <c r="A50" s="61" t="s">
        <v>127</v>
      </c>
      <c r="B50" s="62" t="s">
        <v>129</v>
      </c>
      <c r="C50" s="54">
        <v>10114.6</v>
      </c>
      <c r="D50" s="74">
        <v>547.8</v>
      </c>
      <c r="E50" s="71">
        <f t="shared" si="5"/>
        <v>5.415933403199335</v>
      </c>
      <c r="F50" s="63"/>
      <c r="G50" s="63"/>
      <c r="H50" s="63"/>
      <c r="I50" s="64">
        <f t="shared" si="0"/>
        <v>10114.6</v>
      </c>
      <c r="J50" s="55">
        <f t="shared" si="0"/>
        <v>547.8</v>
      </c>
      <c r="K50" s="65">
        <f t="shared" si="1"/>
        <v>5.415933403199335</v>
      </c>
    </row>
    <row r="51" spans="1:11" ht="135">
      <c r="A51" s="66" t="s">
        <v>127</v>
      </c>
      <c r="B51" s="62" t="s">
        <v>130</v>
      </c>
      <c r="C51" s="71">
        <v>6250.4</v>
      </c>
      <c r="D51" s="74">
        <v>646.8</v>
      </c>
      <c r="E51" s="71">
        <f t="shared" si="5"/>
        <v>10.348137719185972</v>
      </c>
      <c r="F51" s="63"/>
      <c r="G51" s="63"/>
      <c r="H51" s="63"/>
      <c r="I51" s="64">
        <f t="shared" si="0"/>
        <v>6250.4</v>
      </c>
      <c r="J51" s="55">
        <f t="shared" si="0"/>
        <v>646.8</v>
      </c>
      <c r="K51" s="65">
        <f t="shared" si="1"/>
        <v>10.348137719185972</v>
      </c>
    </row>
    <row r="52" spans="1:11" ht="135">
      <c r="A52" s="66" t="s">
        <v>127</v>
      </c>
      <c r="B52" s="62" t="s">
        <v>131</v>
      </c>
      <c r="C52" s="54">
        <v>9375.6</v>
      </c>
      <c r="D52" s="74">
        <v>341.7</v>
      </c>
      <c r="E52" s="71">
        <f t="shared" si="5"/>
        <v>3.6445667477281454</v>
      </c>
      <c r="F52" s="63"/>
      <c r="G52" s="63"/>
      <c r="H52" s="63"/>
      <c r="I52" s="64">
        <f t="shared" si="0"/>
        <v>9375.6</v>
      </c>
      <c r="J52" s="55">
        <f t="shared" si="0"/>
        <v>341.7</v>
      </c>
      <c r="K52" s="65">
        <f t="shared" si="1"/>
        <v>3.6445667477281454</v>
      </c>
    </row>
    <row r="53" spans="1:11" ht="178.5">
      <c r="A53" s="61" t="s">
        <v>127</v>
      </c>
      <c r="B53" s="75" t="s">
        <v>132</v>
      </c>
      <c r="C53" s="54">
        <v>52209.6</v>
      </c>
      <c r="D53" s="74">
        <v>624.2</v>
      </c>
      <c r="E53" s="71">
        <f>D53/C53*100</f>
        <v>1.195565566485857</v>
      </c>
      <c r="F53" s="63"/>
      <c r="G53" s="63"/>
      <c r="H53" s="63"/>
      <c r="I53" s="64">
        <f>C53+F53</f>
        <v>52209.6</v>
      </c>
      <c r="J53" s="55">
        <f>D53+G53</f>
        <v>624.2</v>
      </c>
      <c r="K53" s="65">
        <f>J53/I53*100</f>
        <v>1.195565566485857</v>
      </c>
    </row>
    <row r="54" spans="1:11" ht="180">
      <c r="A54" s="66" t="s">
        <v>127</v>
      </c>
      <c r="B54" s="70" t="s">
        <v>133</v>
      </c>
      <c r="C54" s="54">
        <v>18193</v>
      </c>
      <c r="D54" s="74"/>
      <c r="E54" s="71">
        <f t="shared" si="5"/>
        <v>0</v>
      </c>
      <c r="F54" s="63">
        <f>18193+3299.5</f>
        <v>21492.5</v>
      </c>
      <c r="G54" s="63"/>
      <c r="H54" s="63">
        <f>G54/F54*100</f>
        <v>0</v>
      </c>
      <c r="I54" s="64">
        <f>C54+F54-18193</f>
        <v>21492.5</v>
      </c>
      <c r="J54" s="55">
        <f aca="true" t="shared" si="7" ref="I54:J64">D54+G54</f>
        <v>0</v>
      </c>
      <c r="K54" s="65">
        <f t="shared" si="1"/>
        <v>0</v>
      </c>
    </row>
    <row r="55" spans="1:11" ht="60">
      <c r="A55" s="66" t="s">
        <v>127</v>
      </c>
      <c r="B55" s="70" t="s">
        <v>236</v>
      </c>
      <c r="C55" s="54"/>
      <c r="D55" s="74"/>
      <c r="E55" s="71"/>
      <c r="F55" s="63">
        <v>1000</v>
      </c>
      <c r="G55" s="63"/>
      <c r="H55" s="63"/>
      <c r="I55" s="64">
        <f>C55+F55</f>
        <v>1000</v>
      </c>
      <c r="J55" s="55">
        <f t="shared" si="7"/>
        <v>0</v>
      </c>
      <c r="K55" s="65">
        <f t="shared" si="1"/>
        <v>0</v>
      </c>
    </row>
    <row r="56" spans="1:11" ht="45">
      <c r="A56" s="66" t="s">
        <v>127</v>
      </c>
      <c r="B56" s="70" t="s">
        <v>134</v>
      </c>
      <c r="C56" s="54"/>
      <c r="D56" s="74"/>
      <c r="E56" s="71" t="e">
        <f t="shared" si="5"/>
        <v>#DIV/0!</v>
      </c>
      <c r="F56" s="63"/>
      <c r="G56" s="63"/>
      <c r="H56" s="63"/>
      <c r="I56" s="64">
        <f>C56+F56</f>
        <v>0</v>
      </c>
      <c r="J56" s="55">
        <f t="shared" si="7"/>
        <v>0</v>
      </c>
      <c r="K56" s="65" t="e">
        <f t="shared" si="1"/>
        <v>#DIV/0!</v>
      </c>
    </row>
    <row r="57" spans="1:11" ht="75">
      <c r="A57" s="66" t="s">
        <v>127</v>
      </c>
      <c r="B57" s="70" t="s">
        <v>135</v>
      </c>
      <c r="C57" s="54"/>
      <c r="D57" s="74"/>
      <c r="E57" s="71"/>
      <c r="F57" s="63">
        <v>1500</v>
      </c>
      <c r="G57" s="63">
        <v>400</v>
      </c>
      <c r="H57" s="63">
        <f aca="true" t="shared" si="8" ref="H57:H63">G57/F57*100</f>
        <v>26.666666666666668</v>
      </c>
      <c r="I57" s="64">
        <f t="shared" si="0"/>
        <v>1500</v>
      </c>
      <c r="J57" s="55">
        <f t="shared" si="7"/>
        <v>400</v>
      </c>
      <c r="K57" s="114">
        <f t="shared" si="1"/>
        <v>26.666666666666668</v>
      </c>
    </row>
    <row r="58" spans="1:11" ht="15">
      <c r="A58" s="66" t="s">
        <v>127</v>
      </c>
      <c r="B58" s="70" t="s">
        <v>136</v>
      </c>
      <c r="C58" s="54"/>
      <c r="D58" s="74"/>
      <c r="E58" s="71"/>
      <c r="F58" s="63">
        <f>7058.1+31</f>
        <v>7089.1</v>
      </c>
      <c r="G58" s="63">
        <v>98.8</v>
      </c>
      <c r="H58" s="63">
        <f t="shared" si="8"/>
        <v>1.3936889026815815</v>
      </c>
      <c r="I58" s="64">
        <f t="shared" si="0"/>
        <v>7089.1</v>
      </c>
      <c r="J58" s="55">
        <f t="shared" si="7"/>
        <v>98.8</v>
      </c>
      <c r="K58" s="65">
        <f t="shared" si="1"/>
        <v>1.3936889026815815</v>
      </c>
    </row>
    <row r="59" spans="1:11" ht="60">
      <c r="A59" s="66" t="s">
        <v>127</v>
      </c>
      <c r="B59" s="70" t="s">
        <v>137</v>
      </c>
      <c r="C59" s="54">
        <v>859.1</v>
      </c>
      <c r="D59" s="74"/>
      <c r="E59" s="71">
        <f>D59/C59*100</f>
        <v>0</v>
      </c>
      <c r="F59" s="63"/>
      <c r="G59" s="63"/>
      <c r="H59" s="63"/>
      <c r="I59" s="64">
        <f>C59+F59</f>
        <v>859.1</v>
      </c>
      <c r="J59" s="55">
        <f t="shared" si="7"/>
        <v>0</v>
      </c>
      <c r="K59" s="65">
        <f t="shared" si="1"/>
        <v>0</v>
      </c>
    </row>
    <row r="60" spans="1:11" ht="45">
      <c r="A60" s="66" t="s">
        <v>138</v>
      </c>
      <c r="B60" s="70" t="s">
        <v>125</v>
      </c>
      <c r="C60" s="54"/>
      <c r="D60" s="74"/>
      <c r="E60" s="54" t="e">
        <f>D60/C60*100</f>
        <v>#DIV/0!</v>
      </c>
      <c r="F60" s="63"/>
      <c r="G60" s="63"/>
      <c r="H60" s="63" t="e">
        <f t="shared" si="8"/>
        <v>#DIV/0!</v>
      </c>
      <c r="I60" s="64">
        <f>C60+F60</f>
        <v>0</v>
      </c>
      <c r="J60" s="55">
        <f t="shared" si="7"/>
        <v>0</v>
      </c>
      <c r="K60" s="115" t="e">
        <f t="shared" si="1"/>
        <v>#DIV/0!</v>
      </c>
    </row>
    <row r="61" spans="1:11" ht="75">
      <c r="A61" s="66" t="s">
        <v>138</v>
      </c>
      <c r="B61" s="62" t="s">
        <v>139</v>
      </c>
      <c r="C61" s="54">
        <v>400</v>
      </c>
      <c r="D61" s="54"/>
      <c r="E61" s="54">
        <f t="shared" si="5"/>
        <v>0</v>
      </c>
      <c r="F61" s="54">
        <v>400</v>
      </c>
      <c r="G61" s="63"/>
      <c r="H61" s="63">
        <f t="shared" si="8"/>
        <v>0</v>
      </c>
      <c r="I61" s="64">
        <f>C61+F61-400</f>
        <v>400</v>
      </c>
      <c r="J61" s="55">
        <f t="shared" si="7"/>
        <v>0</v>
      </c>
      <c r="K61" s="65">
        <f t="shared" si="1"/>
        <v>0</v>
      </c>
    </row>
    <row r="62" spans="1:11" ht="75">
      <c r="A62" s="66" t="s">
        <v>138</v>
      </c>
      <c r="B62" s="62" t="s">
        <v>140</v>
      </c>
      <c r="C62" s="54">
        <f>2500+25.3</f>
        <v>2525.3</v>
      </c>
      <c r="D62" s="54"/>
      <c r="E62" s="54">
        <v>0</v>
      </c>
      <c r="F62" s="54">
        <f>2800+25.3+3</f>
        <v>2828.3</v>
      </c>
      <c r="G62" s="63"/>
      <c r="H62" s="63">
        <f t="shared" si="8"/>
        <v>0</v>
      </c>
      <c r="I62" s="64">
        <f>C62+F62-2525.3</f>
        <v>2828.3</v>
      </c>
      <c r="J62" s="55">
        <f t="shared" si="7"/>
        <v>0</v>
      </c>
      <c r="K62" s="65">
        <f t="shared" si="1"/>
        <v>0</v>
      </c>
    </row>
    <row r="63" spans="1:11" ht="15">
      <c r="A63" s="61" t="s">
        <v>138</v>
      </c>
      <c r="B63" s="62" t="s">
        <v>141</v>
      </c>
      <c r="C63" s="54">
        <v>0</v>
      </c>
      <c r="D63" s="54"/>
      <c r="E63" s="71">
        <v>0</v>
      </c>
      <c r="F63" s="71">
        <v>44258.9</v>
      </c>
      <c r="G63" s="63">
        <v>4648.4</v>
      </c>
      <c r="H63" s="63">
        <f t="shared" si="8"/>
        <v>10.5027463402841</v>
      </c>
      <c r="I63" s="64">
        <f t="shared" si="7"/>
        <v>44258.9</v>
      </c>
      <c r="J63" s="55">
        <f t="shared" si="7"/>
        <v>4648.4</v>
      </c>
      <c r="K63" s="65">
        <f t="shared" si="1"/>
        <v>10.5027463402841</v>
      </c>
    </row>
    <row r="64" spans="1:11" ht="30">
      <c r="A64" s="66" t="s">
        <v>142</v>
      </c>
      <c r="B64" s="62" t="s">
        <v>143</v>
      </c>
      <c r="C64" s="54">
        <v>26.9</v>
      </c>
      <c r="D64" s="54"/>
      <c r="E64" s="54">
        <f>D64/C64*100</f>
        <v>0</v>
      </c>
      <c r="F64" s="54">
        <v>0</v>
      </c>
      <c r="G64" s="63">
        <v>0</v>
      </c>
      <c r="H64" s="63">
        <v>0</v>
      </c>
      <c r="I64" s="64">
        <f t="shared" si="7"/>
        <v>26.9</v>
      </c>
      <c r="J64" s="55">
        <f t="shared" si="7"/>
        <v>0</v>
      </c>
      <c r="K64" s="114">
        <f t="shared" si="1"/>
        <v>0</v>
      </c>
    </row>
    <row r="65" spans="1:11" ht="15">
      <c r="A65" s="76" t="s">
        <v>144</v>
      </c>
      <c r="B65" s="77" t="s">
        <v>145</v>
      </c>
      <c r="C65" s="73">
        <f aca="true" t="shared" si="9" ref="C65:H65">C66</f>
        <v>36.1</v>
      </c>
      <c r="D65" s="73">
        <f t="shared" si="9"/>
        <v>0</v>
      </c>
      <c r="E65" s="58">
        <v>0</v>
      </c>
      <c r="F65" s="73">
        <f t="shared" si="9"/>
        <v>0</v>
      </c>
      <c r="G65" s="73">
        <f t="shared" si="9"/>
        <v>0</v>
      </c>
      <c r="H65" s="59">
        <f t="shared" si="9"/>
        <v>0</v>
      </c>
      <c r="I65" s="73">
        <f t="shared" si="0"/>
        <v>36.1</v>
      </c>
      <c r="J65" s="73">
        <f t="shared" si="0"/>
        <v>0</v>
      </c>
      <c r="K65" s="60">
        <v>0</v>
      </c>
    </row>
    <row r="66" spans="1:11" ht="30">
      <c r="A66" s="66" t="s">
        <v>237</v>
      </c>
      <c r="B66" s="78" t="s">
        <v>238</v>
      </c>
      <c r="C66" s="72">
        <v>36.1</v>
      </c>
      <c r="D66" s="63">
        <v>0</v>
      </c>
      <c r="E66" s="54">
        <v>0</v>
      </c>
      <c r="F66" s="63">
        <v>0</v>
      </c>
      <c r="G66" s="63">
        <v>0</v>
      </c>
      <c r="H66" s="63">
        <v>0</v>
      </c>
      <c r="I66" s="64">
        <f t="shared" si="0"/>
        <v>36.1</v>
      </c>
      <c r="J66" s="55">
        <f t="shared" si="0"/>
        <v>0</v>
      </c>
      <c r="K66" s="65">
        <v>0</v>
      </c>
    </row>
    <row r="67" spans="1:11" ht="15">
      <c r="A67" s="56" t="s">
        <v>146</v>
      </c>
      <c r="B67" s="57" t="s">
        <v>147</v>
      </c>
      <c r="C67" s="58">
        <f>SUM(C68:C75)</f>
        <v>2039747.2</v>
      </c>
      <c r="D67" s="58">
        <f>SUM(D68:D75)</f>
        <v>199923.9</v>
      </c>
      <c r="E67" s="58">
        <f>D67/C67*100</f>
        <v>9.801405782049855</v>
      </c>
      <c r="F67" s="73">
        <f>F68+F70+F71+F74+F75</f>
        <v>0</v>
      </c>
      <c r="G67" s="73">
        <f>SUM(G68:G75)</f>
        <v>0</v>
      </c>
      <c r="H67" s="59">
        <v>0</v>
      </c>
      <c r="I67" s="58">
        <f>SUM(I68:I75)</f>
        <v>2039747.2</v>
      </c>
      <c r="J67" s="58">
        <f>SUM(J68:J75)</f>
        <v>199923.9</v>
      </c>
      <c r="K67" s="60">
        <f t="shared" si="1"/>
        <v>9.801405782049855</v>
      </c>
    </row>
    <row r="68" spans="1:11" ht="15">
      <c r="A68" s="61" t="s">
        <v>148</v>
      </c>
      <c r="B68" s="62" t="s">
        <v>149</v>
      </c>
      <c r="C68" s="54">
        <f>495703.8-C69</f>
        <v>348594.1</v>
      </c>
      <c r="D68" s="54">
        <v>55710.7</v>
      </c>
      <c r="E68" s="54">
        <f t="shared" si="5"/>
        <v>15.981538413874475</v>
      </c>
      <c r="F68" s="63">
        <v>0</v>
      </c>
      <c r="G68" s="63">
        <v>0</v>
      </c>
      <c r="H68" s="63">
        <v>0</v>
      </c>
      <c r="I68" s="64">
        <f t="shared" si="0"/>
        <v>348594.1</v>
      </c>
      <c r="J68" s="55">
        <f t="shared" si="0"/>
        <v>55710.7</v>
      </c>
      <c r="K68" s="65">
        <f t="shared" si="1"/>
        <v>15.981538413874475</v>
      </c>
    </row>
    <row r="69" spans="1:11" ht="120">
      <c r="A69" s="61" t="s">
        <v>148</v>
      </c>
      <c r="B69" s="62" t="s">
        <v>150</v>
      </c>
      <c r="C69" s="54">
        <f>131144.8+15964.9</f>
        <v>147109.69999999998</v>
      </c>
      <c r="D69" s="54"/>
      <c r="E69" s="54">
        <f t="shared" si="5"/>
        <v>0</v>
      </c>
      <c r="F69" s="63"/>
      <c r="G69" s="63"/>
      <c r="H69" s="63"/>
      <c r="I69" s="64">
        <f t="shared" si="0"/>
        <v>147109.69999999998</v>
      </c>
      <c r="J69" s="55">
        <f t="shared" si="0"/>
        <v>0</v>
      </c>
      <c r="K69" s="65">
        <f t="shared" si="1"/>
        <v>0</v>
      </c>
    </row>
    <row r="70" spans="1:11" ht="15">
      <c r="A70" s="61" t="s">
        <v>151</v>
      </c>
      <c r="B70" s="62" t="s">
        <v>152</v>
      </c>
      <c r="C70" s="54">
        <f>1272821.5-C71-C72</f>
        <v>1014059</v>
      </c>
      <c r="D70" s="54">
        <f>108869.4-D71-D72</f>
        <v>103503.9</v>
      </c>
      <c r="E70" s="54">
        <f t="shared" si="5"/>
        <v>10.20689131500238</v>
      </c>
      <c r="F70" s="63">
        <v>0</v>
      </c>
      <c r="G70" s="63">
        <v>0</v>
      </c>
      <c r="H70" s="63">
        <v>0</v>
      </c>
      <c r="I70" s="64">
        <f t="shared" si="0"/>
        <v>1014059</v>
      </c>
      <c r="J70" s="55">
        <f t="shared" si="0"/>
        <v>103503.9</v>
      </c>
      <c r="K70" s="65">
        <f t="shared" si="1"/>
        <v>10.20689131500238</v>
      </c>
    </row>
    <row r="71" spans="1:11" ht="15">
      <c r="A71" s="61" t="s">
        <v>151</v>
      </c>
      <c r="B71" s="62" t="s">
        <v>153</v>
      </c>
      <c r="C71" s="54">
        <f>24656+24196.5</f>
        <v>48852.5</v>
      </c>
      <c r="D71" s="54">
        <v>3329.9</v>
      </c>
      <c r="E71" s="54">
        <f t="shared" si="5"/>
        <v>6.816232536717671</v>
      </c>
      <c r="F71" s="63">
        <v>0</v>
      </c>
      <c r="G71" s="63">
        <v>0</v>
      </c>
      <c r="H71" s="63">
        <v>0</v>
      </c>
      <c r="I71" s="64">
        <f t="shared" si="0"/>
        <v>48852.5</v>
      </c>
      <c r="J71" s="55">
        <f t="shared" si="0"/>
        <v>3329.9</v>
      </c>
      <c r="K71" s="65">
        <f t="shared" si="1"/>
        <v>6.816232536717671</v>
      </c>
    </row>
    <row r="72" spans="1:11" ht="120">
      <c r="A72" s="61" t="s">
        <v>151</v>
      </c>
      <c r="B72" s="62" t="s">
        <v>154</v>
      </c>
      <c r="C72" s="54">
        <f>188263.6+21646.4</f>
        <v>209910</v>
      </c>
      <c r="D72" s="54">
        <v>2035.6</v>
      </c>
      <c r="E72" s="54">
        <f t="shared" si="5"/>
        <v>0.9697489400219141</v>
      </c>
      <c r="F72" s="63">
        <v>0</v>
      </c>
      <c r="G72" s="63">
        <v>0</v>
      </c>
      <c r="H72" s="63">
        <v>0</v>
      </c>
      <c r="I72" s="64">
        <f t="shared" si="0"/>
        <v>209910</v>
      </c>
      <c r="J72" s="55">
        <f t="shared" si="0"/>
        <v>2035.6</v>
      </c>
      <c r="K72" s="65">
        <f t="shared" si="1"/>
        <v>0.9697489400219141</v>
      </c>
    </row>
    <row r="73" spans="1:11" ht="15">
      <c r="A73" s="61" t="s">
        <v>239</v>
      </c>
      <c r="B73" s="62" t="s">
        <v>240</v>
      </c>
      <c r="C73" s="54">
        <v>181516.1</v>
      </c>
      <c r="D73" s="54">
        <v>29327.1</v>
      </c>
      <c r="E73" s="54">
        <f t="shared" si="5"/>
        <v>16.15674863001133</v>
      </c>
      <c r="F73" s="63"/>
      <c r="G73" s="63"/>
      <c r="H73" s="63"/>
      <c r="I73" s="64">
        <f t="shared" si="0"/>
        <v>181516.1</v>
      </c>
      <c r="J73" s="55">
        <f t="shared" si="0"/>
        <v>29327.1</v>
      </c>
      <c r="K73" s="65">
        <f t="shared" si="1"/>
        <v>16.15674863001133</v>
      </c>
    </row>
    <row r="74" spans="1:11" ht="15">
      <c r="A74" s="61" t="s">
        <v>155</v>
      </c>
      <c r="B74" s="62" t="s">
        <v>156</v>
      </c>
      <c r="C74" s="54">
        <v>21158.5</v>
      </c>
      <c r="D74" s="54">
        <v>56.2</v>
      </c>
      <c r="E74" s="54">
        <f t="shared" si="5"/>
        <v>0.265614292128459</v>
      </c>
      <c r="F74" s="63">
        <v>0</v>
      </c>
      <c r="G74" s="63">
        <v>0</v>
      </c>
      <c r="H74" s="63">
        <v>0</v>
      </c>
      <c r="I74" s="64">
        <f t="shared" si="0"/>
        <v>21158.5</v>
      </c>
      <c r="J74" s="55">
        <f t="shared" si="0"/>
        <v>56.2</v>
      </c>
      <c r="K74" s="65">
        <f t="shared" si="1"/>
        <v>0.265614292128459</v>
      </c>
    </row>
    <row r="75" spans="1:11" ht="15">
      <c r="A75" s="61" t="s">
        <v>157</v>
      </c>
      <c r="B75" s="62" t="s">
        <v>158</v>
      </c>
      <c r="C75" s="54">
        <v>68547.3</v>
      </c>
      <c r="D75" s="54">
        <v>5960.5</v>
      </c>
      <c r="E75" s="54">
        <f t="shared" si="5"/>
        <v>8.695455546753847</v>
      </c>
      <c r="F75" s="63">
        <v>0</v>
      </c>
      <c r="G75" s="63">
        <v>0</v>
      </c>
      <c r="H75" s="63">
        <v>0</v>
      </c>
      <c r="I75" s="64">
        <f t="shared" si="0"/>
        <v>68547.3</v>
      </c>
      <c r="J75" s="55">
        <f t="shared" si="0"/>
        <v>5960.5</v>
      </c>
      <c r="K75" s="65">
        <f t="shared" si="1"/>
        <v>8.695455546753847</v>
      </c>
    </row>
    <row r="76" spans="1:11" ht="15">
      <c r="A76" s="56" t="s">
        <v>159</v>
      </c>
      <c r="B76" s="57" t="s">
        <v>204</v>
      </c>
      <c r="C76" s="58">
        <f>SUM(C77:C81)</f>
        <v>83817.5</v>
      </c>
      <c r="D76" s="58">
        <f>SUM(D77:D81)</f>
        <v>5333.200000000001</v>
      </c>
      <c r="E76" s="58">
        <f>D76/C76*100</f>
        <v>6.3628717153339105</v>
      </c>
      <c r="F76" s="73">
        <f>SUM(F77:F81)</f>
        <v>100167.3</v>
      </c>
      <c r="G76" s="73">
        <f>SUM(G77:G81)</f>
        <v>11145.199999999999</v>
      </c>
      <c r="H76" s="59">
        <f>G76/F76*100</f>
        <v>11.126585222922051</v>
      </c>
      <c r="I76" s="73">
        <f>SUM(I77:I81)</f>
        <v>183577.20000000004</v>
      </c>
      <c r="J76" s="73">
        <f>SUM(J77:J81)</f>
        <v>16478.399999999998</v>
      </c>
      <c r="K76" s="60">
        <f t="shared" si="1"/>
        <v>8.976278099894754</v>
      </c>
    </row>
    <row r="77" spans="1:11" ht="15">
      <c r="A77" s="61" t="s">
        <v>160</v>
      </c>
      <c r="B77" s="62" t="s">
        <v>161</v>
      </c>
      <c r="C77" s="54">
        <f>72578.3-C79-C78</f>
        <v>53556.80000000001</v>
      </c>
      <c r="D77" s="54">
        <v>4077.3</v>
      </c>
      <c r="E77" s="54">
        <f t="shared" si="5"/>
        <v>7.6130388671466545</v>
      </c>
      <c r="F77" s="63">
        <f>99685.3-F79</f>
        <v>99337.5</v>
      </c>
      <c r="G77" s="63">
        <v>11109.3</v>
      </c>
      <c r="H77" s="63">
        <f>G77/F77*100</f>
        <v>11.183389958474896</v>
      </c>
      <c r="I77" s="64">
        <f>C77+F77</f>
        <v>152894.30000000002</v>
      </c>
      <c r="J77" s="55">
        <f>D77+G77</f>
        <v>15186.599999999999</v>
      </c>
      <c r="K77" s="65">
        <f t="shared" si="1"/>
        <v>9.932744386154354</v>
      </c>
    </row>
    <row r="78" spans="1:11" ht="90">
      <c r="A78" s="61" t="s">
        <v>160</v>
      </c>
      <c r="B78" s="80" t="s">
        <v>162</v>
      </c>
      <c r="C78" s="54">
        <v>17781.1</v>
      </c>
      <c r="D78" s="54"/>
      <c r="E78" s="54"/>
      <c r="F78" s="63"/>
      <c r="G78" s="63"/>
      <c r="H78" s="63"/>
      <c r="I78" s="64">
        <f>C78+F78</f>
        <v>17781.1</v>
      </c>
      <c r="J78" s="55">
        <f>D78+G78</f>
        <v>0</v>
      </c>
      <c r="K78" s="65">
        <f t="shared" si="1"/>
        <v>0</v>
      </c>
    </row>
    <row r="79" spans="1:11" ht="30">
      <c r="A79" s="79" t="s">
        <v>160</v>
      </c>
      <c r="B79" s="80" t="s">
        <v>241</v>
      </c>
      <c r="C79" s="54">
        <f>1044.1+196.3</f>
        <v>1240.3999999999999</v>
      </c>
      <c r="D79" s="54"/>
      <c r="E79" s="54">
        <f t="shared" si="5"/>
        <v>0</v>
      </c>
      <c r="F79" s="63">
        <f>299+48.8</f>
        <v>347.8</v>
      </c>
      <c r="G79" s="63"/>
      <c r="H79" s="63">
        <f>G79/F79*100</f>
        <v>0</v>
      </c>
      <c r="I79" s="64">
        <f>C79+F79-407.6</f>
        <v>1180.6</v>
      </c>
      <c r="J79" s="55">
        <f>D79+G79</f>
        <v>0</v>
      </c>
      <c r="K79" s="65">
        <f>J79/I79*100</f>
        <v>0</v>
      </c>
    </row>
    <row r="80" spans="1:11" ht="15">
      <c r="A80" s="61" t="s">
        <v>163</v>
      </c>
      <c r="B80" s="62" t="s">
        <v>164</v>
      </c>
      <c r="C80" s="54">
        <v>180</v>
      </c>
      <c r="D80" s="54">
        <v>22</v>
      </c>
      <c r="E80" s="54">
        <f t="shared" si="5"/>
        <v>12.222222222222221</v>
      </c>
      <c r="F80" s="63">
        <v>482</v>
      </c>
      <c r="G80" s="63">
        <v>35.9</v>
      </c>
      <c r="H80" s="63">
        <f>G80/F80*100</f>
        <v>7.448132780082988</v>
      </c>
      <c r="I80" s="64">
        <f aca="true" t="shared" si="10" ref="I80:J89">C80+F80</f>
        <v>662</v>
      </c>
      <c r="J80" s="55">
        <f t="shared" si="10"/>
        <v>57.9</v>
      </c>
      <c r="K80" s="65">
        <f aca="true" t="shared" si="11" ref="K80:K103">J80/I80*100</f>
        <v>8.746223564954683</v>
      </c>
    </row>
    <row r="81" spans="1:11" ht="30">
      <c r="A81" s="61" t="s">
        <v>165</v>
      </c>
      <c r="B81" s="62" t="s">
        <v>166</v>
      </c>
      <c r="C81" s="54">
        <v>11059.2</v>
      </c>
      <c r="D81" s="54">
        <v>1233.9</v>
      </c>
      <c r="E81" s="54">
        <f t="shared" si="5"/>
        <v>11.1572265625</v>
      </c>
      <c r="F81" s="63"/>
      <c r="G81" s="63"/>
      <c r="H81" s="63"/>
      <c r="I81" s="64">
        <f>C81+F81</f>
        <v>11059.2</v>
      </c>
      <c r="J81" s="55">
        <f>D81+G81</f>
        <v>1233.9</v>
      </c>
      <c r="K81" s="65">
        <f t="shared" si="11"/>
        <v>11.1572265625</v>
      </c>
    </row>
    <row r="82" spans="1:11" ht="15">
      <c r="A82" s="56" t="s">
        <v>167</v>
      </c>
      <c r="B82" s="57" t="s">
        <v>168</v>
      </c>
      <c r="C82" s="58">
        <f>C83</f>
        <v>76471.8</v>
      </c>
      <c r="D82" s="58">
        <f>D83</f>
        <v>6346.5</v>
      </c>
      <c r="E82" s="58">
        <f>D82/C82*100</f>
        <v>8.299137721356107</v>
      </c>
      <c r="F82" s="73">
        <v>0</v>
      </c>
      <c r="G82" s="73">
        <v>0</v>
      </c>
      <c r="H82" s="59"/>
      <c r="I82" s="73">
        <f>C82+F82</f>
        <v>76471.8</v>
      </c>
      <c r="J82" s="73">
        <f t="shared" si="10"/>
        <v>6346.5</v>
      </c>
      <c r="K82" s="60">
        <f t="shared" si="11"/>
        <v>8.299137721356107</v>
      </c>
    </row>
    <row r="83" spans="1:11" ht="45">
      <c r="A83" s="66" t="s">
        <v>169</v>
      </c>
      <c r="B83" s="80" t="s">
        <v>170</v>
      </c>
      <c r="C83" s="54">
        <v>76471.8</v>
      </c>
      <c r="D83" s="63">
        <v>6346.5</v>
      </c>
      <c r="E83" s="54">
        <f t="shared" si="5"/>
        <v>8.299137721356107</v>
      </c>
      <c r="F83" s="63">
        <v>0</v>
      </c>
      <c r="G83" s="63">
        <v>0</v>
      </c>
      <c r="H83" s="63">
        <v>0</v>
      </c>
      <c r="I83" s="64">
        <f t="shared" si="10"/>
        <v>76471.8</v>
      </c>
      <c r="J83" s="55">
        <f t="shared" si="10"/>
        <v>6346.5</v>
      </c>
      <c r="K83" s="65">
        <f t="shared" si="11"/>
        <v>8.299137721356107</v>
      </c>
    </row>
    <row r="84" spans="1:11" ht="15">
      <c r="A84" s="56">
        <v>10</v>
      </c>
      <c r="B84" s="57" t="s">
        <v>171</v>
      </c>
      <c r="C84" s="58">
        <f>SUM(C85:C91)</f>
        <v>144466.80000000002</v>
      </c>
      <c r="D84" s="58">
        <f>SUM(D85:D91)</f>
        <v>13347.7</v>
      </c>
      <c r="E84" s="58">
        <f>D84/C84*100</f>
        <v>9.23928542751691</v>
      </c>
      <c r="F84" s="58">
        <f>SUM(F85:F89)</f>
        <v>432.9</v>
      </c>
      <c r="G84" s="58">
        <f>SUM(G85:G89)</f>
        <v>50</v>
      </c>
      <c r="H84" s="59">
        <f>G84/F84*100</f>
        <v>11.55001155001155</v>
      </c>
      <c r="I84" s="58">
        <f>SUM(I85:I91)</f>
        <v>144899.7</v>
      </c>
      <c r="J84" s="58">
        <f>SUM(J85:J91)</f>
        <v>13397.7</v>
      </c>
      <c r="K84" s="60">
        <f t="shared" si="11"/>
        <v>9.246188915505</v>
      </c>
    </row>
    <row r="85" spans="1:11" ht="15">
      <c r="A85" s="66">
        <v>1001</v>
      </c>
      <c r="B85" s="62" t="s">
        <v>172</v>
      </c>
      <c r="C85" s="54">
        <v>3626</v>
      </c>
      <c r="D85" s="54">
        <v>639.9</v>
      </c>
      <c r="E85" s="54">
        <f t="shared" si="5"/>
        <v>17.64754550468836</v>
      </c>
      <c r="F85" s="63">
        <v>432.9</v>
      </c>
      <c r="G85" s="63">
        <v>50</v>
      </c>
      <c r="H85" s="63">
        <f>G85/F85*100</f>
        <v>11.55001155001155</v>
      </c>
      <c r="I85" s="64">
        <f t="shared" si="10"/>
        <v>4058.9</v>
      </c>
      <c r="J85" s="55">
        <f t="shared" si="10"/>
        <v>689.9</v>
      </c>
      <c r="K85" s="65">
        <f t="shared" si="11"/>
        <v>16.997215994481262</v>
      </c>
    </row>
    <row r="86" spans="1:11" ht="75">
      <c r="A86" s="66">
        <v>1003</v>
      </c>
      <c r="B86" s="62" t="s">
        <v>173</v>
      </c>
      <c r="C86" s="54">
        <v>2279</v>
      </c>
      <c r="D86" s="54"/>
      <c r="E86" s="54">
        <f t="shared" si="5"/>
        <v>0</v>
      </c>
      <c r="F86" s="63">
        <v>0</v>
      </c>
      <c r="G86" s="63">
        <v>0</v>
      </c>
      <c r="H86" s="63">
        <v>0</v>
      </c>
      <c r="I86" s="64">
        <f t="shared" si="10"/>
        <v>2279</v>
      </c>
      <c r="J86" s="55">
        <f t="shared" si="10"/>
        <v>0</v>
      </c>
      <c r="K86" s="114">
        <f t="shared" si="11"/>
        <v>0</v>
      </c>
    </row>
    <row r="87" spans="1:11" ht="180">
      <c r="A87" s="66" t="s">
        <v>174</v>
      </c>
      <c r="B87" s="62" t="s">
        <v>175</v>
      </c>
      <c r="C87" s="54">
        <f>2115.5+133</f>
        <v>2248.5</v>
      </c>
      <c r="D87" s="54"/>
      <c r="E87" s="54">
        <f t="shared" si="5"/>
        <v>0</v>
      </c>
      <c r="F87" s="63"/>
      <c r="G87" s="63"/>
      <c r="H87" s="63"/>
      <c r="I87" s="64">
        <f t="shared" si="10"/>
        <v>2248.5</v>
      </c>
      <c r="J87" s="55">
        <f t="shared" si="10"/>
        <v>0</v>
      </c>
      <c r="K87" s="65">
        <f t="shared" si="11"/>
        <v>0</v>
      </c>
    </row>
    <row r="88" spans="1:11" ht="75">
      <c r="A88" s="66">
        <v>1004</v>
      </c>
      <c r="B88" s="62" t="s">
        <v>176</v>
      </c>
      <c r="C88" s="54">
        <v>24664</v>
      </c>
      <c r="D88" s="54">
        <v>2082.2</v>
      </c>
      <c r="E88" s="54">
        <f t="shared" si="5"/>
        <v>8.442264028543626</v>
      </c>
      <c r="F88" s="63">
        <v>0</v>
      </c>
      <c r="G88" s="63">
        <v>0</v>
      </c>
      <c r="H88" s="63">
        <v>0</v>
      </c>
      <c r="I88" s="64">
        <f t="shared" si="10"/>
        <v>24664</v>
      </c>
      <c r="J88" s="55">
        <f t="shared" si="10"/>
        <v>2082.2</v>
      </c>
      <c r="K88" s="65">
        <f t="shared" si="11"/>
        <v>8.442264028543626</v>
      </c>
    </row>
    <row r="89" spans="1:11" ht="165">
      <c r="A89" s="66">
        <v>1004</v>
      </c>
      <c r="B89" s="62" t="s">
        <v>177</v>
      </c>
      <c r="C89" s="54">
        <v>71888.3</v>
      </c>
      <c r="D89" s="54">
        <v>9100.5</v>
      </c>
      <c r="E89" s="54">
        <f aca="true" t="shared" si="12" ref="E89:E102">D89/C89*100</f>
        <v>12.65922271078882</v>
      </c>
      <c r="F89" s="63">
        <v>0</v>
      </c>
      <c r="G89" s="63">
        <v>0</v>
      </c>
      <c r="H89" s="63">
        <v>0</v>
      </c>
      <c r="I89" s="64">
        <f t="shared" si="10"/>
        <v>71888.3</v>
      </c>
      <c r="J89" s="55">
        <f t="shared" si="10"/>
        <v>9100.5</v>
      </c>
      <c r="K89" s="65">
        <f t="shared" si="11"/>
        <v>12.65922271078882</v>
      </c>
    </row>
    <row r="90" spans="1:11" ht="150">
      <c r="A90" s="66" t="s">
        <v>178</v>
      </c>
      <c r="B90" s="62" t="s">
        <v>179</v>
      </c>
      <c r="C90" s="54">
        <v>22676.9</v>
      </c>
      <c r="D90" s="54"/>
      <c r="E90" s="54">
        <f>D90/C90*100</f>
        <v>0</v>
      </c>
      <c r="F90" s="63">
        <v>0</v>
      </c>
      <c r="G90" s="63">
        <v>0</v>
      </c>
      <c r="H90" s="63">
        <v>0</v>
      </c>
      <c r="I90" s="64">
        <f>C90+F90</f>
        <v>22676.9</v>
      </c>
      <c r="J90" s="55">
        <f>D90+G90</f>
        <v>0</v>
      </c>
      <c r="K90" s="65">
        <f>J90/I90*100</f>
        <v>0</v>
      </c>
    </row>
    <row r="91" spans="1:11" ht="30">
      <c r="A91" s="66">
        <v>1006</v>
      </c>
      <c r="B91" s="62" t="s">
        <v>180</v>
      </c>
      <c r="C91" s="54">
        <v>17084.1</v>
      </c>
      <c r="D91" s="54">
        <v>1525.1</v>
      </c>
      <c r="E91" s="54">
        <f t="shared" si="12"/>
        <v>8.927014007176263</v>
      </c>
      <c r="F91" s="63">
        <v>0</v>
      </c>
      <c r="G91" s="63">
        <v>0</v>
      </c>
      <c r="H91" s="63">
        <v>0</v>
      </c>
      <c r="I91" s="64">
        <f>C91+F91</f>
        <v>17084.1</v>
      </c>
      <c r="J91" s="55">
        <f>D91+G91</f>
        <v>1525.1</v>
      </c>
      <c r="K91" s="65">
        <f t="shared" si="11"/>
        <v>8.927014007176263</v>
      </c>
    </row>
    <row r="92" spans="1:11" ht="15">
      <c r="A92" s="76">
        <v>1100</v>
      </c>
      <c r="B92" s="57" t="s">
        <v>181</v>
      </c>
      <c r="C92" s="58">
        <f>SUM(C93:C94)</f>
        <v>160664.8</v>
      </c>
      <c r="D92" s="58">
        <f>SUM(D93:D94)</f>
        <v>2165.7</v>
      </c>
      <c r="E92" s="58">
        <f>D92/C92*100</f>
        <v>1.3479617190573168</v>
      </c>
      <c r="F92" s="73">
        <f>F93+F94</f>
        <v>29342</v>
      </c>
      <c r="G92" s="73">
        <f>G93+G94</f>
        <v>2678.5</v>
      </c>
      <c r="H92" s="59">
        <f>G92/F92*100</f>
        <v>9.128552927544135</v>
      </c>
      <c r="I92" s="73">
        <f>SUM(I93:I94)</f>
        <v>189781.8</v>
      </c>
      <c r="J92" s="73">
        <f>SUM(J93:J94)</f>
        <v>4619.2</v>
      </c>
      <c r="K92" s="60">
        <f t="shared" si="11"/>
        <v>2.433953097715376</v>
      </c>
    </row>
    <row r="93" spans="1:11" ht="15">
      <c r="A93" s="66">
        <v>1101</v>
      </c>
      <c r="B93" s="62" t="s">
        <v>182</v>
      </c>
      <c r="C93" s="54">
        <v>18747</v>
      </c>
      <c r="D93" s="54">
        <v>2165.7</v>
      </c>
      <c r="E93" s="54">
        <f t="shared" si="12"/>
        <v>11.552248359737558</v>
      </c>
      <c r="F93" s="63">
        <v>29342</v>
      </c>
      <c r="G93" s="63">
        <v>2678.5</v>
      </c>
      <c r="H93" s="63">
        <f>G93/F93*100</f>
        <v>9.128552927544135</v>
      </c>
      <c r="I93" s="64">
        <f>C93+F93-225</f>
        <v>47864</v>
      </c>
      <c r="J93" s="64">
        <f>D93+G93-225</f>
        <v>4619.2</v>
      </c>
      <c r="K93" s="65">
        <f t="shared" si="11"/>
        <v>9.650676917934147</v>
      </c>
    </row>
    <row r="94" spans="1:11" ht="15">
      <c r="A94" s="66">
        <v>1102</v>
      </c>
      <c r="B94" s="62" t="s">
        <v>183</v>
      </c>
      <c r="C94" s="54">
        <v>141917.8</v>
      </c>
      <c r="D94" s="54"/>
      <c r="E94" s="54">
        <f t="shared" si="12"/>
        <v>0</v>
      </c>
      <c r="F94" s="63"/>
      <c r="G94" s="63">
        <v>0</v>
      </c>
      <c r="H94" s="63"/>
      <c r="I94" s="64">
        <f>C94+F94</f>
        <v>141917.8</v>
      </c>
      <c r="J94" s="64">
        <f>D94+G94</f>
        <v>0</v>
      </c>
      <c r="K94" s="65">
        <f t="shared" si="11"/>
        <v>0</v>
      </c>
    </row>
    <row r="95" spans="1:11" ht="15">
      <c r="A95" s="76">
        <v>1200</v>
      </c>
      <c r="B95" s="57" t="s">
        <v>184</v>
      </c>
      <c r="C95" s="58">
        <f>C96</f>
        <v>3644</v>
      </c>
      <c r="D95" s="58">
        <f>D96</f>
        <v>0</v>
      </c>
      <c r="E95" s="81">
        <f>D95/C95*100</f>
        <v>0</v>
      </c>
      <c r="F95" s="58">
        <f>F96</f>
        <v>0</v>
      </c>
      <c r="G95" s="58">
        <f>G96</f>
        <v>0</v>
      </c>
      <c r="H95" s="82"/>
      <c r="I95" s="58">
        <f aca="true" t="shared" si="13" ref="I95:J98">C95+F95</f>
        <v>3644</v>
      </c>
      <c r="J95" s="58">
        <f t="shared" si="13"/>
        <v>0</v>
      </c>
      <c r="K95" s="68">
        <f t="shared" si="11"/>
        <v>0</v>
      </c>
    </row>
    <row r="96" spans="1:11" ht="15">
      <c r="A96" s="66" t="s">
        <v>185</v>
      </c>
      <c r="B96" s="62" t="s">
        <v>186</v>
      </c>
      <c r="C96" s="54">
        <v>3644</v>
      </c>
      <c r="D96" s="54"/>
      <c r="E96" s="54">
        <f>D96/C96*100</f>
        <v>0</v>
      </c>
      <c r="F96" s="63">
        <v>0</v>
      </c>
      <c r="G96" s="63">
        <v>0</v>
      </c>
      <c r="H96" s="63">
        <v>0</v>
      </c>
      <c r="I96" s="64">
        <f t="shared" si="13"/>
        <v>3644</v>
      </c>
      <c r="J96" s="64">
        <f t="shared" si="13"/>
        <v>0</v>
      </c>
      <c r="K96" s="65">
        <f>J96/I96*100</f>
        <v>0</v>
      </c>
    </row>
    <row r="97" spans="1:11" ht="28.5">
      <c r="A97" s="76">
        <v>1300</v>
      </c>
      <c r="B97" s="57" t="s">
        <v>187</v>
      </c>
      <c r="C97" s="58">
        <f aca="true" t="shared" si="14" ref="C97:H97">C98</f>
        <v>15</v>
      </c>
      <c r="D97" s="58">
        <f t="shared" si="14"/>
        <v>1.8</v>
      </c>
      <c r="E97" s="58">
        <f t="shared" si="14"/>
        <v>12.000000000000002</v>
      </c>
      <c r="F97" s="58">
        <f t="shared" si="14"/>
        <v>0</v>
      </c>
      <c r="G97" s="58">
        <f t="shared" si="14"/>
        <v>0</v>
      </c>
      <c r="H97" s="67">
        <f t="shared" si="14"/>
        <v>0</v>
      </c>
      <c r="I97" s="58">
        <f t="shared" si="13"/>
        <v>15</v>
      </c>
      <c r="J97" s="58">
        <f t="shared" si="13"/>
        <v>1.8</v>
      </c>
      <c r="K97" s="68">
        <f t="shared" si="11"/>
        <v>12.000000000000002</v>
      </c>
    </row>
    <row r="98" spans="1:11" ht="30">
      <c r="A98" s="66">
        <v>1301</v>
      </c>
      <c r="B98" s="62" t="s">
        <v>188</v>
      </c>
      <c r="C98" s="54">
        <v>15</v>
      </c>
      <c r="D98" s="54">
        <v>1.8</v>
      </c>
      <c r="E98" s="54">
        <f t="shared" si="12"/>
        <v>12.000000000000002</v>
      </c>
      <c r="F98" s="63"/>
      <c r="G98" s="63">
        <v>0</v>
      </c>
      <c r="H98" s="63">
        <v>0</v>
      </c>
      <c r="I98" s="64">
        <f t="shared" si="13"/>
        <v>15</v>
      </c>
      <c r="J98" s="64">
        <f t="shared" si="13"/>
        <v>1.8</v>
      </c>
      <c r="K98" s="65">
        <f t="shared" si="11"/>
        <v>12.000000000000002</v>
      </c>
    </row>
    <row r="99" spans="1:11" ht="14.25">
      <c r="A99" s="76">
        <v>1400</v>
      </c>
      <c r="B99" s="57" t="s">
        <v>189</v>
      </c>
      <c r="C99" s="58">
        <f>SUM(C100:C102)</f>
        <v>269540</v>
      </c>
      <c r="D99" s="58">
        <f>SUM(D100:D102)</f>
        <v>39284.7</v>
      </c>
      <c r="E99" s="58">
        <f>D99/C99*100</f>
        <v>14.574719893151295</v>
      </c>
      <c r="F99" s="73">
        <f>F100+F101+F102</f>
        <v>0</v>
      </c>
      <c r="G99" s="73">
        <f>SUM(G100:G102)</f>
        <v>0</v>
      </c>
      <c r="H99" s="73"/>
      <c r="I99" s="73">
        <v>0</v>
      </c>
      <c r="J99" s="73">
        <v>0</v>
      </c>
      <c r="K99" s="60">
        <v>0</v>
      </c>
    </row>
    <row r="100" spans="1:11" ht="45">
      <c r="A100" s="66">
        <v>1401</v>
      </c>
      <c r="B100" s="62" t="s">
        <v>190</v>
      </c>
      <c r="C100" s="54">
        <v>120111.6</v>
      </c>
      <c r="D100" s="54">
        <v>16015</v>
      </c>
      <c r="E100" s="54">
        <f t="shared" si="12"/>
        <v>13.333433240419742</v>
      </c>
      <c r="F100" s="63">
        <v>0</v>
      </c>
      <c r="G100" s="63">
        <v>0</v>
      </c>
      <c r="H100" s="63">
        <v>0</v>
      </c>
      <c r="I100" s="64">
        <v>0</v>
      </c>
      <c r="J100" s="55">
        <v>0</v>
      </c>
      <c r="K100" s="65">
        <v>0</v>
      </c>
    </row>
    <row r="101" spans="1:11" ht="15">
      <c r="A101" s="66">
        <v>1402</v>
      </c>
      <c r="B101" s="62" t="s">
        <v>191</v>
      </c>
      <c r="C101" s="54">
        <v>149128.4</v>
      </c>
      <c r="D101" s="54">
        <v>23269.7</v>
      </c>
      <c r="E101" s="54">
        <f t="shared" si="12"/>
        <v>15.603801824468045</v>
      </c>
      <c r="F101" s="63">
        <v>0</v>
      </c>
      <c r="G101" s="63">
        <v>0</v>
      </c>
      <c r="H101" s="63">
        <v>0</v>
      </c>
      <c r="I101" s="64">
        <v>0</v>
      </c>
      <c r="J101" s="55">
        <v>0</v>
      </c>
      <c r="K101" s="65">
        <v>0</v>
      </c>
    </row>
    <row r="102" spans="1:11" ht="15">
      <c r="A102" s="66">
        <v>1403</v>
      </c>
      <c r="B102" s="62" t="s">
        <v>192</v>
      </c>
      <c r="C102" s="54">
        <v>300</v>
      </c>
      <c r="D102" s="54"/>
      <c r="E102" s="54">
        <f t="shared" si="12"/>
        <v>0</v>
      </c>
      <c r="F102" s="63">
        <v>0</v>
      </c>
      <c r="G102" s="63">
        <v>0</v>
      </c>
      <c r="H102" s="63">
        <v>0</v>
      </c>
      <c r="I102" s="64">
        <v>0</v>
      </c>
      <c r="J102" s="55">
        <v>0</v>
      </c>
      <c r="K102" s="65">
        <v>0</v>
      </c>
    </row>
    <row r="103" spans="1:11" ht="15" thickBot="1">
      <c r="A103" s="171" t="s">
        <v>193</v>
      </c>
      <c r="B103" s="172"/>
      <c r="C103" s="83">
        <f>C9+C17+C19+C24+C44+C65+C67+C76+C82+C84+C92+C95+C97+C99</f>
        <v>3502986.8999999994</v>
      </c>
      <c r="D103" s="83">
        <f>D99+D97+D95+D92+D84+D82+D76+D67+D65+D44+D24+D19+D17+D9</f>
        <v>349761.20000000007</v>
      </c>
      <c r="E103" s="83">
        <f>D103/C103*100</f>
        <v>9.984656237224298</v>
      </c>
      <c r="F103" s="83">
        <f>F9+F17+F19+F24+F44+F65+F67+F76+F82+F84+F92+F95+F97+F99</f>
        <v>533015.1000000001</v>
      </c>
      <c r="G103" s="83">
        <f>G99+G97+G95+G84+G82+G76+G67+G44+G24+G20+G17+G9+G19+G92</f>
        <v>59157.799999999996</v>
      </c>
      <c r="H103" s="84">
        <f>G103/F103*100</f>
        <v>11.09870996150015</v>
      </c>
      <c r="I103" s="83">
        <f>I99+I97+I95+I92+I84+I82+I76+I67+I65+I44+I24+I19+I17+I9</f>
        <v>3713811.4</v>
      </c>
      <c r="J103" s="83">
        <f>J99+J97+J95+J92+J84+J82+J76+J67+J65+J44+J24+J19+J17+J9</f>
        <v>366632.50000000006</v>
      </c>
      <c r="K103" s="85">
        <f t="shared" si="11"/>
        <v>9.872135671725282</v>
      </c>
    </row>
    <row r="104" spans="1:11" ht="12.75">
      <c r="A104" s="86"/>
      <c r="B104" s="87"/>
      <c r="C104" s="88"/>
      <c r="D104" s="48"/>
      <c r="E104" s="89"/>
      <c r="F104" s="50"/>
      <c r="G104" s="51"/>
      <c r="H104" s="51"/>
      <c r="I104" s="53"/>
      <c r="J104" s="53"/>
      <c r="K104" s="53"/>
    </row>
    <row r="105" spans="1:11" ht="12.75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0"/>
      <c r="B106" s="91"/>
      <c r="C106" s="92"/>
      <c r="D106" s="93"/>
      <c r="E106" s="89"/>
      <c r="F106" s="50"/>
      <c r="G106" s="51"/>
      <c r="H106" s="51"/>
      <c r="I106" s="52"/>
      <c r="J106" s="52"/>
      <c r="K106" s="53"/>
    </row>
    <row r="107" spans="1:11" ht="15" customHeight="1">
      <c r="A107" s="167" t="s">
        <v>194</v>
      </c>
      <c r="B107" s="167"/>
      <c r="C107" s="167"/>
      <c r="D107" s="94"/>
      <c r="E107" s="95"/>
      <c r="F107" s="95"/>
      <c r="G107" s="51"/>
      <c r="H107" s="51"/>
      <c r="I107" s="53"/>
      <c r="J107" s="53"/>
      <c r="K107" s="53"/>
    </row>
    <row r="108" spans="1:11" ht="15" customHeight="1">
      <c r="A108" s="167" t="s">
        <v>195</v>
      </c>
      <c r="B108" s="167"/>
      <c r="C108" s="167"/>
      <c r="D108" s="96"/>
      <c r="E108" s="168" t="s">
        <v>196</v>
      </c>
      <c r="F108" s="168"/>
      <c r="G108" s="51"/>
      <c r="H108" s="51"/>
      <c r="I108" s="52"/>
      <c r="J108" s="53"/>
      <c r="K108" s="53"/>
    </row>
    <row r="109" spans="1:11" ht="15" customHeight="1">
      <c r="A109" s="97"/>
      <c r="B109" s="98"/>
      <c r="C109" s="99"/>
      <c r="D109" s="100"/>
      <c r="E109" s="101"/>
      <c r="F109" s="102"/>
      <c r="G109" s="51"/>
      <c r="H109" s="51"/>
      <c r="I109" s="52"/>
      <c r="J109" s="53"/>
      <c r="K109" s="53"/>
    </row>
    <row r="110" spans="1:11" ht="12.75">
      <c r="A110" s="167" t="s">
        <v>202</v>
      </c>
      <c r="B110" s="167"/>
      <c r="C110" s="167"/>
      <c r="D110" s="103"/>
      <c r="E110" s="168" t="s">
        <v>197</v>
      </c>
      <c r="F110" s="168"/>
      <c r="G110" s="51"/>
      <c r="H110" s="51"/>
      <c r="I110" s="52"/>
      <c r="J110" s="53"/>
      <c r="K110" s="53"/>
    </row>
    <row r="111" spans="1:11" ht="12.75" customHeight="1">
      <c r="A111" s="97"/>
      <c r="B111" s="104"/>
      <c r="C111" s="105"/>
      <c r="D111" s="106"/>
      <c r="E111" s="101"/>
      <c r="F111" s="102"/>
      <c r="G111" s="51"/>
      <c r="H111" s="51"/>
      <c r="I111" s="52"/>
      <c r="J111" s="53"/>
      <c r="K111" s="53"/>
    </row>
    <row r="112" spans="1:11" ht="12.75" customHeight="1">
      <c r="A112" s="167" t="s">
        <v>198</v>
      </c>
      <c r="B112" s="167"/>
      <c r="C112" s="167"/>
      <c r="D112" s="103"/>
      <c r="E112" s="169" t="s">
        <v>199</v>
      </c>
      <c r="F112" s="169"/>
      <c r="G112" s="51"/>
      <c r="H112" s="51"/>
      <c r="I112" s="52"/>
      <c r="J112" s="53"/>
      <c r="K112" s="53"/>
    </row>
    <row r="113" spans="1:11" ht="12.75" customHeight="1">
      <c r="A113" s="107"/>
      <c r="B113" s="108"/>
      <c r="C113" s="109"/>
      <c r="D113" s="94"/>
      <c r="E113" s="94"/>
      <c r="F113" s="95"/>
      <c r="G113" s="51"/>
      <c r="H113" s="51"/>
      <c r="I113" s="53"/>
      <c r="J113" s="53"/>
      <c r="K113" s="53"/>
    </row>
    <row r="114" spans="1:6" ht="12.75" customHeight="1">
      <c r="A114" s="110"/>
      <c r="B114" s="110"/>
      <c r="C114" s="111" t="s">
        <v>200</v>
      </c>
      <c r="D114" s="113"/>
      <c r="E114" s="112" t="s">
        <v>201</v>
      </c>
      <c r="F114" s="110"/>
    </row>
    <row r="115" spans="1:11" ht="12.75" customHeight="1">
      <c r="A115" s="167" t="s">
        <v>202</v>
      </c>
      <c r="B115" s="167"/>
      <c r="C115" s="167"/>
      <c r="D115" s="103"/>
      <c r="E115" s="168" t="s">
        <v>197</v>
      </c>
      <c r="F115" s="168"/>
      <c r="G115" s="51"/>
      <c r="H115" s="51"/>
      <c r="I115" s="52"/>
      <c r="J115" s="53"/>
      <c r="K115" s="53"/>
    </row>
    <row r="116" spans="1:11" ht="12.75" customHeight="1">
      <c r="A116" s="97"/>
      <c r="B116" s="104"/>
      <c r="C116" s="105"/>
      <c r="D116" s="106"/>
      <c r="E116" s="101"/>
      <c r="F116" s="102"/>
      <c r="G116" s="51"/>
      <c r="H116" s="51"/>
      <c r="I116" s="52"/>
      <c r="J116" s="53"/>
      <c r="K116" s="53"/>
    </row>
    <row r="117" spans="1:11" ht="12.75" customHeight="1">
      <c r="A117" s="167" t="s">
        <v>198</v>
      </c>
      <c r="B117" s="167"/>
      <c r="C117" s="167"/>
      <c r="D117" s="103"/>
      <c r="E117" s="169" t="s">
        <v>199</v>
      </c>
      <c r="F117" s="169"/>
      <c r="G117" s="51"/>
      <c r="H117" s="51"/>
      <c r="I117" s="52"/>
      <c r="J117" s="53"/>
      <c r="K117" s="53"/>
    </row>
    <row r="118" spans="1:11" ht="12.75" customHeight="1">
      <c r="A118" s="107"/>
      <c r="B118" s="108"/>
      <c r="C118" s="109"/>
      <c r="D118" s="94"/>
      <c r="E118" s="94"/>
      <c r="F118" s="95"/>
      <c r="G118" s="51"/>
      <c r="H118" s="51"/>
      <c r="I118" s="53"/>
      <c r="J118" s="53"/>
      <c r="K118" s="53"/>
    </row>
    <row r="119" spans="1:6" ht="12.75">
      <c r="A119" s="110"/>
      <c r="B119" s="110"/>
      <c r="C119" s="111" t="s">
        <v>200</v>
      </c>
      <c r="D119" s="113"/>
      <c r="E119" s="112" t="s">
        <v>201</v>
      </c>
      <c r="F119" s="110"/>
    </row>
    <row r="120" spans="1:6" ht="12.75">
      <c r="A120" s="110"/>
      <c r="B120" s="110"/>
      <c r="C120" s="111"/>
      <c r="D120" s="113"/>
      <c r="E120" s="112"/>
      <c r="F120" s="110"/>
    </row>
  </sheetData>
  <sheetProtection/>
  <mergeCells count="39">
    <mergeCell ref="H4:H5"/>
    <mergeCell ref="I4:I5"/>
    <mergeCell ref="J4:J5"/>
    <mergeCell ref="E4:E5"/>
    <mergeCell ref="F4:F5"/>
    <mergeCell ref="D4:D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E115:F115"/>
    <mergeCell ref="A117:C117"/>
    <mergeCell ref="E117:F117"/>
    <mergeCell ref="A112:C112"/>
    <mergeCell ref="A115:C115"/>
    <mergeCell ref="A19:A20"/>
    <mergeCell ref="B19:B20"/>
    <mergeCell ref="C19:C20"/>
    <mergeCell ref="D19:D20"/>
    <mergeCell ref="E19:E20"/>
    <mergeCell ref="F19:F20"/>
    <mergeCell ref="G19:G20"/>
    <mergeCell ref="H19:H20"/>
    <mergeCell ref="A110:C110"/>
    <mergeCell ref="E110:F110"/>
    <mergeCell ref="E112:F112"/>
    <mergeCell ref="I19:I20"/>
    <mergeCell ref="J19:J20"/>
    <mergeCell ref="K19:K20"/>
    <mergeCell ref="A103:B103"/>
    <mergeCell ref="A107:C107"/>
    <mergeCell ref="A108:C108"/>
    <mergeCell ref="E108:F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2017-03-14T11:09:37Z</dcterms:modified>
  <cp:category/>
  <cp:version/>
  <cp:contentType/>
  <cp:contentStatus/>
</cp:coreProperties>
</file>