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3.04.20" sheetId="1" r:id="rId1"/>
  </sheets>
  <definedNames>
    <definedName name="_xlnm.Print_Area" localSheetId="0">'23.04.20'!$A$3:$U$67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8" i="1"/>
  <c r="N36"/>
  <c r="N35"/>
  <c r="N34"/>
  <c r="N20"/>
  <c r="P38" l="1"/>
  <c r="P37"/>
  <c r="P36"/>
  <c r="P35"/>
  <c r="P34"/>
  <c r="P33"/>
  <c r="P32"/>
  <c r="P31"/>
  <c r="P30"/>
  <c r="P29"/>
  <c r="P28"/>
  <c r="P25"/>
  <c r="P24"/>
  <c r="P23"/>
  <c r="P22"/>
  <c r="P21"/>
  <c r="P20"/>
  <c r="P19"/>
  <c r="P16"/>
  <c r="P11"/>
  <c r="P10"/>
  <c r="P8"/>
  <c r="Q38" l="1"/>
  <c r="Q37"/>
  <c r="Q36"/>
  <c r="Q35"/>
  <c r="Q34"/>
  <c r="Q33"/>
  <c r="Q32"/>
  <c r="Q31"/>
  <c r="Q30"/>
  <c r="Q28"/>
  <c r="Q25"/>
  <c r="Q24"/>
  <c r="Q23"/>
  <c r="Q22"/>
  <c r="Q20"/>
  <c r="Q19"/>
  <c r="Q18"/>
  <c r="Q16"/>
  <c r="Q15"/>
  <c r="Q10" l="1"/>
  <c r="Q8"/>
  <c r="N33" l="1"/>
  <c r="N32"/>
  <c r="N31"/>
  <c r="N30"/>
  <c r="N29"/>
  <c r="N28"/>
  <c r="N25"/>
  <c r="N24"/>
  <c r="N22"/>
  <c r="N16"/>
  <c r="Q11" l="1"/>
  <c r="N37" l="1"/>
  <c r="Q29" l="1"/>
  <c r="N23" l="1"/>
  <c r="N10"/>
  <c r="N8"/>
  <c r="C10" l="1"/>
  <c r="C37" l="1"/>
  <c r="C9" l="1"/>
  <c r="C43" l="1"/>
  <c r="N19"/>
  <c r="N11"/>
  <c r="R11" l="1"/>
  <c r="C8" l="1"/>
  <c r="C34" l="1"/>
  <c r="C16" l="1"/>
  <c r="R8" l="1"/>
  <c r="R38" l="1"/>
  <c r="R54"/>
  <c r="R52" l="1"/>
  <c r="C54" l="1"/>
  <c r="R39" l="1"/>
  <c r="R21"/>
  <c r="R17"/>
  <c r="R15"/>
  <c r="R14"/>
  <c r="R9"/>
  <c r="R29"/>
  <c r="R24"/>
  <c r="R37"/>
  <c r="R36"/>
  <c r="R35"/>
  <c r="R34"/>
  <c r="R33"/>
  <c r="R32"/>
  <c r="R31"/>
  <c r="R30"/>
  <c r="R28"/>
  <c r="R25"/>
  <c r="R23"/>
  <c r="R22"/>
  <c r="R20"/>
  <c r="R19"/>
  <c r="R18"/>
  <c r="R16"/>
  <c r="R10"/>
  <c r="R12" l="1"/>
  <c r="C15" l="1"/>
  <c r="J52" l="1"/>
  <c r="J48"/>
  <c r="J45"/>
  <c r="R13" l="1"/>
  <c r="R41"/>
  <c r="R42"/>
  <c r="R43"/>
  <c r="R44"/>
  <c r="R45"/>
  <c r="R46"/>
  <c r="R47"/>
  <c r="R48"/>
  <c r="R49"/>
  <c r="R50"/>
  <c r="R51"/>
  <c r="R53"/>
  <c r="R55"/>
  <c r="R56"/>
  <c r="R57"/>
  <c r="R58"/>
  <c r="R59"/>
  <c r="R63"/>
  <c r="C56" l="1"/>
  <c r="E56" s="1"/>
  <c r="C57"/>
  <c r="E57" s="1"/>
  <c r="C58"/>
  <c r="E58" s="1"/>
  <c r="C59"/>
  <c r="E59" s="1"/>
  <c r="C63"/>
  <c r="E63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<sst xmlns="http://schemas.openxmlformats.org/spreadsheetml/2006/main" count="136" uniqueCount="92">
  <si>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</si>
  <si>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</si>
  <si>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</si>
  <si>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</si>
  <si>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Товарные запасы в торговле</t>
  </si>
  <si>
    <t>Тонны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</si>
  <si>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</si>
  <si>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</si>
  <si>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</si>
  <si>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</si>
  <si>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</si>
  <si>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</si>
  <si>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</si>
  <si>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</si>
  <si>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</si>
  <si>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</si>
  <si>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</si>
  <si>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</si>
  <si>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</si>
  <si>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</si>
  <si>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</si>
  <si>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</si>
  <si>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</si>
  <si>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</si>
  <si>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</si>
  <si>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</si>
  <si>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</si>
  <si>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</si>
  <si>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</si>
  <si>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</si>
  <si>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</si>
  <si>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</si>
  <si>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</si>
  <si>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</si>
  <si>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</si>
  <si>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</si>
  <si>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</si>
  <si>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</si>
  <si>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</si>
  <si>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</si>
  <si>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</si>
  <si>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</si>
  <si>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</si>
  <si>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</si>
  <si>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</si>
  <si>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</si>
  <si>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</si>
  <si>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Для мониторинга средних цен необходимо выбирать наиболее востребованные товары в категории, которые постоянно есть в продаже, и не менять их на всем протяжении мониторинга.
В случае выбытия товара из ассортимента необходимо подобрать ему замену, аналогичную по характеристикам и цене. Не рекомендуется фиксировать цены на товары, реализуемые по акции.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</si>
  <si>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</si>
  <si>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</si>
  <si>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</si>
  <si>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</si>
  <si>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</si>
  <si>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Приложение 1                                                                                                                                к письму ___________от _________________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</si>
  <si>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</si>
  <si>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</si>
  <si>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</si>
  <si>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</si>
  <si>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</si>
  <si>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</si>
  <si>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</si>
  <si>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</si>
  <si>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</si>
  <si>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Исполнитель: Липова И.Н. тел.: 8(34678)28-103, сот. 8-952-711-75-02</t>
  </si>
  <si>
    <t>Соска-пустышка, шт**</t>
  </si>
  <si>
    <t>** информация по этим позициям предоставляетс в случае наличия таких товаров в ассортименте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</si>
  <si>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</si>
  <si>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</si>
  <si>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</si>
  <si>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</si>
  <si>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</si>
  <si>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</si>
  <si>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</si>
  <si>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</si>
  <si>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</si>
  <si>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</si>
  <si>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</si>
  <si>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</si>
  <si>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товарные запасы указаны в тоннах</t>
  </si>
  <si>
    <t>товарные запасы указаны в тыс. штук</t>
  </si>
  <si>
    <t>товарные запасы указаны в штуках</t>
  </si>
  <si>
    <t>товарные запасы указаны в бутылках</t>
  </si>
  <si>
    <t>товарные запасы указаны в упаковках</t>
  </si>
  <si>
    <t>Итого оварные запасы в торговле</t>
  </si>
  <si>
    <t>Пеленка для новорожденного ситцевая, шт**</t>
  </si>
  <si>
    <t xml:space="preserve">Комментарий по товарным запасам
</t>
  </si>
  <si>
    <t>Динамика спроса, % к предыдущему дню</t>
  </si>
  <si>
    <t>Дни торговли, исходя из текущих темпов продаж</t>
  </si>
  <si>
    <t xml:space="preserve">товарные запасы указаны в штуках </t>
  </si>
  <si>
    <t>смена ассортимента в магазине Пятерочка  г.п.Приобье</t>
  </si>
  <si>
    <t>изменение розничной цены в магазине Магнит г.п.Талинка</t>
  </si>
  <si>
    <t>изменение розничной цены в магазине Пятерочка г.п.Приобье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</si>
</sst>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00"/>
    <numFmt numFmtId="166" formatCode="0.0000"/>
  </numFmts>
  <fonts count="2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5"/>
      <name val="Calibri"/>
      <family val="2"/>
      <charset val="1"/>
    </font>
    <font>
      <i/>
      <sz val="16"/>
      <name val="Times New Roman"/>
      <family val="1"/>
      <charset val="204"/>
    </font>
    <font>
      <sz val="16"/>
      <name val="Calibri"/>
      <family val="2"/>
      <charset val="1"/>
    </font>
    <font>
      <b/>
      <sz val="20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11" fillId="3" borderId="1" xfId="0" applyFont="1" applyFill="1" applyBorder="1"/>
    <xf numFmtId="0" fontId="10" fillId="3" borderId="1" xfId="0" applyFont="1" applyFill="1" applyBorder="1"/>
    <xf numFmtId="0" fontId="11" fillId="3" borderId="5" xfId="0" applyFont="1" applyFill="1" applyBorder="1" applyAlignment="1">
      <alignment horizontal="left" wrapText="1"/>
    </xf>
    <xf numFmtId="2" fontId="10" fillId="3" borderId="0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9" fontId="10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10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wrapText="1"/>
    </xf>
    <xf numFmtId="2" fontId="18" fillId="3" borderId="1" xfId="0" applyNumberFormat="1" applyFont="1" applyFill="1" applyBorder="1" applyAlignment="1">
      <alignment horizontal="left" vertical="center" wrapText="1"/>
    </xf>
    <xf numFmtId="0" fontId="19" fillId="3" borderId="0" xfId="0" applyFont="1" applyFill="1"/>
    <xf numFmtId="2" fontId="18" fillId="3" borderId="1" xfId="0" applyNumberFormat="1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17" fillId="6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/>
    </xf>
    <xf numFmtId="9" fontId="17" fillId="6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right" vertical="center" wrapText="1"/>
    </xf>
    <xf numFmtId="9" fontId="17" fillId="6" borderId="1" xfId="1" applyFont="1" applyFill="1" applyBorder="1" applyAlignment="1">
      <alignment horizontal="center" wrapText="1"/>
    </xf>
    <xf numFmtId="165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wrapText="1"/>
    </xf>
    <xf numFmtId="2" fontId="17" fillId="6" borderId="1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righ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4" fontId="14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0" fillId="3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topLeftCell="A10" zoomScale="40" zoomScaleNormal="55" zoomScaleSheetLayoutView="40" zoomScalePageLayoutView="75" workbookViewId="0">
      <selection activeCell="B50" sqref="B50"/>
    </sheetView>
  </sheetViews>
  <sheetFormatPr defaultRowHeight="26.25"/>
  <cols>
    <col min="1" max="1" width="6.5703125" style="1" customWidth="1"/>
    <col min="2" max="2" width="100.140625" style="7" customWidth="1"/>
    <col min="3" max="3" width="32.140625" style="11" customWidth="1"/>
    <col min="4" max="4" width="30.140625" style="11" customWidth="1"/>
    <col min="5" max="5" width="28.140625" style="11" customWidth="1"/>
    <col min="6" max="6" width="58.7109375" style="64" customWidth="1"/>
    <col min="7" max="7" width="28.42578125" style="11" customWidth="1"/>
    <col min="8" max="8" width="26.28515625" style="11" customWidth="1"/>
    <col min="9" max="9" width="27.28515625" style="11" customWidth="1"/>
    <col min="10" max="10" width="25.5703125" style="11" customWidth="1"/>
    <col min="11" max="11" width="22.28515625" style="11" customWidth="1"/>
    <col min="12" max="12" width="24.7109375" style="11" customWidth="1"/>
    <col min="13" max="13" width="28.5703125" style="11" customWidth="1"/>
    <col min="14" max="14" width="22" style="11" hidden="1" customWidth="1"/>
    <col min="15" max="15" width="19.5703125" style="11" hidden="1" customWidth="1"/>
    <col min="16" max="16" width="25.7109375" style="84" hidden="1" customWidth="1"/>
    <col min="17" max="17" width="21.28515625" style="11" hidden="1" customWidth="1"/>
    <col min="18" max="18" width="19.28515625" style="25" hidden="1" customWidth="1"/>
    <col min="19" max="19" width="10.5703125" style="11" hidden="1" customWidth="1"/>
    <col min="20" max="20" width="5.140625" style="11" hidden="1" customWidth="1"/>
    <col min="21" max="21" width="66.85546875" style="11" hidden="1" customWidth="1"/>
    <col min="22" max="22" width="27.42578125" customWidth="1"/>
    <col min="23" max="1038" width="8.7109375" customWidth="1"/>
  </cols>
  <sheetData>
    <row r="1" spans="1:21" ht="24.75" hidden="1" customHeight="1">
      <c r="T1" s="95" t="s">
        <v>53</v>
      </c>
      <c r="U1" s="95"/>
    </row>
    <row r="2" spans="1:21" ht="24.75" hidden="1" customHeight="1">
      <c r="T2" s="95"/>
      <c r="U2" s="95"/>
    </row>
    <row r="3" spans="1:21" ht="24.75" customHeight="1">
      <c r="B3" s="15" t="s">
        <v>54</v>
      </c>
    </row>
    <row r="4" spans="1:21" ht="20.25" customHeight="1">
      <c r="A4" s="6"/>
      <c r="B4" s="19"/>
      <c r="C4" s="17">
        <v>43944</v>
      </c>
      <c r="D4" s="17">
        <v>43943</v>
      </c>
      <c r="E4" s="42"/>
      <c r="F4" s="103" t="s">
        <v>0</v>
      </c>
      <c r="G4" s="85">
        <v>1</v>
      </c>
      <c r="H4" s="43">
        <v>2</v>
      </c>
      <c r="I4" s="43">
        <v>3</v>
      </c>
      <c r="J4" s="43">
        <v>4</v>
      </c>
      <c r="K4" s="43">
        <v>5</v>
      </c>
      <c r="L4" s="42">
        <v>6</v>
      </c>
      <c r="M4" s="43">
        <v>8</v>
      </c>
      <c r="N4" s="43"/>
      <c r="O4" s="43"/>
      <c r="P4" s="43"/>
      <c r="Q4" s="43"/>
      <c r="R4" s="26"/>
      <c r="S4" s="106">
        <v>43923</v>
      </c>
      <c r="T4" s="106"/>
      <c r="U4" s="107" t="s">
        <v>85</v>
      </c>
    </row>
    <row r="5" spans="1:21" ht="42.75" customHeight="1">
      <c r="A5" s="108" t="s">
        <v>1</v>
      </c>
      <c r="B5" s="109" t="s">
        <v>2</v>
      </c>
      <c r="C5" s="110" t="s">
        <v>3</v>
      </c>
      <c r="D5" s="110" t="s">
        <v>3</v>
      </c>
      <c r="E5" s="100" t="s">
        <v>71</v>
      </c>
      <c r="F5" s="103"/>
      <c r="G5" s="76" t="s">
        <v>60</v>
      </c>
      <c r="H5" s="86" t="s">
        <v>57</v>
      </c>
      <c r="I5" s="71" t="s">
        <v>59</v>
      </c>
      <c r="J5" s="101" t="s">
        <v>72</v>
      </c>
      <c r="K5" s="102"/>
      <c r="L5" s="86" t="s">
        <v>56</v>
      </c>
      <c r="M5" s="86" t="s">
        <v>58</v>
      </c>
      <c r="N5" s="116" t="s">
        <v>4</v>
      </c>
      <c r="O5" s="117"/>
      <c r="P5" s="117"/>
      <c r="Q5" s="118"/>
      <c r="R5" s="107" t="s">
        <v>83</v>
      </c>
      <c r="S5" s="107"/>
      <c r="T5" s="111" t="s">
        <v>86</v>
      </c>
      <c r="U5" s="107"/>
    </row>
    <row r="6" spans="1:21" ht="109.5" customHeight="1">
      <c r="A6" s="108"/>
      <c r="B6" s="109"/>
      <c r="C6" s="110"/>
      <c r="D6" s="110"/>
      <c r="E6" s="100"/>
      <c r="F6" s="103"/>
      <c r="G6" s="67" t="s">
        <v>75</v>
      </c>
      <c r="H6" s="67" t="s">
        <v>73</v>
      </c>
      <c r="I6" s="67" t="s">
        <v>74</v>
      </c>
      <c r="J6" s="75" t="s">
        <v>55</v>
      </c>
      <c r="K6" s="75" t="s">
        <v>69</v>
      </c>
      <c r="L6" s="75" t="s">
        <v>70</v>
      </c>
      <c r="M6" s="75" t="s">
        <v>61</v>
      </c>
      <c r="N6" s="75" t="s">
        <v>55</v>
      </c>
      <c r="O6" s="75" t="s">
        <v>69</v>
      </c>
      <c r="P6" s="75" t="s">
        <v>70</v>
      </c>
      <c r="Q6" s="75" t="s">
        <v>61</v>
      </c>
      <c r="R6" s="36" t="s">
        <v>5</v>
      </c>
      <c r="S6" s="40" t="s">
        <v>87</v>
      </c>
      <c r="T6" s="111"/>
      <c r="U6" s="107"/>
    </row>
    <row r="7" spans="1:21" ht="22.5" customHeight="1">
      <c r="A7" s="8"/>
      <c r="B7" s="20" t="s">
        <v>77</v>
      </c>
      <c r="C7" s="16"/>
      <c r="D7" s="68"/>
      <c r="E7" s="70"/>
      <c r="F7" s="77"/>
      <c r="G7" s="44"/>
      <c r="H7" s="75"/>
      <c r="I7" s="75"/>
      <c r="J7" s="75"/>
      <c r="K7" s="75"/>
      <c r="L7" s="75"/>
      <c r="M7" s="75"/>
      <c r="N7" s="75"/>
      <c r="O7" s="75"/>
      <c r="P7" s="75"/>
      <c r="Q7" s="75"/>
      <c r="R7" s="23"/>
      <c r="S7" s="39"/>
      <c r="T7" s="39"/>
      <c r="U7" s="39"/>
    </row>
    <row r="8" spans="1:21" ht="51" customHeight="1">
      <c r="A8" s="2">
        <v>1</v>
      </c>
      <c r="B8" s="119" t="s">
        <v>6</v>
      </c>
      <c r="C8" s="14">
        <f>AVERAGE(G8:M8)</f>
        <v>245.6499317738791</v>
      </c>
      <c r="D8" s="14">
        <v>240.77826510721243</v>
      </c>
      <c r="E8" s="69">
        <f>C8/D8</f>
        <v>1.0202330001194146</v>
      </c>
      <c r="F8" s="63" t="s">
        <v>89</v>
      </c>
      <c r="G8" s="78">
        <v>218.39</v>
      </c>
      <c r="H8" s="14">
        <v>249.72222222222226</v>
      </c>
      <c r="I8" s="14">
        <v>286.83999999999997</v>
      </c>
      <c r="J8" s="14">
        <v>315.78947368421052</v>
      </c>
      <c r="K8" s="14"/>
      <c r="L8" s="14">
        <v>140</v>
      </c>
      <c r="M8" s="14">
        <v>263.15789473684208</v>
      </c>
      <c r="N8" s="24">
        <f>17.02/1000</f>
        <v>1.702E-2</v>
      </c>
      <c r="O8" s="14"/>
      <c r="P8" s="80">
        <f>22.1/1000</f>
        <v>2.2100000000000002E-2</v>
      </c>
      <c r="Q8" s="87">
        <f>27.36/1000</f>
        <v>2.7359999999999999E-2</v>
      </c>
      <c r="R8" s="24">
        <f>SUM(N8:Q8)</f>
        <v>6.6479999999999997E-2</v>
      </c>
      <c r="S8" s="18"/>
      <c r="T8" s="18"/>
      <c r="U8" s="32" t="s">
        <v>78</v>
      </c>
    </row>
    <row r="9" spans="1:21" s="4" customFormat="1" ht="49.5" customHeight="1">
      <c r="A9" s="3">
        <v>2</v>
      </c>
      <c r="B9" s="120" t="s">
        <v>7</v>
      </c>
      <c r="C9" s="14">
        <f>AVERAGE(G9:M9)</f>
        <v>575.32333333333338</v>
      </c>
      <c r="D9" s="14">
        <v>575.32333333333338</v>
      </c>
      <c r="E9" s="41">
        <f t="shared" ref="E9:E39" si="0">C9/D9</f>
        <v>1</v>
      </c>
      <c r="F9" s="63"/>
      <c r="G9" s="14">
        <v>693.3</v>
      </c>
      <c r="H9" s="14">
        <v>533</v>
      </c>
      <c r="I9" s="14">
        <v>499.67</v>
      </c>
      <c r="J9" s="14"/>
      <c r="K9" s="14"/>
      <c r="L9" s="14"/>
      <c r="M9" s="14"/>
      <c r="N9" s="45"/>
      <c r="O9" s="14"/>
      <c r="P9" s="45"/>
      <c r="Q9" s="88"/>
      <c r="R9" s="24">
        <f>SUM(N9:Q9)</f>
        <v>0</v>
      </c>
      <c r="S9" s="31"/>
      <c r="T9" s="31"/>
      <c r="U9" s="32" t="s">
        <v>78</v>
      </c>
    </row>
    <row r="10" spans="1:21" s="4" customFormat="1" ht="42" customHeight="1">
      <c r="A10" s="3">
        <v>3</v>
      </c>
      <c r="B10" s="120" t="s">
        <v>8</v>
      </c>
      <c r="C10" s="14">
        <f>AVERAGE(G10:M10)</f>
        <v>362.40114238200209</v>
      </c>
      <c r="D10" s="14">
        <v>362.40114238200209</v>
      </c>
      <c r="E10" s="41">
        <f t="shared" si="0"/>
        <v>1</v>
      </c>
      <c r="F10" s="63"/>
      <c r="G10" s="14">
        <v>246.12</v>
      </c>
      <c r="H10" s="14">
        <v>293.8235294117647</v>
      </c>
      <c r="I10" s="14">
        <v>502.66</v>
      </c>
      <c r="J10" s="14">
        <v>497.04142011834318</v>
      </c>
      <c r="K10" s="14"/>
      <c r="L10" s="14">
        <v>330</v>
      </c>
      <c r="M10" s="14">
        <v>304.76190476190476</v>
      </c>
      <c r="N10" s="24">
        <f>80.786/1000</f>
        <v>8.0785999999999997E-2</v>
      </c>
      <c r="O10" s="14"/>
      <c r="P10" s="80">
        <f>52/1000</f>
        <v>5.1999999999999998E-2</v>
      </c>
      <c r="Q10" s="87">
        <f>94.5/1000</f>
        <v>9.4500000000000001E-2</v>
      </c>
      <c r="R10" s="24">
        <f>SUM(N10:Q10)</f>
        <v>0.22728599999999999</v>
      </c>
      <c r="S10" s="31"/>
      <c r="T10" s="31"/>
      <c r="U10" s="32" t="s">
        <v>78</v>
      </c>
    </row>
    <row r="11" spans="1:21" ht="43.5" customHeight="1">
      <c r="A11" s="2">
        <v>4</v>
      </c>
      <c r="B11" s="119" t="s">
        <v>9</v>
      </c>
      <c r="C11" s="14">
        <f t="shared" ref="C11:C39" si="1">AVERAGE(G11:M11)</f>
        <v>391.89401360544213</v>
      </c>
      <c r="D11" s="14">
        <v>391.89401360544213</v>
      </c>
      <c r="E11" s="41">
        <f t="shared" si="0"/>
        <v>1</v>
      </c>
      <c r="F11" s="63"/>
      <c r="G11" s="14">
        <v>461.96</v>
      </c>
      <c r="H11" s="14">
        <v>319.60000000000002</v>
      </c>
      <c r="I11" s="14">
        <v>367.6</v>
      </c>
      <c r="J11" s="14">
        <v>352</v>
      </c>
      <c r="K11" s="14"/>
      <c r="L11" s="14">
        <v>340</v>
      </c>
      <c r="M11" s="14">
        <v>510.20408163265307</v>
      </c>
      <c r="N11" s="24">
        <f>17.25/1000</f>
        <v>1.7250000000000001E-2</v>
      </c>
      <c r="O11" s="14"/>
      <c r="P11" s="80">
        <f>13.55/1000</f>
        <v>1.3550000000000001E-2</v>
      </c>
      <c r="Q11" s="88">
        <f>43.12/1000</f>
        <v>4.3119999999999999E-2</v>
      </c>
      <c r="R11" s="24">
        <f>SUM(N11:Q11)</f>
        <v>7.392E-2</v>
      </c>
      <c r="S11" s="18"/>
      <c r="T11" s="18"/>
      <c r="U11" s="32" t="s">
        <v>78</v>
      </c>
    </row>
    <row r="12" spans="1:21" ht="27" customHeight="1">
      <c r="A12" s="2">
        <v>5</v>
      </c>
      <c r="B12" s="119" t="s">
        <v>10</v>
      </c>
      <c r="C12" s="14">
        <f t="shared" si="1"/>
        <v>45.798333333333325</v>
      </c>
      <c r="D12" s="14">
        <v>45.798333333333325</v>
      </c>
      <c r="E12" s="41">
        <f t="shared" si="0"/>
        <v>1</v>
      </c>
      <c r="F12" s="63"/>
      <c r="G12" s="14">
        <v>34.99</v>
      </c>
      <c r="H12" s="14">
        <v>44.9</v>
      </c>
      <c r="I12" s="14">
        <v>34.9</v>
      </c>
      <c r="J12" s="14">
        <v>50</v>
      </c>
      <c r="K12" s="14"/>
      <c r="L12" s="14">
        <v>55</v>
      </c>
      <c r="M12" s="14">
        <v>55</v>
      </c>
      <c r="N12" s="45">
        <v>45</v>
      </c>
      <c r="O12" s="14"/>
      <c r="P12" s="89">
        <v>29</v>
      </c>
      <c r="Q12" s="90">
        <v>40</v>
      </c>
      <c r="R12" s="37">
        <f t="shared" ref="R12:R63" si="2">SUM(N12:Q12)</f>
        <v>114</v>
      </c>
      <c r="S12" s="18"/>
      <c r="T12" s="18"/>
      <c r="U12" s="32" t="s">
        <v>81</v>
      </c>
    </row>
    <row r="13" spans="1:21" ht="29.25" customHeight="1">
      <c r="A13" s="2">
        <v>6</v>
      </c>
      <c r="B13" s="119" t="s">
        <v>11</v>
      </c>
      <c r="C13" s="14">
        <f t="shared" si="1"/>
        <v>62.464999999999996</v>
      </c>
      <c r="D13" s="14">
        <v>62.464999999999996</v>
      </c>
      <c r="E13" s="46">
        <f>C13/D13</f>
        <v>1</v>
      </c>
      <c r="F13" s="63"/>
      <c r="G13" s="14">
        <v>59.99</v>
      </c>
      <c r="H13" s="14">
        <v>59.9</v>
      </c>
      <c r="I13" s="14">
        <v>54.9</v>
      </c>
      <c r="J13" s="14">
        <v>80</v>
      </c>
      <c r="K13" s="14"/>
      <c r="L13" s="14">
        <v>70</v>
      </c>
      <c r="M13" s="14">
        <v>50</v>
      </c>
      <c r="N13" s="45">
        <v>4</v>
      </c>
      <c r="O13" s="14"/>
      <c r="P13" s="45">
        <v>6</v>
      </c>
      <c r="Q13" s="90">
        <v>39</v>
      </c>
      <c r="R13" s="37">
        <f t="shared" si="2"/>
        <v>49</v>
      </c>
      <c r="S13" s="18"/>
      <c r="T13" s="18"/>
      <c r="U13" s="32" t="s">
        <v>81</v>
      </c>
    </row>
    <row r="14" spans="1:21" s="4" customFormat="1" ht="27.75" customHeight="1">
      <c r="A14" s="3">
        <v>7</v>
      </c>
      <c r="B14" s="120" t="s">
        <v>12</v>
      </c>
      <c r="C14" s="14" t="e">
        <f t="shared" si="1"/>
        <v>#DIV/0!</v>
      </c>
      <c r="D14" s="14" t="e">
        <v>#DIV/0!</v>
      </c>
      <c r="E14" s="41" t="e">
        <f t="shared" si="0"/>
        <v>#DIV/0!</v>
      </c>
      <c r="F14" s="65"/>
      <c r="G14" s="14"/>
      <c r="H14" s="14"/>
      <c r="I14" s="14"/>
      <c r="J14" s="14"/>
      <c r="K14" s="14"/>
      <c r="L14" s="14"/>
      <c r="M14" s="14"/>
      <c r="N14" s="45"/>
      <c r="O14" s="14"/>
      <c r="P14" s="45"/>
      <c r="Q14" s="88"/>
      <c r="R14" s="24">
        <f>SUM(N14:Q14)</f>
        <v>0</v>
      </c>
      <c r="S14" s="31"/>
      <c r="T14" s="31"/>
      <c r="U14" s="32" t="s">
        <v>78</v>
      </c>
    </row>
    <row r="15" spans="1:21" s="4" customFormat="1" ht="26.25" customHeight="1">
      <c r="A15" s="3">
        <v>8</v>
      </c>
      <c r="B15" s="120" t="s">
        <v>13</v>
      </c>
      <c r="C15" s="14">
        <f>AVERAGE(G15:M15)</f>
        <v>290</v>
      </c>
      <c r="D15" s="14">
        <v>290</v>
      </c>
      <c r="E15" s="41">
        <f t="shared" si="0"/>
        <v>1</v>
      </c>
      <c r="F15" s="65"/>
      <c r="G15" s="14"/>
      <c r="H15" s="14"/>
      <c r="I15" s="14"/>
      <c r="J15" s="14"/>
      <c r="K15" s="14"/>
      <c r="L15" s="14"/>
      <c r="M15" s="14">
        <v>290</v>
      </c>
      <c r="N15" s="45"/>
      <c r="O15" s="14"/>
      <c r="P15" s="45"/>
      <c r="Q15" s="87">
        <f>23/1000</f>
        <v>2.3E-2</v>
      </c>
      <c r="R15" s="24">
        <f>SUM(N15:Q15)</f>
        <v>2.3E-2</v>
      </c>
      <c r="S15" s="31"/>
      <c r="T15" s="31"/>
      <c r="U15" s="32" t="s">
        <v>78</v>
      </c>
    </row>
    <row r="16" spans="1:21" s="4" customFormat="1" ht="29.25" customHeight="1">
      <c r="A16" s="3">
        <v>9</v>
      </c>
      <c r="B16" s="120" t="s">
        <v>14</v>
      </c>
      <c r="C16" s="14">
        <f>AVERAGE(G16:M16)</f>
        <v>172.465</v>
      </c>
      <c r="D16" s="14">
        <v>172.465</v>
      </c>
      <c r="E16" s="46">
        <f t="shared" si="0"/>
        <v>1</v>
      </c>
      <c r="F16" s="63"/>
      <c r="G16" s="14">
        <v>149.99</v>
      </c>
      <c r="H16" s="14">
        <v>149.9</v>
      </c>
      <c r="I16" s="14">
        <v>119.9</v>
      </c>
      <c r="J16" s="14">
        <v>240</v>
      </c>
      <c r="K16" s="14"/>
      <c r="L16" s="14">
        <v>190</v>
      </c>
      <c r="M16" s="14">
        <v>185</v>
      </c>
      <c r="N16" s="24">
        <f>26/1000</f>
        <v>2.5999999999999999E-2</v>
      </c>
      <c r="O16" s="14"/>
      <c r="P16" s="80">
        <f>7.5/1000</f>
        <v>7.4999999999999997E-3</v>
      </c>
      <c r="Q16" s="87">
        <f>40/1000</f>
        <v>0.04</v>
      </c>
      <c r="R16" s="24">
        <f>SUM(N16:Q16)</f>
        <v>7.350000000000001E-2</v>
      </c>
      <c r="S16" s="31"/>
      <c r="T16" s="31"/>
      <c r="U16" s="32" t="s">
        <v>78</v>
      </c>
    </row>
    <row r="17" spans="1:21" s="4" customFormat="1" ht="26.25" customHeight="1">
      <c r="A17" s="3">
        <v>10</v>
      </c>
      <c r="B17" s="120" t="s">
        <v>15</v>
      </c>
      <c r="C17" s="14">
        <f t="shared" si="1"/>
        <v>158.02666666666667</v>
      </c>
      <c r="D17" s="14">
        <v>158.02666666666667</v>
      </c>
      <c r="E17" s="41">
        <f t="shared" si="0"/>
        <v>1</v>
      </c>
      <c r="F17" s="63"/>
      <c r="G17" s="14">
        <v>96.8</v>
      </c>
      <c r="H17" s="14">
        <v>189.9</v>
      </c>
      <c r="I17" s="14">
        <v>187.38</v>
      </c>
      <c r="J17" s="14"/>
      <c r="K17" s="14"/>
      <c r="L17" s="14"/>
      <c r="M17" s="14"/>
      <c r="N17" s="45"/>
      <c r="O17" s="14"/>
      <c r="P17" s="45"/>
      <c r="Q17" s="88"/>
      <c r="R17" s="24">
        <f t="shared" si="2"/>
        <v>0</v>
      </c>
      <c r="S17" s="31"/>
      <c r="T17" s="31"/>
      <c r="U17" s="33"/>
    </row>
    <row r="18" spans="1:21" s="4" customFormat="1" ht="28.5" customHeight="1">
      <c r="A18" s="3">
        <v>11</v>
      </c>
      <c r="B18" s="120" t="s">
        <v>16</v>
      </c>
      <c r="C18" s="14">
        <f t="shared" si="1"/>
        <v>669.15250000000003</v>
      </c>
      <c r="D18" s="14">
        <v>669.15250000000003</v>
      </c>
      <c r="E18" s="41">
        <f t="shared" si="0"/>
        <v>1</v>
      </c>
      <c r="F18" s="63"/>
      <c r="G18" s="14">
        <v>805.5</v>
      </c>
      <c r="H18" s="14">
        <v>749.44</v>
      </c>
      <c r="I18" s="14">
        <v>721.67</v>
      </c>
      <c r="J18" s="14"/>
      <c r="K18" s="14"/>
      <c r="L18" s="14"/>
      <c r="M18" s="14">
        <v>400</v>
      </c>
      <c r="N18" s="45"/>
      <c r="O18" s="14"/>
      <c r="P18" s="45"/>
      <c r="Q18" s="87">
        <f>34.4/1000</f>
        <v>3.44E-2</v>
      </c>
      <c r="R18" s="24">
        <f t="shared" ref="R18:R25" si="3">SUM(N18:Q18)</f>
        <v>3.44E-2</v>
      </c>
      <c r="S18" s="31"/>
      <c r="T18" s="31"/>
      <c r="U18" s="32" t="s">
        <v>78</v>
      </c>
    </row>
    <row r="19" spans="1:21" s="4" customFormat="1" ht="48.75" customHeight="1">
      <c r="A19" s="3">
        <v>12</v>
      </c>
      <c r="B19" s="120" t="s">
        <v>17</v>
      </c>
      <c r="C19" s="14">
        <f t="shared" si="1"/>
        <v>99.533333333333346</v>
      </c>
      <c r="D19" s="14">
        <v>100.69833333333334</v>
      </c>
      <c r="E19" s="74">
        <f t="shared" si="0"/>
        <v>0.98843079163839198</v>
      </c>
      <c r="F19" s="63" t="s">
        <v>91</v>
      </c>
      <c r="G19" s="78">
        <v>91</v>
      </c>
      <c r="H19" s="14">
        <v>99.9</v>
      </c>
      <c r="I19" s="14">
        <v>101.3</v>
      </c>
      <c r="J19" s="14">
        <v>115</v>
      </c>
      <c r="K19" s="14"/>
      <c r="L19" s="14">
        <v>90</v>
      </c>
      <c r="M19" s="14">
        <v>100</v>
      </c>
      <c r="N19" s="24">
        <f>60/1000</f>
        <v>0.06</v>
      </c>
      <c r="O19" s="14"/>
      <c r="P19" s="80">
        <f>75/1000</f>
        <v>7.4999999999999997E-2</v>
      </c>
      <c r="Q19" s="87">
        <f>29/1000</f>
        <v>2.9000000000000001E-2</v>
      </c>
      <c r="R19" s="24">
        <f t="shared" si="3"/>
        <v>0.16400000000000001</v>
      </c>
      <c r="S19" s="31"/>
      <c r="T19" s="31"/>
      <c r="U19" s="32" t="s">
        <v>78</v>
      </c>
    </row>
    <row r="20" spans="1:21" s="4" customFormat="1" ht="26.25" customHeight="1">
      <c r="A20" s="3">
        <v>13</v>
      </c>
      <c r="B20" s="120" t="s">
        <v>18</v>
      </c>
      <c r="C20" s="14">
        <f t="shared" si="1"/>
        <v>58.408333333333331</v>
      </c>
      <c r="D20" s="14">
        <v>58.408333333333331</v>
      </c>
      <c r="E20" s="41">
        <f t="shared" si="0"/>
        <v>1</v>
      </c>
      <c r="F20" s="63"/>
      <c r="G20" s="14">
        <v>46.99</v>
      </c>
      <c r="H20" s="14">
        <v>48.9</v>
      </c>
      <c r="I20" s="14">
        <v>46.56</v>
      </c>
      <c r="J20" s="14">
        <v>68</v>
      </c>
      <c r="K20" s="14"/>
      <c r="L20" s="14">
        <v>75</v>
      </c>
      <c r="M20" s="14">
        <v>65</v>
      </c>
      <c r="N20" s="80">
        <f>175/1000</f>
        <v>0.17499999999999999</v>
      </c>
      <c r="O20" s="14"/>
      <c r="P20" s="80">
        <f>157/1000</f>
        <v>0.157</v>
      </c>
      <c r="Q20" s="87">
        <f>285/1000</f>
        <v>0.28499999999999998</v>
      </c>
      <c r="R20" s="24">
        <f t="shared" si="3"/>
        <v>0.61699999999999999</v>
      </c>
      <c r="S20" s="31"/>
      <c r="T20" s="31"/>
      <c r="U20" s="32" t="s">
        <v>78</v>
      </c>
    </row>
    <row r="21" spans="1:21" s="4" customFormat="1" ht="48.75" customHeight="1">
      <c r="A21" s="3">
        <v>14</v>
      </c>
      <c r="B21" s="120" t="s">
        <v>19</v>
      </c>
      <c r="C21" s="14">
        <f t="shared" si="1"/>
        <v>75.798333333333332</v>
      </c>
      <c r="D21" s="14">
        <v>76.298333333333332</v>
      </c>
      <c r="E21" s="74">
        <f t="shared" si="0"/>
        <v>0.99344677690644179</v>
      </c>
      <c r="F21" s="63" t="s">
        <v>91</v>
      </c>
      <c r="G21" s="78">
        <v>59.99</v>
      </c>
      <c r="H21" s="14">
        <v>64.900000000000006</v>
      </c>
      <c r="I21" s="14">
        <v>67.900000000000006</v>
      </c>
      <c r="J21" s="14">
        <v>95</v>
      </c>
      <c r="K21" s="14"/>
      <c r="L21" s="14">
        <v>77</v>
      </c>
      <c r="M21" s="14">
        <v>90</v>
      </c>
      <c r="N21" s="24">
        <v>2.44</v>
      </c>
      <c r="O21" s="14"/>
      <c r="P21" s="89">
        <f>226/1000</f>
        <v>0.22600000000000001</v>
      </c>
      <c r="Q21" s="87">
        <v>1.1000000000000001</v>
      </c>
      <c r="R21" s="24">
        <f t="shared" si="3"/>
        <v>3.766</v>
      </c>
      <c r="S21" s="31"/>
      <c r="T21" s="31"/>
      <c r="U21" s="32" t="s">
        <v>79</v>
      </c>
    </row>
    <row r="22" spans="1:21" s="4" customFormat="1" ht="28.5" customHeight="1">
      <c r="A22" s="3">
        <v>15</v>
      </c>
      <c r="B22" s="120" t="s">
        <v>20</v>
      </c>
      <c r="C22" s="14">
        <f t="shared" si="1"/>
        <v>44.148333333333333</v>
      </c>
      <c r="D22" s="14">
        <v>44.148333333333333</v>
      </c>
      <c r="E22" s="41">
        <f t="shared" si="0"/>
        <v>1</v>
      </c>
      <c r="F22" s="63"/>
      <c r="G22" s="14">
        <v>33.99</v>
      </c>
      <c r="H22" s="14">
        <v>34.9</v>
      </c>
      <c r="I22" s="14">
        <v>33</v>
      </c>
      <c r="J22" s="14">
        <v>58</v>
      </c>
      <c r="K22" s="14"/>
      <c r="L22" s="14">
        <v>50</v>
      </c>
      <c r="M22" s="14">
        <v>55</v>
      </c>
      <c r="N22" s="24">
        <f>257/1000</f>
        <v>0.25700000000000001</v>
      </c>
      <c r="O22" s="14"/>
      <c r="P22" s="80">
        <f>78/1000</f>
        <v>7.8E-2</v>
      </c>
      <c r="Q22" s="87">
        <f>87/1000</f>
        <v>8.6999999999999994E-2</v>
      </c>
      <c r="R22" s="24">
        <f t="shared" si="3"/>
        <v>0.42200000000000004</v>
      </c>
      <c r="S22" s="31"/>
      <c r="T22" s="31"/>
      <c r="U22" s="32" t="s">
        <v>78</v>
      </c>
    </row>
    <row r="23" spans="1:21" s="4" customFormat="1" ht="34.5" customHeight="1">
      <c r="A23" s="3">
        <v>16</v>
      </c>
      <c r="B23" s="120" t="s">
        <v>21</v>
      </c>
      <c r="C23" s="14">
        <f t="shared" si="1"/>
        <v>15.964999999999998</v>
      </c>
      <c r="D23" s="14">
        <v>15.964999999999998</v>
      </c>
      <c r="E23" s="41">
        <f>C23/D23</f>
        <v>1</v>
      </c>
      <c r="F23" s="63"/>
      <c r="G23" s="14">
        <v>9.99</v>
      </c>
      <c r="H23" s="14">
        <v>16.899999999999999</v>
      </c>
      <c r="I23" s="14">
        <v>8.9</v>
      </c>
      <c r="J23" s="14">
        <v>20</v>
      </c>
      <c r="K23" s="14"/>
      <c r="L23" s="14">
        <v>20</v>
      </c>
      <c r="M23" s="14">
        <v>20</v>
      </c>
      <c r="N23" s="24">
        <f>6/1000</f>
        <v>6.0000000000000001E-3</v>
      </c>
      <c r="O23" s="14"/>
      <c r="P23" s="80">
        <f>116/1000</f>
        <v>0.11600000000000001</v>
      </c>
      <c r="Q23" s="87">
        <f>375/1000</f>
        <v>0.375</v>
      </c>
      <c r="R23" s="24">
        <f t="shared" si="3"/>
        <v>0.497</v>
      </c>
      <c r="S23" s="31"/>
      <c r="T23" s="31"/>
      <c r="U23" s="32" t="s">
        <v>78</v>
      </c>
    </row>
    <row r="24" spans="1:21" s="4" customFormat="1" ht="32.25" customHeight="1">
      <c r="A24" s="3">
        <v>17</v>
      </c>
      <c r="B24" s="120" t="s">
        <v>22</v>
      </c>
      <c r="C24" s="14">
        <f t="shared" si="1"/>
        <v>789.66</v>
      </c>
      <c r="D24" s="14">
        <v>789.66</v>
      </c>
      <c r="E24" s="41">
        <f t="shared" si="0"/>
        <v>1</v>
      </c>
      <c r="F24" s="63"/>
      <c r="G24" s="14">
        <v>479.96</v>
      </c>
      <c r="H24" s="14">
        <v>659</v>
      </c>
      <c r="I24" s="14">
        <v>878</v>
      </c>
      <c r="J24" s="14">
        <v>696</v>
      </c>
      <c r="K24" s="14"/>
      <c r="L24" s="14">
        <v>875</v>
      </c>
      <c r="M24" s="14">
        <v>1150</v>
      </c>
      <c r="N24" s="73">
        <f>3.5/1000</f>
        <v>3.5000000000000001E-3</v>
      </c>
      <c r="O24" s="14"/>
      <c r="P24" s="80">
        <f>34/1000</f>
        <v>3.4000000000000002E-2</v>
      </c>
      <c r="Q24" s="87">
        <f>25.3/1000</f>
        <v>2.53E-2</v>
      </c>
      <c r="R24" s="24">
        <f t="shared" si="3"/>
        <v>6.2800000000000009E-2</v>
      </c>
      <c r="S24" s="31"/>
      <c r="T24" s="31"/>
      <c r="U24" s="32" t="s">
        <v>78</v>
      </c>
    </row>
    <row r="25" spans="1:21" s="4" customFormat="1" ht="32.25" customHeight="1">
      <c r="A25" s="3">
        <v>18</v>
      </c>
      <c r="B25" s="120" t="s">
        <v>62</v>
      </c>
      <c r="C25" s="14">
        <f t="shared" si="1"/>
        <v>44.766666666666673</v>
      </c>
      <c r="D25" s="14">
        <v>44.766666666666673</v>
      </c>
      <c r="E25" s="46">
        <f t="shared" si="0"/>
        <v>1</v>
      </c>
      <c r="F25" s="63"/>
      <c r="G25" s="14">
        <v>39.75</v>
      </c>
      <c r="H25" s="14">
        <v>44.9</v>
      </c>
      <c r="I25" s="14">
        <v>23.45</v>
      </c>
      <c r="J25" s="14">
        <v>64</v>
      </c>
      <c r="K25" s="14"/>
      <c r="L25" s="14">
        <v>39</v>
      </c>
      <c r="M25" s="14">
        <v>57.5</v>
      </c>
      <c r="N25" s="24">
        <f>115/1000</f>
        <v>0.115</v>
      </c>
      <c r="O25" s="14"/>
      <c r="P25" s="80">
        <f>159/1000</f>
        <v>0.159</v>
      </c>
      <c r="Q25" s="87">
        <f>177/1000</f>
        <v>0.17699999999999999</v>
      </c>
      <c r="R25" s="24">
        <f t="shared" si="3"/>
        <v>0.45100000000000001</v>
      </c>
      <c r="S25" s="31"/>
      <c r="T25" s="31"/>
      <c r="U25" s="32" t="s">
        <v>78</v>
      </c>
    </row>
    <row r="26" spans="1:21" s="4" customFormat="1" ht="48" customHeight="1">
      <c r="A26" s="3">
        <v>19</v>
      </c>
      <c r="B26" s="120" t="s">
        <v>23</v>
      </c>
      <c r="C26" s="14">
        <f t="shared" si="1"/>
        <v>60.846666666666664</v>
      </c>
      <c r="D26" s="14">
        <v>61.013333333333328</v>
      </c>
      <c r="E26" s="41">
        <f t="shared" si="0"/>
        <v>0.99726835664335667</v>
      </c>
      <c r="F26" s="63" t="s">
        <v>91</v>
      </c>
      <c r="G26" s="78">
        <v>77.98</v>
      </c>
      <c r="H26" s="14">
        <v>67.8</v>
      </c>
      <c r="I26" s="14">
        <v>51.8</v>
      </c>
      <c r="J26" s="14">
        <v>62.5</v>
      </c>
      <c r="K26" s="14"/>
      <c r="L26" s="14">
        <v>35</v>
      </c>
      <c r="M26" s="14">
        <v>70</v>
      </c>
      <c r="N26" s="45"/>
      <c r="O26" s="14"/>
      <c r="P26" s="45"/>
      <c r="Q26" s="88"/>
      <c r="R26" s="24"/>
      <c r="S26" s="31"/>
      <c r="T26" s="31"/>
      <c r="U26" s="32"/>
    </row>
    <row r="27" spans="1:21" s="4" customFormat="1" ht="41.25" customHeight="1">
      <c r="A27" s="3">
        <v>20</v>
      </c>
      <c r="B27" s="120" t="s">
        <v>24</v>
      </c>
      <c r="C27" s="14">
        <f t="shared" si="1"/>
        <v>56.263333333333328</v>
      </c>
      <c r="D27" s="14">
        <v>56.263333333333328</v>
      </c>
      <c r="E27" s="46">
        <f t="shared" si="0"/>
        <v>1</v>
      </c>
      <c r="F27" s="63"/>
      <c r="G27" s="14">
        <v>69.98</v>
      </c>
      <c r="H27" s="14">
        <v>55.8</v>
      </c>
      <c r="I27" s="14">
        <v>51.8</v>
      </c>
      <c r="J27" s="14">
        <v>52.5</v>
      </c>
      <c r="K27" s="14"/>
      <c r="L27" s="14">
        <v>37.5</v>
      </c>
      <c r="M27" s="14">
        <v>70</v>
      </c>
      <c r="N27" s="45"/>
      <c r="O27" s="14"/>
      <c r="P27" s="45"/>
      <c r="Q27" s="88"/>
      <c r="R27" s="24"/>
      <c r="S27" s="31"/>
      <c r="T27" s="31"/>
      <c r="U27" s="32"/>
    </row>
    <row r="28" spans="1:21" s="4" customFormat="1" ht="30.75" customHeight="1">
      <c r="A28" s="3">
        <v>21</v>
      </c>
      <c r="B28" s="120" t="s">
        <v>25</v>
      </c>
      <c r="C28" s="14">
        <f t="shared" si="1"/>
        <v>88.97166666666665</v>
      </c>
      <c r="D28" s="14">
        <v>88.97166666666665</v>
      </c>
      <c r="E28" s="41">
        <f t="shared" si="0"/>
        <v>1</v>
      </c>
      <c r="F28" s="63"/>
      <c r="G28" s="14">
        <v>85.89</v>
      </c>
      <c r="H28" s="14">
        <v>87.38</v>
      </c>
      <c r="I28" s="14">
        <v>105.56</v>
      </c>
      <c r="J28" s="14">
        <v>110</v>
      </c>
      <c r="K28" s="14"/>
      <c r="L28" s="14">
        <v>65</v>
      </c>
      <c r="M28" s="14">
        <v>80</v>
      </c>
      <c r="N28" s="24">
        <f>19/1000</f>
        <v>1.9E-2</v>
      </c>
      <c r="O28" s="14"/>
      <c r="P28" s="80">
        <f>31.6/1000</f>
        <v>3.1600000000000003E-2</v>
      </c>
      <c r="Q28" s="87">
        <f>56/1000</f>
        <v>5.6000000000000001E-2</v>
      </c>
      <c r="R28" s="24">
        <f t="shared" ref="R28:R39" si="4">SUM(N28:Q28)</f>
        <v>0.1066</v>
      </c>
      <c r="S28" s="31"/>
      <c r="T28" s="31"/>
      <c r="U28" s="32" t="s">
        <v>78</v>
      </c>
    </row>
    <row r="29" spans="1:21" s="4" customFormat="1" ht="45" customHeight="1">
      <c r="A29" s="3">
        <v>22</v>
      </c>
      <c r="B29" s="120" t="s">
        <v>26</v>
      </c>
      <c r="C29" s="14">
        <f t="shared" si="1"/>
        <v>82.960833333333326</v>
      </c>
      <c r="D29" s="14">
        <v>82.127499999999998</v>
      </c>
      <c r="E29" s="69">
        <f t="shared" si="0"/>
        <v>1.0101468245512566</v>
      </c>
      <c r="F29" s="63" t="s">
        <v>91</v>
      </c>
      <c r="G29" s="78">
        <v>59.89</v>
      </c>
      <c r="H29" s="14">
        <v>112.375</v>
      </c>
      <c r="I29" s="14">
        <v>45.5</v>
      </c>
      <c r="J29" s="14">
        <v>110</v>
      </c>
      <c r="K29" s="14"/>
      <c r="L29" s="14">
        <v>95</v>
      </c>
      <c r="M29" s="14">
        <v>75</v>
      </c>
      <c r="N29" s="45">
        <f>13/1000</f>
        <v>1.2999999999999999E-2</v>
      </c>
      <c r="O29" s="14"/>
      <c r="P29" s="80">
        <f>5.4/1000</f>
        <v>5.4000000000000003E-3</v>
      </c>
      <c r="Q29" s="88">
        <f>11/1000</f>
        <v>1.0999999999999999E-2</v>
      </c>
      <c r="R29" s="24">
        <f t="shared" si="4"/>
        <v>2.9399999999999999E-2</v>
      </c>
      <c r="S29" s="31"/>
      <c r="T29" s="31"/>
      <c r="U29" s="32" t="s">
        <v>78</v>
      </c>
    </row>
    <row r="30" spans="1:21" s="4" customFormat="1" ht="51.75" customHeight="1">
      <c r="A30" s="3">
        <v>23</v>
      </c>
      <c r="B30" s="120" t="s">
        <v>27</v>
      </c>
      <c r="C30" s="14">
        <f t="shared" si="1"/>
        <v>82.857500000000002</v>
      </c>
      <c r="D30" s="14">
        <v>80.774166666666659</v>
      </c>
      <c r="E30" s="69">
        <f t="shared" si="0"/>
        <v>1.0257920746113136</v>
      </c>
      <c r="F30" s="63" t="s">
        <v>90</v>
      </c>
      <c r="G30" s="14">
        <v>79.89</v>
      </c>
      <c r="H30" s="14">
        <v>99.875</v>
      </c>
      <c r="I30" s="78">
        <v>67.38</v>
      </c>
      <c r="J30" s="14">
        <v>105</v>
      </c>
      <c r="K30" s="14"/>
      <c r="L30" s="14">
        <v>70</v>
      </c>
      <c r="M30" s="14">
        <v>75</v>
      </c>
      <c r="N30" s="24">
        <f>19/1000</f>
        <v>1.9E-2</v>
      </c>
      <c r="O30" s="14"/>
      <c r="P30" s="80">
        <f>20.6/1000</f>
        <v>2.06E-2</v>
      </c>
      <c r="Q30" s="87">
        <f>12/1000</f>
        <v>1.2E-2</v>
      </c>
      <c r="R30" s="24">
        <f t="shared" si="4"/>
        <v>5.1599999999999993E-2</v>
      </c>
      <c r="S30" s="31"/>
      <c r="T30" s="31"/>
      <c r="U30" s="32" t="s">
        <v>78</v>
      </c>
    </row>
    <row r="31" spans="1:21" ht="28.5" customHeight="1">
      <c r="A31" s="2">
        <v>24</v>
      </c>
      <c r="B31" s="119" t="s">
        <v>28</v>
      </c>
      <c r="C31" s="14">
        <f t="shared" si="1"/>
        <v>42.273333333333333</v>
      </c>
      <c r="D31" s="14">
        <v>42.273333333333333</v>
      </c>
      <c r="E31" s="41">
        <f t="shared" si="0"/>
        <v>1</v>
      </c>
      <c r="F31" s="63"/>
      <c r="G31" s="14">
        <v>28.88</v>
      </c>
      <c r="H31" s="14">
        <v>74.88</v>
      </c>
      <c r="I31" s="14">
        <v>28.63</v>
      </c>
      <c r="J31" s="14">
        <v>56.25</v>
      </c>
      <c r="K31" s="14"/>
      <c r="L31" s="14">
        <v>40</v>
      </c>
      <c r="M31" s="14">
        <v>25</v>
      </c>
      <c r="N31" s="24">
        <f>44/1000</f>
        <v>4.3999999999999997E-2</v>
      </c>
      <c r="O31" s="14"/>
      <c r="P31" s="80">
        <f>62.2/1000</f>
        <v>6.2200000000000005E-2</v>
      </c>
      <c r="Q31" s="87">
        <f>170/1000</f>
        <v>0.17</v>
      </c>
      <c r="R31" s="24">
        <f t="shared" si="4"/>
        <v>0.2762</v>
      </c>
      <c r="S31" s="18"/>
      <c r="T31" s="18"/>
      <c r="U31" s="32" t="s">
        <v>78</v>
      </c>
    </row>
    <row r="32" spans="1:21" ht="50.25" customHeight="1">
      <c r="A32" s="2">
        <v>25</v>
      </c>
      <c r="B32" s="119" t="s">
        <v>29</v>
      </c>
      <c r="C32" s="14">
        <f t="shared" si="1"/>
        <v>140.49222222222224</v>
      </c>
      <c r="D32" s="14">
        <v>140.49222222222224</v>
      </c>
      <c r="E32" s="41">
        <f t="shared" si="0"/>
        <v>1</v>
      </c>
      <c r="F32" s="63"/>
      <c r="G32" s="14">
        <v>170.72</v>
      </c>
      <c r="H32" s="14">
        <v>159.73333333333332</v>
      </c>
      <c r="I32" s="14">
        <v>112.5</v>
      </c>
      <c r="J32" s="14">
        <v>140</v>
      </c>
      <c r="K32" s="14"/>
      <c r="L32" s="14">
        <v>120</v>
      </c>
      <c r="M32" s="14">
        <v>140</v>
      </c>
      <c r="N32" s="45">
        <f>13/1000</f>
        <v>1.2999999999999999E-2</v>
      </c>
      <c r="O32" s="14"/>
      <c r="P32" s="80">
        <f>32/1000</f>
        <v>3.2000000000000001E-2</v>
      </c>
      <c r="Q32" s="87">
        <f>55/1000</f>
        <v>5.5E-2</v>
      </c>
      <c r="R32" s="24">
        <f t="shared" si="4"/>
        <v>0.1</v>
      </c>
      <c r="S32" s="18"/>
      <c r="T32" s="18"/>
      <c r="U32" s="32" t="s">
        <v>78</v>
      </c>
    </row>
    <row r="33" spans="1:21" ht="42.75" customHeight="1">
      <c r="A33" s="2">
        <v>26</v>
      </c>
      <c r="B33" s="119" t="s">
        <v>30</v>
      </c>
      <c r="C33" s="14">
        <f t="shared" si="1"/>
        <v>72.914166666666674</v>
      </c>
      <c r="D33" s="14">
        <v>72.914166666666674</v>
      </c>
      <c r="E33" s="41">
        <f t="shared" si="0"/>
        <v>1</v>
      </c>
      <c r="F33" s="63"/>
      <c r="G33" s="14">
        <v>104.44</v>
      </c>
      <c r="H33" s="14">
        <v>87.375</v>
      </c>
      <c r="I33" s="14">
        <v>106.67</v>
      </c>
      <c r="J33" s="14">
        <v>48</v>
      </c>
      <c r="K33" s="14"/>
      <c r="L33" s="14">
        <v>46</v>
      </c>
      <c r="M33" s="14">
        <v>45</v>
      </c>
      <c r="N33" s="24">
        <f>19/1000</f>
        <v>1.9E-2</v>
      </c>
      <c r="O33" s="14"/>
      <c r="P33" s="80">
        <f>66.4/1000</f>
        <v>6.6400000000000001E-2</v>
      </c>
      <c r="Q33" s="87">
        <f>73/1000</f>
        <v>7.2999999999999995E-2</v>
      </c>
      <c r="R33" s="24">
        <f t="shared" si="4"/>
        <v>0.15839999999999999</v>
      </c>
      <c r="S33" s="18"/>
      <c r="T33" s="18"/>
      <c r="U33" s="32" t="s">
        <v>78</v>
      </c>
    </row>
    <row r="34" spans="1:21" s="7" customFormat="1" ht="51" customHeight="1">
      <c r="A34" s="10">
        <v>27</v>
      </c>
      <c r="B34" s="119" t="s">
        <v>31</v>
      </c>
      <c r="C34" s="14">
        <f>AVERAGE(G34:M34)</f>
        <v>28.116666666666664</v>
      </c>
      <c r="D34" s="14">
        <v>27.116666666666664</v>
      </c>
      <c r="E34" s="69">
        <f t="shared" si="0"/>
        <v>1.0368776889981561</v>
      </c>
      <c r="F34" s="63" t="s">
        <v>90</v>
      </c>
      <c r="G34" s="14">
        <v>20.9</v>
      </c>
      <c r="H34" s="14">
        <v>22.9</v>
      </c>
      <c r="I34" s="78">
        <v>19.899999999999999</v>
      </c>
      <c r="J34" s="14">
        <v>40</v>
      </c>
      <c r="K34" s="14"/>
      <c r="L34" s="14">
        <v>35</v>
      </c>
      <c r="M34" s="14">
        <v>30</v>
      </c>
      <c r="N34" s="80">
        <f>32/1000</f>
        <v>3.2000000000000001E-2</v>
      </c>
      <c r="O34" s="14"/>
      <c r="P34" s="80">
        <f>15/1000</f>
        <v>1.4999999999999999E-2</v>
      </c>
      <c r="Q34" s="87">
        <f>99/1000</f>
        <v>9.9000000000000005E-2</v>
      </c>
      <c r="R34" s="24">
        <f t="shared" si="4"/>
        <v>0.14600000000000002</v>
      </c>
      <c r="S34" s="18"/>
      <c r="T34" s="18"/>
      <c r="U34" s="32" t="s">
        <v>78</v>
      </c>
    </row>
    <row r="35" spans="1:21" s="7" customFormat="1" ht="30.75" customHeight="1">
      <c r="A35" s="10">
        <v>28</v>
      </c>
      <c r="B35" s="119" t="s">
        <v>32</v>
      </c>
      <c r="C35" s="14">
        <f t="shared" si="1"/>
        <v>34.214999999999996</v>
      </c>
      <c r="D35" s="14">
        <v>34.214999999999996</v>
      </c>
      <c r="E35" s="41">
        <f t="shared" si="0"/>
        <v>1</v>
      </c>
      <c r="F35" s="63"/>
      <c r="G35" s="14">
        <v>29.99</v>
      </c>
      <c r="H35" s="14">
        <v>29.9</v>
      </c>
      <c r="I35" s="14">
        <v>27.4</v>
      </c>
      <c r="J35" s="14">
        <v>48</v>
      </c>
      <c r="K35" s="14"/>
      <c r="L35" s="14">
        <v>35</v>
      </c>
      <c r="M35" s="14">
        <v>35</v>
      </c>
      <c r="N35" s="80">
        <f>90/1000</f>
        <v>0.09</v>
      </c>
      <c r="O35" s="14"/>
      <c r="P35" s="80">
        <f>12/1000</f>
        <v>1.2E-2</v>
      </c>
      <c r="Q35" s="87">
        <f>57/1000</f>
        <v>5.7000000000000002E-2</v>
      </c>
      <c r="R35" s="24">
        <f t="shared" si="4"/>
        <v>0.159</v>
      </c>
      <c r="S35" s="18"/>
      <c r="T35" s="18"/>
      <c r="U35" s="32" t="s">
        <v>78</v>
      </c>
    </row>
    <row r="36" spans="1:21" s="7" customFormat="1" ht="30.75" customHeight="1">
      <c r="A36" s="10">
        <v>29</v>
      </c>
      <c r="B36" s="119" t="s">
        <v>33</v>
      </c>
      <c r="C36" s="14">
        <f t="shared" si="1"/>
        <v>47.816666666666663</v>
      </c>
      <c r="D36" s="14">
        <v>47.816666666666663</v>
      </c>
      <c r="E36" s="46">
        <f t="shared" si="0"/>
        <v>1</v>
      </c>
      <c r="F36" s="63"/>
      <c r="G36" s="14">
        <v>42.1</v>
      </c>
      <c r="H36" s="14">
        <v>59.9</v>
      </c>
      <c r="I36" s="14">
        <v>43.9</v>
      </c>
      <c r="J36" s="14">
        <v>58</v>
      </c>
      <c r="K36" s="14"/>
      <c r="L36" s="14">
        <v>38</v>
      </c>
      <c r="M36" s="14">
        <v>45</v>
      </c>
      <c r="N36" s="80">
        <f>44/1000</f>
        <v>4.3999999999999997E-2</v>
      </c>
      <c r="O36" s="14"/>
      <c r="P36" s="80">
        <f>9/1000</f>
        <v>8.9999999999999993E-3</v>
      </c>
      <c r="Q36" s="87">
        <f>110/1000</f>
        <v>0.11</v>
      </c>
      <c r="R36" s="24">
        <f t="shared" si="4"/>
        <v>0.16300000000000001</v>
      </c>
      <c r="S36" s="18"/>
      <c r="T36" s="18"/>
      <c r="U36" s="32" t="s">
        <v>78</v>
      </c>
    </row>
    <row r="37" spans="1:21" s="7" customFormat="1" ht="46.5" customHeight="1">
      <c r="A37" s="10">
        <v>30</v>
      </c>
      <c r="B37" s="119" t="s">
        <v>34</v>
      </c>
      <c r="C37" s="14">
        <f t="shared" si="1"/>
        <v>57.449999999999996</v>
      </c>
      <c r="D37" s="14">
        <v>57.083333333333336</v>
      </c>
      <c r="E37" s="69">
        <f t="shared" si="0"/>
        <v>1.0064233576642334</v>
      </c>
      <c r="F37" s="63" t="s">
        <v>90</v>
      </c>
      <c r="G37" s="14">
        <v>34.700000000000003</v>
      </c>
      <c r="H37" s="14">
        <v>59.9</v>
      </c>
      <c r="I37" s="78">
        <v>30.1</v>
      </c>
      <c r="J37" s="14">
        <v>90</v>
      </c>
      <c r="K37" s="14"/>
      <c r="L37" s="14">
        <v>95</v>
      </c>
      <c r="M37" s="14">
        <v>35</v>
      </c>
      <c r="N37" s="24">
        <f>3/1000</f>
        <v>3.0000000000000001E-3</v>
      </c>
      <c r="O37" s="14"/>
      <c r="P37" s="80">
        <f>0.5/1000</f>
        <v>5.0000000000000001E-4</v>
      </c>
      <c r="Q37" s="87">
        <f>29/1000</f>
        <v>2.9000000000000001E-2</v>
      </c>
      <c r="R37" s="24">
        <f t="shared" si="4"/>
        <v>3.2500000000000001E-2</v>
      </c>
      <c r="S37" s="18"/>
      <c r="T37" s="18"/>
      <c r="U37" s="32" t="s">
        <v>78</v>
      </c>
    </row>
    <row r="38" spans="1:21" ht="33" customHeight="1">
      <c r="A38" s="2">
        <v>31</v>
      </c>
      <c r="B38" s="119" t="s">
        <v>35</v>
      </c>
      <c r="C38" s="14">
        <f t="shared" si="1"/>
        <v>117.79833333333333</v>
      </c>
      <c r="D38" s="14">
        <v>117.79833333333333</v>
      </c>
      <c r="E38" s="46">
        <f t="shared" si="0"/>
        <v>1</v>
      </c>
      <c r="F38" s="63"/>
      <c r="G38" s="14">
        <v>86.99</v>
      </c>
      <c r="H38" s="14">
        <v>94.9</v>
      </c>
      <c r="I38" s="14">
        <v>109.9</v>
      </c>
      <c r="J38" s="14">
        <v>140</v>
      </c>
      <c r="K38" s="14"/>
      <c r="L38" s="14">
        <v>140</v>
      </c>
      <c r="M38" s="14">
        <v>135</v>
      </c>
      <c r="N38" s="80">
        <f>65/1000</f>
        <v>6.5000000000000002E-2</v>
      </c>
      <c r="O38" s="14"/>
      <c r="P38" s="80">
        <f>25/1000</f>
        <v>2.5000000000000001E-2</v>
      </c>
      <c r="Q38" s="87">
        <f>65/1000</f>
        <v>6.5000000000000002E-2</v>
      </c>
      <c r="R38" s="24">
        <f>SUM(N38:Q38)</f>
        <v>0.155</v>
      </c>
      <c r="S38" s="18"/>
      <c r="T38" s="18"/>
      <c r="U38" s="32" t="s">
        <v>78</v>
      </c>
    </row>
    <row r="39" spans="1:21" ht="39.75" customHeight="1">
      <c r="A39" s="2">
        <v>32</v>
      </c>
      <c r="B39" s="119" t="s">
        <v>36</v>
      </c>
      <c r="C39" s="14">
        <f t="shared" si="1"/>
        <v>813.35047619047634</v>
      </c>
      <c r="D39" s="14">
        <v>813.35047619047634</v>
      </c>
      <c r="E39" s="41">
        <f t="shared" si="0"/>
        <v>1</v>
      </c>
      <c r="F39" s="65"/>
      <c r="G39" s="14">
        <v>898.73</v>
      </c>
      <c r="H39" s="14">
        <v>542.57142857142867</v>
      </c>
      <c r="I39" s="14">
        <v>998.75</v>
      </c>
      <c r="J39" s="14"/>
      <c r="K39" s="14"/>
      <c r="L39" s="14"/>
      <c r="M39" s="14"/>
      <c r="N39" s="47"/>
      <c r="O39" s="14"/>
      <c r="P39" s="45"/>
      <c r="Q39" s="91"/>
      <c r="R39" s="24">
        <f t="shared" si="4"/>
        <v>0</v>
      </c>
      <c r="S39" s="18"/>
      <c r="T39" s="18"/>
      <c r="U39" s="33"/>
    </row>
    <row r="40" spans="1:21" ht="21" customHeight="1">
      <c r="A40" s="8"/>
      <c r="B40" s="21" t="s">
        <v>76</v>
      </c>
      <c r="C40" s="22"/>
      <c r="D40" s="72"/>
      <c r="E40" s="44"/>
      <c r="F40" s="66"/>
      <c r="G40" s="44"/>
      <c r="H40" s="44"/>
      <c r="I40" s="44"/>
      <c r="J40" s="44"/>
      <c r="K40" s="44"/>
      <c r="L40" s="44"/>
      <c r="M40" s="28"/>
      <c r="N40" s="48"/>
      <c r="O40" s="28"/>
      <c r="P40" s="28"/>
      <c r="Q40" s="28"/>
      <c r="R40" s="35"/>
      <c r="S40" s="28"/>
      <c r="T40" s="28"/>
      <c r="U40" s="28"/>
    </row>
    <row r="41" spans="1:21" ht="24.75" customHeight="1">
      <c r="A41" s="2">
        <v>33</v>
      </c>
      <c r="B41" s="121" t="s">
        <v>37</v>
      </c>
      <c r="C41" s="14" t="e">
        <f t="shared" ref="C41:C63" si="5">AVERAGE(G41:M41)</f>
        <v>#DIV/0!</v>
      </c>
      <c r="D41" s="14" t="e">
        <v>#DIV/0!</v>
      </c>
      <c r="E41" s="49" t="e">
        <f>C41/D41</f>
        <v>#DIV/0!</v>
      </c>
      <c r="F41" s="65"/>
      <c r="G41" s="50"/>
      <c r="H41" s="50"/>
      <c r="I41" s="50"/>
      <c r="J41" s="51"/>
      <c r="K41" s="50"/>
      <c r="L41" s="50"/>
      <c r="M41" s="50"/>
      <c r="N41" s="52"/>
      <c r="O41" s="50"/>
      <c r="P41" s="92"/>
      <c r="Q41" s="50"/>
      <c r="R41" s="38">
        <f t="shared" si="2"/>
        <v>0</v>
      </c>
      <c r="S41" s="18"/>
      <c r="T41" s="18"/>
      <c r="U41" s="33"/>
    </row>
    <row r="42" spans="1:21" ht="30.75" customHeight="1">
      <c r="A42" s="2">
        <v>34</v>
      </c>
      <c r="B42" s="122" t="s">
        <v>38</v>
      </c>
      <c r="C42" s="14">
        <f t="shared" si="5"/>
        <v>94.16</v>
      </c>
      <c r="D42" s="14">
        <v>94.16</v>
      </c>
      <c r="E42" s="49">
        <f t="shared" ref="E42:E63" si="6">C42/D42</f>
        <v>1</v>
      </c>
      <c r="F42" s="63"/>
      <c r="G42" s="53"/>
      <c r="H42" s="53">
        <v>107.07</v>
      </c>
      <c r="I42" s="53"/>
      <c r="J42" s="54"/>
      <c r="K42" s="53">
        <v>81.25</v>
      </c>
      <c r="L42" s="53"/>
      <c r="M42" s="53"/>
      <c r="N42" s="52"/>
      <c r="O42" s="82">
        <v>186</v>
      </c>
      <c r="P42" s="93"/>
      <c r="Q42" s="53"/>
      <c r="R42" s="38">
        <f t="shared" si="2"/>
        <v>186</v>
      </c>
      <c r="S42" s="18"/>
      <c r="T42" s="18"/>
      <c r="U42" s="32" t="s">
        <v>88</v>
      </c>
    </row>
    <row r="43" spans="1:21" ht="24.75" customHeight="1">
      <c r="A43" s="2">
        <v>35</v>
      </c>
      <c r="B43" s="122" t="s">
        <v>39</v>
      </c>
      <c r="C43" s="14">
        <f t="shared" si="5"/>
        <v>1299</v>
      </c>
      <c r="D43" s="14">
        <v>1299</v>
      </c>
      <c r="E43" s="49">
        <f t="shared" si="6"/>
        <v>1</v>
      </c>
      <c r="F43" s="65"/>
      <c r="G43" s="55"/>
      <c r="H43" s="55"/>
      <c r="I43" s="55"/>
      <c r="J43" s="56"/>
      <c r="K43" s="55">
        <v>1299</v>
      </c>
      <c r="L43" s="55"/>
      <c r="M43" s="55"/>
      <c r="N43" s="52"/>
      <c r="O43" s="83">
        <v>80</v>
      </c>
      <c r="P43" s="93"/>
      <c r="Q43" s="55"/>
      <c r="R43" s="38">
        <f t="shared" si="2"/>
        <v>80</v>
      </c>
      <c r="S43" s="18"/>
      <c r="T43" s="18"/>
      <c r="U43" s="32" t="s">
        <v>88</v>
      </c>
    </row>
    <row r="44" spans="1:21" ht="30" customHeight="1">
      <c r="A44" s="2">
        <v>36</v>
      </c>
      <c r="B44" s="122" t="s">
        <v>48</v>
      </c>
      <c r="C44" s="14">
        <f t="shared" si="5"/>
        <v>56.415555555555557</v>
      </c>
      <c r="D44" s="14">
        <v>56.415555555555557</v>
      </c>
      <c r="E44" s="49">
        <f t="shared" si="6"/>
        <v>1</v>
      </c>
      <c r="F44" s="63"/>
      <c r="G44" s="53">
        <v>55.16</v>
      </c>
      <c r="H44" s="53">
        <v>74.916666666666671</v>
      </c>
      <c r="I44" s="53">
        <v>39.17</v>
      </c>
      <c r="J44" s="53"/>
      <c r="K44" s="53"/>
      <c r="L44" s="53"/>
      <c r="M44" s="53"/>
      <c r="N44" s="57"/>
      <c r="O44" s="53"/>
      <c r="P44" s="93"/>
      <c r="Q44" s="53"/>
      <c r="R44" s="38">
        <f t="shared" si="2"/>
        <v>0</v>
      </c>
      <c r="S44" s="18"/>
      <c r="T44" s="18"/>
      <c r="U44" s="32"/>
    </row>
    <row r="45" spans="1:21" ht="27.75" customHeight="1">
      <c r="A45" s="2">
        <v>37</v>
      </c>
      <c r="B45" s="122" t="s">
        <v>52</v>
      </c>
      <c r="C45" s="14">
        <f t="shared" si="5"/>
        <v>21.973749999999999</v>
      </c>
      <c r="D45" s="14">
        <v>21.973749999999999</v>
      </c>
      <c r="E45" s="49">
        <f t="shared" si="6"/>
        <v>1</v>
      </c>
      <c r="F45" s="65"/>
      <c r="G45" s="53">
        <v>22.495000000000001</v>
      </c>
      <c r="H45" s="53">
        <v>39.9</v>
      </c>
      <c r="I45" s="53">
        <v>8</v>
      </c>
      <c r="J45" s="53">
        <f>35/2</f>
        <v>17.5</v>
      </c>
      <c r="K45" s="53"/>
      <c r="L45" s="53"/>
      <c r="M45" s="53"/>
      <c r="N45" s="58">
        <v>33</v>
      </c>
      <c r="O45" s="53"/>
      <c r="P45" s="93"/>
      <c r="Q45" s="53"/>
      <c r="R45" s="38">
        <f t="shared" si="2"/>
        <v>33</v>
      </c>
      <c r="S45" s="18"/>
      <c r="T45" s="18"/>
      <c r="U45" s="32" t="s">
        <v>82</v>
      </c>
    </row>
    <row r="46" spans="1:21" ht="30.75" customHeight="1">
      <c r="A46" s="2">
        <v>38</v>
      </c>
      <c r="B46" s="122" t="s">
        <v>40</v>
      </c>
      <c r="C46" s="14">
        <f t="shared" si="5"/>
        <v>41.437407407407413</v>
      </c>
      <c r="D46" s="14">
        <v>41.437407407407413</v>
      </c>
      <c r="E46" s="49">
        <f t="shared" si="6"/>
        <v>1</v>
      </c>
      <c r="F46" s="63"/>
      <c r="G46" s="14">
        <v>67.87</v>
      </c>
      <c r="H46" s="14">
        <v>33.222222222222221</v>
      </c>
      <c r="I46" s="14">
        <v>23.22</v>
      </c>
      <c r="J46" s="14"/>
      <c r="K46" s="14"/>
      <c r="L46" s="14"/>
      <c r="M46" s="14"/>
      <c r="N46" s="58"/>
      <c r="O46" s="14"/>
      <c r="P46" s="23"/>
      <c r="Q46" s="14"/>
      <c r="R46" s="38">
        <f t="shared" si="2"/>
        <v>0</v>
      </c>
      <c r="S46" s="18"/>
      <c r="T46" s="18"/>
      <c r="U46" s="32"/>
    </row>
    <row r="47" spans="1:21" ht="51" customHeight="1">
      <c r="A47" s="2">
        <v>39</v>
      </c>
      <c r="B47" s="122" t="s">
        <v>41</v>
      </c>
      <c r="C47" s="14">
        <f t="shared" si="5"/>
        <v>29.03</v>
      </c>
      <c r="D47" s="14">
        <v>29.63</v>
      </c>
      <c r="E47" s="79">
        <f t="shared" si="6"/>
        <v>0.97975025312183606</v>
      </c>
      <c r="F47" s="63" t="s">
        <v>90</v>
      </c>
      <c r="G47" s="14">
        <v>25.32</v>
      </c>
      <c r="H47" s="14">
        <v>39.9</v>
      </c>
      <c r="I47" s="78">
        <v>15.9</v>
      </c>
      <c r="J47" s="14">
        <v>35</v>
      </c>
      <c r="K47" s="14"/>
      <c r="L47" s="14"/>
      <c r="M47" s="14"/>
      <c r="N47" s="58">
        <v>18</v>
      </c>
      <c r="O47" s="14"/>
      <c r="P47" s="23"/>
      <c r="Q47" s="14"/>
      <c r="R47" s="38">
        <f t="shared" si="2"/>
        <v>18</v>
      </c>
      <c r="S47" s="18"/>
      <c r="T47" s="18"/>
      <c r="U47" s="32" t="s">
        <v>80</v>
      </c>
    </row>
    <row r="48" spans="1:21" ht="27.75" customHeight="1">
      <c r="A48" s="2">
        <v>40</v>
      </c>
      <c r="B48" s="122" t="s">
        <v>42</v>
      </c>
      <c r="C48" s="14">
        <f t="shared" si="5"/>
        <v>60.77</v>
      </c>
      <c r="D48" s="14">
        <v>60.77</v>
      </c>
      <c r="E48" s="49">
        <f t="shared" si="6"/>
        <v>1</v>
      </c>
      <c r="F48" s="65"/>
      <c r="G48" s="14">
        <v>53.25</v>
      </c>
      <c r="H48" s="14">
        <v>69.900000000000006</v>
      </c>
      <c r="I48" s="14">
        <v>59.93</v>
      </c>
      <c r="J48" s="14">
        <f>120/150*75</f>
        <v>60</v>
      </c>
      <c r="K48" s="14"/>
      <c r="L48" s="14"/>
      <c r="M48" s="14"/>
      <c r="N48" s="58">
        <v>15</v>
      </c>
      <c r="O48" s="14"/>
      <c r="P48" s="23"/>
      <c r="Q48" s="14"/>
      <c r="R48" s="38">
        <f t="shared" si="2"/>
        <v>15</v>
      </c>
      <c r="S48" s="18"/>
      <c r="T48" s="18"/>
      <c r="U48" s="32" t="s">
        <v>80</v>
      </c>
    </row>
    <row r="49" spans="1:27" ht="26.25" customHeight="1">
      <c r="A49" s="2">
        <v>41</v>
      </c>
      <c r="B49" s="122" t="s">
        <v>43</v>
      </c>
      <c r="C49" s="14">
        <f t="shared" si="5"/>
        <v>60.922499999999999</v>
      </c>
      <c r="D49" s="14">
        <v>60.922499999999999</v>
      </c>
      <c r="E49" s="49">
        <f t="shared" si="6"/>
        <v>1</v>
      </c>
      <c r="F49" s="65"/>
      <c r="G49" s="14">
        <v>79.790000000000006</v>
      </c>
      <c r="H49" s="14">
        <v>49.9</v>
      </c>
      <c r="I49" s="14">
        <v>39</v>
      </c>
      <c r="J49" s="14">
        <v>75</v>
      </c>
      <c r="K49" s="14"/>
      <c r="L49" s="14"/>
      <c r="M49" s="14"/>
      <c r="N49" s="58">
        <v>12</v>
      </c>
      <c r="O49" s="14"/>
      <c r="P49" s="23"/>
      <c r="Q49" s="14"/>
      <c r="R49" s="38">
        <f t="shared" si="2"/>
        <v>12</v>
      </c>
      <c r="S49" s="18"/>
      <c r="T49" s="18"/>
      <c r="U49" s="32" t="s">
        <v>80</v>
      </c>
    </row>
    <row r="50" spans="1:27" ht="26.25" customHeight="1">
      <c r="A50" s="2">
        <v>42</v>
      </c>
      <c r="B50" s="122" t="s">
        <v>49</v>
      </c>
      <c r="C50" s="14">
        <f t="shared" si="5"/>
        <v>12.8675</v>
      </c>
      <c r="D50" s="14">
        <v>12.8675</v>
      </c>
      <c r="E50" s="49">
        <f t="shared" si="6"/>
        <v>1</v>
      </c>
      <c r="F50" s="63"/>
      <c r="G50" s="14">
        <v>8.99</v>
      </c>
      <c r="H50" s="14">
        <v>12.48</v>
      </c>
      <c r="I50" s="14">
        <v>8</v>
      </c>
      <c r="J50" s="14">
        <v>22</v>
      </c>
      <c r="K50" s="14"/>
      <c r="L50" s="14"/>
      <c r="M50" s="14"/>
      <c r="N50" s="81">
        <v>375</v>
      </c>
      <c r="O50" s="14"/>
      <c r="P50" s="23"/>
      <c r="Q50" s="14"/>
      <c r="R50" s="38">
        <f t="shared" si="2"/>
        <v>375</v>
      </c>
      <c r="S50" s="18"/>
      <c r="T50" s="18"/>
      <c r="U50" s="32" t="s">
        <v>80</v>
      </c>
    </row>
    <row r="51" spans="1:27" ht="40.5" customHeight="1">
      <c r="A51" s="12">
        <v>43</v>
      </c>
      <c r="B51" s="122" t="s">
        <v>50</v>
      </c>
      <c r="C51" s="14">
        <f t="shared" si="5"/>
        <v>16.256666666666664</v>
      </c>
      <c r="D51" s="14">
        <v>16.256666666666664</v>
      </c>
      <c r="E51" s="49">
        <f t="shared" si="6"/>
        <v>1</v>
      </c>
      <c r="F51" s="65"/>
      <c r="G51" s="14">
        <v>11.5</v>
      </c>
      <c r="H51" s="14">
        <v>19.95</v>
      </c>
      <c r="I51" s="14">
        <v>17.32</v>
      </c>
      <c r="J51" s="14"/>
      <c r="K51" s="14"/>
      <c r="L51" s="14"/>
      <c r="M51" s="14"/>
      <c r="N51" s="58"/>
      <c r="O51" s="14"/>
      <c r="P51" s="23"/>
      <c r="Q51" s="14"/>
      <c r="R51" s="38">
        <f t="shared" si="2"/>
        <v>0</v>
      </c>
      <c r="S51" s="18"/>
      <c r="T51" s="18"/>
      <c r="U51" s="32"/>
    </row>
    <row r="52" spans="1:27" ht="43.5" customHeight="1">
      <c r="A52" s="12">
        <v>44</v>
      </c>
      <c r="B52" s="122" t="s">
        <v>44</v>
      </c>
      <c r="C52" s="14">
        <f t="shared" si="5"/>
        <v>133.26805555555555</v>
      </c>
      <c r="D52" s="14">
        <v>133.26805555555555</v>
      </c>
      <c r="E52" s="49">
        <f t="shared" si="6"/>
        <v>1</v>
      </c>
      <c r="F52" s="63"/>
      <c r="G52" s="14">
        <v>164.48333333333335</v>
      </c>
      <c r="H52" s="14">
        <v>99.749999999999986</v>
      </c>
      <c r="I52" s="14">
        <v>139.94999999999999</v>
      </c>
      <c r="J52" s="14">
        <f>58/0.45</f>
        <v>128.88888888888889</v>
      </c>
      <c r="K52" s="14"/>
      <c r="L52" s="14"/>
      <c r="M52" s="14"/>
      <c r="N52" s="58">
        <v>22</v>
      </c>
      <c r="O52" s="14"/>
      <c r="P52" s="23"/>
      <c r="Q52" s="14"/>
      <c r="R52" s="38">
        <f>SUM(N52:Q52)</f>
        <v>22</v>
      </c>
      <c r="S52" s="18"/>
      <c r="T52" s="18"/>
      <c r="U52" s="32" t="s">
        <v>80</v>
      </c>
    </row>
    <row r="53" spans="1:27" ht="45.75" customHeight="1">
      <c r="A53" s="12">
        <v>53.25</v>
      </c>
      <c r="B53" s="122" t="s">
        <v>51</v>
      </c>
      <c r="C53" s="14">
        <f t="shared" si="5"/>
        <v>149.59575757575757</v>
      </c>
      <c r="D53" s="14">
        <v>147.2152813852814</v>
      </c>
      <c r="E53" s="79">
        <f t="shared" si="6"/>
        <v>1.0161700345784495</v>
      </c>
      <c r="F53" s="63" t="s">
        <v>90</v>
      </c>
      <c r="G53" s="14">
        <v>159.99</v>
      </c>
      <c r="H53" s="14">
        <v>181.72727272727272</v>
      </c>
      <c r="I53" s="78">
        <v>107.07</v>
      </c>
      <c r="J53" s="14"/>
      <c r="K53" s="14"/>
      <c r="L53" s="14"/>
      <c r="M53" s="14"/>
      <c r="N53" s="58"/>
      <c r="O53" s="14"/>
      <c r="P53" s="23"/>
      <c r="Q53" s="14"/>
      <c r="R53" s="38">
        <f t="shared" si="2"/>
        <v>0</v>
      </c>
      <c r="S53" s="18"/>
      <c r="T53" s="18"/>
      <c r="U53" s="32"/>
      <c r="W53" s="5"/>
      <c r="X53" s="5"/>
      <c r="Y53" s="5"/>
      <c r="Z53" s="5"/>
      <c r="AA53" s="5"/>
    </row>
    <row r="54" spans="1:27" ht="24.75" customHeight="1">
      <c r="A54" s="12">
        <v>46</v>
      </c>
      <c r="B54" s="122" t="s">
        <v>45</v>
      </c>
      <c r="C54" s="14">
        <f>AVERAGE(G54:M54)</f>
        <v>2.4083333333333332</v>
      </c>
      <c r="D54" s="14">
        <v>2.4083333333333332</v>
      </c>
      <c r="E54" s="49">
        <f t="shared" si="6"/>
        <v>1</v>
      </c>
      <c r="F54" s="65"/>
      <c r="G54" s="14">
        <v>2.0499999999999998</v>
      </c>
      <c r="H54" s="14">
        <v>4.9000000000000004</v>
      </c>
      <c r="I54" s="14">
        <v>2</v>
      </c>
      <c r="J54" s="14">
        <v>2</v>
      </c>
      <c r="K54" s="14"/>
      <c r="L54" s="14">
        <v>1.5</v>
      </c>
      <c r="M54" s="14">
        <v>2</v>
      </c>
      <c r="N54" s="81">
        <v>490</v>
      </c>
      <c r="O54" s="14"/>
      <c r="P54" s="90">
        <v>2117</v>
      </c>
      <c r="Q54" s="90">
        <v>440</v>
      </c>
      <c r="R54" s="37">
        <f>SUM(N54:Q54)</f>
        <v>3047</v>
      </c>
      <c r="S54" s="18"/>
      <c r="T54" s="18"/>
      <c r="U54" s="32" t="s">
        <v>80</v>
      </c>
      <c r="W54" s="5"/>
      <c r="X54" s="5"/>
      <c r="Y54" s="5"/>
      <c r="Z54" s="5"/>
      <c r="AA54" s="5"/>
    </row>
    <row r="55" spans="1:27" ht="29.25" customHeight="1">
      <c r="A55" s="12">
        <v>47</v>
      </c>
      <c r="B55" s="122" t="s">
        <v>46</v>
      </c>
      <c r="C55" s="14" t="e">
        <f t="shared" si="5"/>
        <v>#DIV/0!</v>
      </c>
      <c r="D55" s="14" t="e">
        <v>#DIV/0!</v>
      </c>
      <c r="E55" s="49" t="e">
        <f t="shared" si="6"/>
        <v>#DIV/0!</v>
      </c>
      <c r="F55" s="65"/>
      <c r="G55" s="53"/>
      <c r="H55" s="53"/>
      <c r="I55" s="53"/>
      <c r="J55" s="14"/>
      <c r="K55" s="53"/>
      <c r="L55" s="53"/>
      <c r="M55" s="53"/>
      <c r="N55" s="57"/>
      <c r="O55" s="53"/>
      <c r="P55" s="93"/>
      <c r="Q55" s="53"/>
      <c r="R55" s="38">
        <f t="shared" si="2"/>
        <v>0</v>
      </c>
      <c r="S55" s="18"/>
      <c r="T55" s="18"/>
      <c r="U55" s="32"/>
      <c r="W55" s="5"/>
      <c r="X55" s="5"/>
      <c r="Y55" s="5"/>
      <c r="Z55" s="5"/>
      <c r="AA55" s="5"/>
    </row>
    <row r="56" spans="1:27" ht="30" customHeight="1">
      <c r="A56" s="2">
        <v>48</v>
      </c>
      <c r="B56" s="123" t="s">
        <v>84</v>
      </c>
      <c r="C56" s="14" t="e">
        <f t="shared" si="5"/>
        <v>#DIV/0!</v>
      </c>
      <c r="D56" s="14" t="e">
        <v>#DIV/0!</v>
      </c>
      <c r="E56" s="49" t="e">
        <f t="shared" si="6"/>
        <v>#DIV/0!</v>
      </c>
      <c r="F56" s="65"/>
      <c r="G56" s="14"/>
      <c r="H56" s="14"/>
      <c r="I56" s="14"/>
      <c r="J56" s="59"/>
      <c r="K56" s="14"/>
      <c r="L56" s="14"/>
      <c r="M56" s="14"/>
      <c r="N56" s="57"/>
      <c r="O56" s="14"/>
      <c r="P56" s="23"/>
      <c r="Q56" s="14"/>
      <c r="R56" s="38">
        <f t="shared" si="2"/>
        <v>0</v>
      </c>
      <c r="S56" s="18"/>
      <c r="T56" s="18"/>
      <c r="U56" s="32"/>
    </row>
    <row r="57" spans="1:27" ht="28.5" customHeight="1">
      <c r="A57" s="2">
        <v>49</v>
      </c>
      <c r="B57" s="123" t="s">
        <v>67</v>
      </c>
      <c r="C57" s="14">
        <f t="shared" si="5"/>
        <v>72.463333333333324</v>
      </c>
      <c r="D57" s="14">
        <v>72.463333333333324</v>
      </c>
      <c r="E57" s="49">
        <f t="shared" si="6"/>
        <v>1</v>
      </c>
      <c r="F57" s="65"/>
      <c r="G57" s="14">
        <v>74.989999999999995</v>
      </c>
      <c r="H57" s="14">
        <v>59.9</v>
      </c>
      <c r="I57" s="14">
        <v>82.5</v>
      </c>
      <c r="J57" s="59"/>
      <c r="K57" s="14"/>
      <c r="L57" s="14"/>
      <c r="M57" s="14"/>
      <c r="N57" s="52"/>
      <c r="O57" s="14"/>
      <c r="P57" s="23"/>
      <c r="Q57" s="14"/>
      <c r="R57" s="38">
        <f t="shared" si="2"/>
        <v>0</v>
      </c>
      <c r="S57" s="18"/>
      <c r="T57" s="18"/>
      <c r="U57" s="32"/>
    </row>
    <row r="58" spans="1:27" ht="28.5" customHeight="1">
      <c r="A58" s="2">
        <v>50</v>
      </c>
      <c r="B58" s="123" t="s">
        <v>66</v>
      </c>
      <c r="C58" s="14">
        <f t="shared" si="5"/>
        <v>31.9</v>
      </c>
      <c r="D58" s="14">
        <v>31.9</v>
      </c>
      <c r="E58" s="49">
        <f t="shared" si="6"/>
        <v>1</v>
      </c>
      <c r="F58" s="65"/>
      <c r="G58" s="14"/>
      <c r="H58" s="14"/>
      <c r="I58" s="14">
        <v>31.9</v>
      </c>
      <c r="J58" s="59"/>
      <c r="K58" s="14"/>
      <c r="L58" s="14"/>
      <c r="M58" s="14"/>
      <c r="N58" s="60"/>
      <c r="O58" s="14"/>
      <c r="P58" s="23"/>
      <c r="Q58" s="14"/>
      <c r="R58" s="38">
        <f t="shared" si="2"/>
        <v>0</v>
      </c>
      <c r="S58" s="18"/>
      <c r="T58" s="18"/>
      <c r="U58" s="32"/>
      <c r="W58" s="5"/>
      <c r="X58" s="5"/>
      <c r="Y58" s="5"/>
      <c r="Z58" s="5"/>
      <c r="AA58" s="5"/>
    </row>
    <row r="59" spans="1:27" ht="27.75" customHeight="1">
      <c r="A59" s="2">
        <v>51</v>
      </c>
      <c r="B59" s="123" t="s">
        <v>68</v>
      </c>
      <c r="C59" s="14">
        <f t="shared" si="5"/>
        <v>139.9</v>
      </c>
      <c r="D59" s="14">
        <v>139.9</v>
      </c>
      <c r="E59" s="49">
        <f t="shared" si="6"/>
        <v>1</v>
      </c>
      <c r="F59" s="65"/>
      <c r="G59" s="14"/>
      <c r="H59" s="14"/>
      <c r="I59" s="14">
        <v>139.9</v>
      </c>
      <c r="J59" s="59"/>
      <c r="K59" s="14"/>
      <c r="L59" s="14"/>
      <c r="M59" s="14"/>
      <c r="N59" s="60"/>
      <c r="O59" s="14"/>
      <c r="P59" s="23"/>
      <c r="Q59" s="14"/>
      <c r="R59" s="38">
        <f t="shared" si="2"/>
        <v>0</v>
      </c>
      <c r="S59" s="18"/>
      <c r="T59" s="18"/>
      <c r="U59" s="32"/>
      <c r="W59" s="5"/>
      <c r="X59" s="5"/>
      <c r="Y59" s="5"/>
      <c r="Z59" s="5"/>
      <c r="AA59" s="5"/>
    </row>
    <row r="60" spans="1:27" ht="27.75" hidden="1" customHeight="1">
      <c r="A60" s="30"/>
      <c r="B60" s="123"/>
      <c r="C60" s="14"/>
      <c r="D60" s="14"/>
      <c r="E60" s="49"/>
      <c r="F60" s="65"/>
      <c r="G60" s="14"/>
      <c r="H60" s="14"/>
      <c r="I60" s="14"/>
      <c r="J60" s="59"/>
      <c r="K60" s="14"/>
      <c r="L60" s="14"/>
      <c r="M60" s="14"/>
      <c r="N60" s="60"/>
      <c r="O60" s="14"/>
      <c r="P60" s="23"/>
      <c r="Q60" s="14"/>
      <c r="R60" s="38"/>
      <c r="S60" s="18"/>
      <c r="T60" s="18"/>
      <c r="U60" s="32"/>
      <c r="W60" s="5"/>
      <c r="X60" s="5"/>
      <c r="Y60" s="5"/>
      <c r="Z60" s="5"/>
      <c r="AA60" s="5"/>
    </row>
    <row r="61" spans="1:27" ht="27.75" hidden="1" customHeight="1">
      <c r="A61" s="30"/>
      <c r="B61" s="123"/>
      <c r="C61" s="14"/>
      <c r="D61" s="14"/>
      <c r="E61" s="49"/>
      <c r="F61" s="65"/>
      <c r="G61" s="14"/>
      <c r="H61" s="14"/>
      <c r="I61" s="14"/>
      <c r="J61" s="59"/>
      <c r="K61" s="14"/>
      <c r="L61" s="14"/>
      <c r="M61" s="14"/>
      <c r="N61" s="60"/>
      <c r="O61" s="14"/>
      <c r="P61" s="23"/>
      <c r="Q61" s="14"/>
      <c r="R61" s="38"/>
      <c r="S61" s="18"/>
      <c r="T61" s="18"/>
      <c r="U61" s="32"/>
      <c r="W61" s="5"/>
      <c r="X61" s="5"/>
      <c r="Y61" s="5"/>
      <c r="Z61" s="5"/>
      <c r="AA61" s="5"/>
    </row>
    <row r="62" spans="1:27" ht="27.75" hidden="1" customHeight="1">
      <c r="A62" s="30"/>
      <c r="B62" s="123"/>
      <c r="C62" s="14"/>
      <c r="D62" s="14"/>
      <c r="E62" s="49"/>
      <c r="F62" s="65"/>
      <c r="G62" s="14"/>
      <c r="H62" s="14"/>
      <c r="I62" s="14"/>
      <c r="J62" s="59"/>
      <c r="K62" s="14"/>
      <c r="L62" s="14"/>
      <c r="M62" s="14"/>
      <c r="N62" s="60"/>
      <c r="O62" s="14"/>
      <c r="P62" s="23"/>
      <c r="Q62" s="14"/>
      <c r="R62" s="38"/>
      <c r="S62" s="18"/>
      <c r="T62" s="18"/>
      <c r="U62" s="32"/>
      <c r="W62" s="5"/>
      <c r="X62" s="5"/>
      <c r="Y62" s="5"/>
      <c r="Z62" s="5"/>
      <c r="AA62" s="5"/>
    </row>
    <row r="63" spans="1:27" ht="28.5" customHeight="1">
      <c r="A63" s="2">
        <v>52</v>
      </c>
      <c r="B63" s="123" t="s">
        <v>64</v>
      </c>
      <c r="C63" s="14">
        <f t="shared" si="5"/>
        <v>90</v>
      </c>
      <c r="D63" s="14">
        <v>90</v>
      </c>
      <c r="E63" s="49">
        <f t="shared" si="6"/>
        <v>1</v>
      </c>
      <c r="F63" s="65"/>
      <c r="G63" s="53"/>
      <c r="H63" s="53"/>
      <c r="I63" s="53"/>
      <c r="J63" s="54"/>
      <c r="K63" s="61">
        <v>90</v>
      </c>
      <c r="L63" s="53"/>
      <c r="M63" s="53"/>
      <c r="N63" s="60"/>
      <c r="O63" s="62">
        <v>150</v>
      </c>
      <c r="P63" s="93"/>
      <c r="Q63" s="53"/>
      <c r="R63" s="38">
        <f t="shared" si="2"/>
        <v>150</v>
      </c>
      <c r="S63" s="18"/>
      <c r="T63" s="18"/>
      <c r="U63" s="32" t="s">
        <v>80</v>
      </c>
      <c r="W63" s="5"/>
      <c r="X63" s="5"/>
      <c r="Y63" s="5"/>
      <c r="Z63" s="5"/>
      <c r="AA63" s="5"/>
    </row>
    <row r="64" spans="1:27" ht="41.25" hidden="1" customHeigh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8"/>
      <c r="W64" s="99"/>
      <c r="X64" s="99"/>
      <c r="Y64" s="99"/>
      <c r="Z64" s="99"/>
      <c r="AA64" s="99"/>
    </row>
    <row r="65" spans="1:27" ht="34.5" hidden="1" customHeight="1">
      <c r="A65" s="114" t="s">
        <v>65</v>
      </c>
      <c r="B65" s="115"/>
      <c r="C65" s="115"/>
      <c r="D65" s="115"/>
      <c r="E65" s="115"/>
      <c r="F65" s="115"/>
      <c r="G65" s="115"/>
      <c r="H65" s="115"/>
      <c r="I65" s="29"/>
      <c r="J65" s="29"/>
      <c r="K65" s="29"/>
      <c r="L65" s="29"/>
      <c r="M65" s="29"/>
      <c r="N65" s="29"/>
      <c r="O65" s="29"/>
      <c r="P65" s="94"/>
      <c r="Q65" s="29"/>
      <c r="R65" s="27"/>
      <c r="S65" s="29"/>
      <c r="T65" s="29"/>
      <c r="U65" s="34"/>
      <c r="W65" s="13"/>
      <c r="X65" s="13"/>
      <c r="Y65" s="13"/>
      <c r="Z65" s="13"/>
      <c r="AA65" s="13"/>
    </row>
    <row r="66" spans="1:27" ht="50.25" hidden="1" customHeight="1">
      <c r="A66" s="112" t="s">
        <v>47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W66" s="9"/>
      <c r="X66" s="9"/>
      <c r="Y66" s="9"/>
      <c r="Z66" s="9"/>
      <c r="AA66" s="9"/>
    </row>
    <row r="67" spans="1:27" ht="42" hidden="1" customHeight="1">
      <c r="A67" s="104" t="s">
        <v>63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W67" s="99"/>
      <c r="X67" s="99"/>
      <c r="Y67" s="99"/>
      <c r="Z67" s="99"/>
      <c r="AA67" s="99"/>
    </row>
  </sheetData>
  <mergeCells count="19">
    <mergeCell ref="A67:U67"/>
    <mergeCell ref="W67:AA67"/>
    <mergeCell ref="S4:T4"/>
    <mergeCell ref="U4:U6"/>
    <mergeCell ref="A5:A6"/>
    <mergeCell ref="B5:B6"/>
    <mergeCell ref="C5:C6"/>
    <mergeCell ref="R5:S5"/>
    <mergeCell ref="T5:T6"/>
    <mergeCell ref="D5:D6"/>
    <mergeCell ref="A66:U66"/>
    <mergeCell ref="A65:H65"/>
    <mergeCell ref="N5:Q5"/>
    <mergeCell ref="T1:U2"/>
    <mergeCell ref="A64:U64"/>
    <mergeCell ref="W64:AA64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23.04.20</vt:lpstr>
      <vt:lpstr>'23.04.20'!Область_печати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2020-04-23T06:35:25Z</cp:lastPrinted>
  <dcterms:created xsi:type="dcterms:W3CDTF">2020-02-26T18:00:37Z</dcterms:created>
  <dcterms:modified xsi:type="dcterms:W3CDTF">2020-04-23T06:36:00Z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