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360" activeTab="1"/>
  </bookViews>
  <sheets>
    <sheet name="доходы" sheetId="1" r:id="rId1"/>
    <sheet name="расходы" sheetId="2" r:id="rId2"/>
  </sheets>
  <definedNames>
    <definedName name="_xlfn.ANCHORARRAY" hidden="1">#NAME?</definedName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<sst xmlns="http://schemas.openxmlformats.org/spreadsheetml/2006/main" count="741" uniqueCount="293">
  <si>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</si>
  <si>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</si>
  <si>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</si>
  <si>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</si>
  <si>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</si>
  <si>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</si>
  <si>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</si>
  <si>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</si>
  <si>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</si>
  <si>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</si>
  <si>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</si>
  <si>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</si>
  <si>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</si>
  <si>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</si>
  <si>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</si>
  <si>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</si>
  <si>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</si>
  <si>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</si>
  <si>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</si>
  <si>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</si>
  <si>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</si>
  <si>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</si>
  <si>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</si>
  <si>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</si>
  <si>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</si>
  <si>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</si>
  <si>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</si>
  <si>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</si>
  <si>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</si>
  <si>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</si>
  <si>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</si>
  <si>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</si>
  <si>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</si>
  <si>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</si>
  <si>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</si>
  <si>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</si>
  <si>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</si>
  <si>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</si>
  <si>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</si>
  <si>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</si>
  <si>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</si>
  <si>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</si>
  <si>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</si>
  <si>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</si>
  <si>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</si>
  <si>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</si>
  <si>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</si>
  <si>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</si>
  <si>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</si>
  <si>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</si>
  <si>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</si>
  <si>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</si>
  <si>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</si>
  <si>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</si>
  <si>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</si>
  <si>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</si>
  <si>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</si>
  <si>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</si>
  <si>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</si>
  <si>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</si>
  <si>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</si>
  <si>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</si>
  <si>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</si>
  <si>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</si>
  <si>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</si>
  <si>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2023 год</t>
  </si>
  <si>
    <t>Уточн. план на 2023 год</t>
  </si>
  <si>
    <t xml:space="preserve">% исп-ия к уточн. плану на 2023 год </t>
  </si>
  <si>
    <t xml:space="preserve">% исп-ия к первонач. плану на 2023 год </t>
  </si>
  <si>
    <t>00020300000000000000</t>
  </si>
  <si>
    <t xml:space="preserve">Безвозмездные поступления от государственных (муниципальных) организаций </t>
  </si>
  <si>
    <t>План                 на 9 месяцев 2023 года</t>
  </si>
  <si>
    <t xml:space="preserve">% исп-ия к плану за 9 месяцев 2023 года </t>
  </si>
  <si>
    <t>Отчет об исполнении консолидированного бюджета Октябрьского района по состоянию на 01.09.2023</t>
  </si>
  <si>
    <t>Исполнение на 01.09.2023</t>
  </si>
  <si>
    <t>Отчет  об  исполнении  консолидированного  бюджета  района  по  расходам на 1 сентября 2023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</si>
  <si>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</si>
  <si>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</si>
  <si>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</si>
  <si>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</si>
  <si>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</si>
  <si>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</si>
  <si>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01.09.2023</t>
  </si>
  <si>
    <t>% исполнения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</si>
  <si>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</si>
  <si>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</si>
  <si>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</si>
  <si>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01.09.2023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</si>
  <si>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</si>
  <si>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</si>
  <si>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</si>
  <si>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</si>
  <si>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</si>
  <si>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</si>
  <si>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</si>
  <si>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</si>
  <si>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</si>
  <si>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</si>
  <si>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</si>
  <si>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</si>
  <si>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</si>
  <si>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</si>
  <si>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</si>
  <si>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</si>
  <si>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</si>
  <si>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</si>
  <si>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</si>
  <si>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</si>
  <si>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</si>
  <si>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</si>
  <si>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</si>
  <si>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</si>
  <si>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</si>
  <si>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</si>
  <si>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</si>
  <si>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</si>
  <si>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</si>
  <si>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</si>
  <si>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</si>
  <si>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</si>
  <si>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</si>
  <si>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</si>
  <si>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</si>
  <si>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</si>
  <si>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</si>
  <si>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</si>
  <si>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</si>
  <si>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</si>
  <si>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</si>
  <si>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</si>
  <si>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</si>
  <si>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</si>
  <si>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</si>
  <si>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</si>
  <si>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</si>
  <si>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</si>
  <si>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</si>
  <si>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</si>
  <si>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</si>
  <si>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</si>
  <si>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</si>
  <si>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</si>
  <si>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</si>
  <si>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</si>
  <si>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</si>
  <si>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</si>
  <si>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</si>
  <si>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</si>
  <si>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</si>
  <si>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</si>
  <si>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</si>
  <si>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****S2380, 0810161200, 0820161200, 082I4S2330, 082I482330)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</si>
  <si>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</si>
  <si>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</si>
  <si>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</si>
  <si>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</si>
  <si>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</si>
  <si>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</si>
  <si>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</si>
  <si>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</si>
  <si>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</si>
  <si>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</si>
  <si>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</si>
  <si>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</si>
  <si>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</si>
  <si>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</si>
  <si>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</si>
  <si>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</si>
  <si>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</si>
  <si>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(091F367484, 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</si>
  <si>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</si>
  <si>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</si>
  <si>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</si>
  <si>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</si>
  <si>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</si>
  <si>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</si>
  <si>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</si>
  <si>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</si>
  <si>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</si>
  <si>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</si>
  <si>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</si>
  <si>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</si>
  <si>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</si>
  <si>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</si>
  <si>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модернизация систем коммунальной инфраструктуры за счет средств бюджета Ханты-Мансийского автономного округа,Югры (*****9605, 1010109505)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</si>
  <si>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</si>
  <si>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</si>
  <si>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</si>
  <si>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</si>
  <si>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</si>
  <si>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</si>
  <si>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(1010242110,)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</si>
  <si>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</si>
  <si>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</si>
  <si>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</si>
  <si>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</si>
  <si>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</si>
  <si>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</si>
  <si>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</si>
  <si>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</si>
  <si>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</si>
  <si>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</si>
  <si>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</si>
  <si>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</si>
  <si>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</si>
  <si>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</si>
  <si>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</si>
  <si>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</si>
  <si>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</si>
  <si>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</si>
  <si>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</si>
  <si>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Расходы на снос объектов, признанных аварийными( хх.ххх.89108)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</si>
  <si>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</si>
  <si>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</si>
  <si>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</si>
  <si>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</si>
  <si>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</si>
  <si>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</si>
  <si>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</si>
  <si>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</si>
  <si>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</si>
  <si>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</si>
  <si>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</si>
  <si>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</si>
  <si>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</si>
  <si>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</si>
  <si>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</si>
  <si>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</si>
  <si>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</si>
  <si>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</si>
  <si>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</si>
  <si>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</si>
  <si>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</si>
  <si>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</si>
  <si>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</si>
  <si>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</si>
  <si>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</si>
  <si>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</si>
  <si>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</si>
  <si>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</si>
  <si>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</si>
  <si>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</si>
  <si>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</si>
  <si>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</si>
  <si>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</si>
  <si>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</si>
  <si>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</si>
  <si>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</si>
  <si>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</si>
  <si>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</si>
  <si>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</si>
  <si>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</si>
  <si>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обработку контейнерных площадок и контейнеров (4060089130)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</si>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</sst>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  <numFmt numFmtId="183" formatCode="_-* #,##0.0\ _₽_-;\-* #,##0.0\ _₽_-;_-* &quot;-&quot;?\ _₽_-;_-@_-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179" fontId="5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178" fontId="0" fillId="0" borderId="13" xfId="0" applyNumberFormat="1" applyBorder="1" applyAlignment="1">
      <alignment vertical="top"/>
    </xf>
    <xf numFmtId="178" fontId="4" fillId="0" borderId="13" xfId="0" applyNumberFormat="1" applyFont="1" applyBorder="1" applyAlignment="1">
      <alignment vertical="top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Alignment="1">
      <alignment horizontal="center" vertical="center" wrapText="1"/>
      <protection/>
    </xf>
    <xf numFmtId="181" fontId="10" fillId="0" borderId="0" xfId="54" applyNumberFormat="1" applyFont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4" fillId="0" borderId="19" xfId="0" applyNumberFormat="1" applyFont="1" applyBorder="1" applyAlignment="1">
      <alignment horizontal="center" vertical="center" wrapText="1"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center" vertical="center" wrapText="1"/>
      <protection/>
    </xf>
    <xf numFmtId="49" fontId="20" fillId="34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3" xfId="54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Border="1" applyAlignment="1" quotePrefix="1">
      <alignment horizontal="center" vertical="center" wrapText="1"/>
      <protection/>
    </xf>
    <xf numFmtId="0" fontId="12" fillId="0" borderId="13" xfId="54" applyFont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21" fillId="35" borderId="13" xfId="0" applyNumberFormat="1" applyFont="1" applyFill="1" applyBorder="1" applyAlignment="1">
      <alignment horizontal="center" vertical="center" wrapText="1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19" xfId="54" applyNumberFormat="1" applyFont="1" applyFill="1" applyBorder="1" applyAlignment="1">
      <alignment horizontal="center" vertical="center" wrapText="1"/>
      <protection/>
    </xf>
    <xf numFmtId="49" fontId="12" fillId="33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1" xfId="54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horizontal="center" wrapText="1"/>
      <protection/>
    </xf>
    <xf numFmtId="49" fontId="12" fillId="33" borderId="18" xfId="54" applyNumberFormat="1" applyFont="1" applyFill="1" applyBorder="1" applyAlignment="1">
      <alignment horizontal="center" vertical="center" wrapText="1"/>
      <protection/>
    </xf>
    <xf numFmtId="0" fontId="12" fillId="36" borderId="13" xfId="54" applyFont="1" applyFill="1" applyBorder="1" applyAlignment="1">
      <alignment horizontal="left" vertical="center" wrapText="1"/>
      <protection/>
    </xf>
    <xf numFmtId="0" fontId="13" fillId="0" borderId="13" xfId="53" applyFont="1" applyBorder="1" applyAlignment="1" applyProtection="1">
      <alignment horizontal="left" vertical="center" wrapText="1"/>
      <protection hidden="1"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3" fillId="34" borderId="13" xfId="0" applyNumberFormat="1" applyFont="1" applyFill="1" applyBorder="1" applyAlignment="1">
      <alignment horizontal="center" vertical="center" wrapText="1"/>
    </xf>
    <xf numFmtId="0" fontId="12" fillId="33" borderId="13" xfId="54" applyFont="1" applyFill="1" applyBorder="1" applyAlignment="1">
      <alignment horizontal="left" vertical="center" wrapText="1"/>
      <protection/>
    </xf>
    <xf numFmtId="0" fontId="24" fillId="0" borderId="13" xfId="54" applyFont="1" applyBorder="1" applyAlignment="1">
      <alignment horizontal="left" vertical="center" wrapText="1"/>
      <protection/>
    </xf>
    <xf numFmtId="0" fontId="13" fillId="33" borderId="13" xfId="53" applyFont="1" applyFill="1" applyBorder="1" applyAlignment="1" applyProtection="1">
      <alignment horizontal="left" vertical="center" wrapText="1"/>
      <protection hidden="1"/>
    </xf>
    <xf numFmtId="0" fontId="13" fillId="0" borderId="13" xfId="53" applyFont="1" applyBorder="1" applyAlignment="1" applyProtection="1">
      <alignment horizontal="left" vertical="top" wrapText="1"/>
      <protection hidden="1"/>
    </xf>
    <xf numFmtId="2" fontId="14" fillId="0" borderId="19" xfId="0" applyNumberFormat="1" applyFont="1" applyBorder="1" applyAlignment="1">
      <alignment horizontal="center" vertical="center" wrapText="1"/>
    </xf>
    <xf numFmtId="0" fontId="1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13" fillId="0" borderId="18" xfId="54" applyNumberFormat="1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19" xfId="0" applyNumberFormat="1" applyFont="1" applyBorder="1" applyAlignment="1">
      <alignment horizontal="center" vertical="center" wrapText="1"/>
    </xf>
    <xf numFmtId="49" fontId="20" fillId="34" borderId="18" xfId="54" applyNumberFormat="1" applyFont="1" applyFill="1" applyBorder="1" applyAlignment="1">
      <alignment horizontal="center" vertical="center" wrapText="1"/>
      <protection/>
    </xf>
    <xf numFmtId="0" fontId="20" fillId="34" borderId="13" xfId="0" applyFont="1" applyFill="1" applyBorder="1" applyAlignment="1">
      <alignment horizontal="left" vertical="center" wrapText="1"/>
    </xf>
    <xf numFmtId="179" fontId="14" fillId="34" borderId="19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81" fontId="14" fillId="33" borderId="19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1" fontId="21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0" xfId="0" applyNumberFormat="1" applyFont="1" applyFill="1" applyBorder="1" applyAlignment="1">
      <alignment horizontal="center" vertical="center" wrapText="1"/>
    </xf>
    <xf numFmtId="181" fontId="13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11" fillId="0" borderId="0" xfId="54" applyNumberFormat="1" applyFont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10" fillId="5" borderId="0" xfId="0" applyNumberFormat="1" applyFont="1" applyFill="1" applyAlignment="1">
      <alignment horizontal="center" vertical="center" wrapText="1"/>
    </xf>
    <xf numFmtId="181" fontId="11" fillId="5" borderId="0" xfId="54" applyNumberFormat="1" applyFont="1" applyFill="1" applyAlignment="1">
      <alignment horizontal="center" vertical="center" wrapText="1"/>
      <protection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6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Alignment="1">
      <alignment horizontal="center" vertical="center" wrapText="1"/>
    </xf>
    <xf numFmtId="181" fontId="26" fillId="33" borderId="12" xfId="5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Alignment="1">
      <alignment horizontal="right" vertical="center" wrapText="1"/>
    </xf>
    <xf numFmtId="0" fontId="24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26" fillId="33" borderId="0" xfId="54" applyNumberFormat="1" applyFont="1" applyFill="1" applyAlignment="1">
      <alignment horizontal="center" vertical="center" wrapText="1"/>
      <protection/>
    </xf>
    <xf numFmtId="181" fontId="26" fillId="0" borderId="0" xfId="0" applyNumberFormat="1" applyFont="1" applyAlignment="1">
      <alignment horizontal="left" vertical="center" wrapText="1"/>
    </xf>
    <xf numFmtId="181" fontId="26" fillId="33" borderId="0" xfId="0" applyNumberFormat="1" applyFont="1" applyFill="1" applyAlignment="1">
      <alignment horizontal="left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6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2" fontId="2" fillId="0" borderId="14" xfId="43" applyFont="1" applyFill="1" applyBorder="1" applyAlignment="1">
      <alignment horizontal="center" vertical="top" wrapText="1"/>
    </xf>
    <xf numFmtId="172" fontId="2" fillId="0" borderId="22" xfId="43" applyFont="1" applyFill="1" applyBorder="1" applyAlignment="1">
      <alignment horizontal="center" vertical="top" wrapText="1"/>
    </xf>
    <xf numFmtId="0" fontId="24" fillId="0" borderId="0" xfId="54" applyFont="1" applyAlignment="1">
      <alignment horizontal="right" vertical="center" wrapText="1"/>
      <protection/>
    </xf>
    <xf numFmtId="181" fontId="26" fillId="0" borderId="0" xfId="54" applyNumberFormat="1" applyFont="1" applyAlignment="1">
      <alignment horizontal="left" vertical="center" wrapText="1"/>
      <protection/>
    </xf>
    <xf numFmtId="181" fontId="15" fillId="5" borderId="13" xfId="0" applyNumberFormat="1" applyFont="1" applyFill="1" applyBorder="1" applyAlignment="1">
      <alignment horizontal="center" vertical="center" wrapText="1"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0" borderId="19" xfId="54" applyNumberFormat="1" applyFont="1" applyBorder="1" applyAlignment="1">
      <alignment horizontal="center" vertical="center" wrapText="1"/>
      <protection/>
    </xf>
    <xf numFmtId="181" fontId="1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34" borderId="24" xfId="54" applyFont="1" applyFill="1" applyBorder="1" applyAlignment="1">
      <alignment horizontal="center" vertical="center" wrapText="1"/>
      <protection/>
    </xf>
    <xf numFmtId="0" fontId="25" fillId="34" borderId="20" xfId="54" applyFont="1" applyFill="1" applyBorder="1" applyAlignment="1">
      <alignment horizontal="center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4" fillId="0" borderId="13" xfId="54" applyNumberFormat="1" applyFont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0" fontId="8" fillId="0" borderId="0" xfId="54" applyFont="1" applyAlignment="1">
      <alignment horizontal="center" vertical="center" wrapText="1"/>
      <protection/>
    </xf>
    <xf numFmtId="49" fontId="12" fillId="0" borderId="25" xfId="54" applyNumberFormat="1" applyFont="1" applyBorder="1" applyAlignment="1">
      <alignment horizontal="center" vertical="center" wrapText="1"/>
      <protection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181" fontId="13" fillId="0" borderId="26" xfId="54" applyNumberFormat="1" applyFont="1" applyBorder="1" applyAlignment="1">
      <alignment horizontal="center" vertical="center" wrapText="1"/>
      <protection/>
    </xf>
    <xf numFmtId="181" fontId="13" fillId="0" borderId="26" xfId="0" applyNumberFormat="1" applyFont="1" applyBorder="1" applyAlignment="1">
      <alignment horizontal="center" vertical="center" wrapText="1"/>
    </xf>
    <xf numFmtId="181" fontId="14" fillId="0" borderId="27" xfId="0" applyNumberFormat="1" applyFont="1" applyBorder="1" applyAlignment="1">
      <alignment horizontal="center" vertical="center" wrapText="1"/>
    </xf>
    <xf numFmtId="181" fontId="14" fillId="0" borderId="28" xfId="0" applyNumberFormat="1" applyFont="1" applyBorder="1" applyAlignment="1">
      <alignment horizontal="center" vertical="center" wrapText="1"/>
    </xf>
    <xf numFmtId="181" fontId="14" fillId="0" borderId="29" xfId="0" applyNumberFormat="1" applyFont="1" applyBorder="1" applyAlignment="1">
      <alignment horizontal="center" vertical="center" wrapText="1"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9" fillId="0" borderId="13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5"/>
  <sheetViews>
    <sheetView zoomScalePageLayoutView="0" workbookViewId="0" topLeftCell="A1">
      <pane xSplit="1" ySplit="9" topLeftCell="B19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255" sqref="C254:K255"/>
    </sheetView>
  </sheetViews>
  <sheetFormatPr defaultColWidth="9.00390625" defaultRowHeight="12.75" outlineLevelCol="1"/>
  <cols>
    <col min="1" max="1" width="21.25390625" style="1" customWidth="1"/>
    <col min="2" max="2" width="46.625" style="1" customWidth="1"/>
    <col min="3" max="3" width="11.125" style="1" customWidth="1"/>
    <col min="4" max="4" width="11.00390625" style="1" customWidth="1"/>
    <col min="5" max="5" width="11.125" style="1" customWidth="1"/>
    <col min="6" max="6" width="10.625" style="1" hidden="1" customWidth="1"/>
    <col min="7" max="7" width="10.125" style="1" hidden="1" customWidth="1"/>
    <col min="8" max="8" width="11.625" style="1" hidden="1" customWidth="1"/>
    <col min="9" max="9" width="9.00390625" style="1" hidden="1" customWidth="1" outlineLevel="1"/>
    <col min="10" max="10" width="11.00390625" style="1" customWidth="1" collapsed="1"/>
    <col min="11" max="11" width="10.75390625" style="1" customWidth="1"/>
    <col min="12" max="12" width="9.75390625" style="1" customWidth="1"/>
    <col min="13" max="13" width="10.375" style="1" customWidth="1"/>
    <col min="14" max="16384" width="9.125" style="1" customWidth="1"/>
  </cols>
  <sheetData>
    <row r="1" spans="1:13" ht="18.75" customHeight="1">
      <c r="A1" s="173" t="s">
        <v>73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0" ht="14.25" customHeight="1">
      <c r="A2" s="174"/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4.25" customHeight="1">
      <c r="A3" s="38"/>
      <c r="B3" s="39"/>
      <c r="C3" s="39"/>
      <c r="D3" s="39"/>
      <c r="E3" s="39"/>
      <c r="F3" s="39"/>
      <c r="G3" s="39"/>
      <c r="H3" s="40"/>
      <c r="I3" s="40"/>
      <c r="J3" s="41" t="s">
        <v>54</v>
      </c>
    </row>
    <row r="4" spans="1:13" ht="12.75" customHeight="1">
      <c r="A4" s="42" t="s">
        <v>39</v>
      </c>
      <c r="B4" s="43"/>
      <c r="C4" s="168" t="s">
        <v>65</v>
      </c>
      <c r="D4" s="168" t="s">
        <v>66</v>
      </c>
      <c r="E4" s="168" t="s">
        <v>71</v>
      </c>
      <c r="F4" s="175" t="s">
        <v>55</v>
      </c>
      <c r="G4" s="175" t="s">
        <v>56</v>
      </c>
      <c r="H4" s="175" t="s">
        <v>57</v>
      </c>
      <c r="I4" s="175" t="s">
        <v>58</v>
      </c>
      <c r="J4" s="168" t="s">
        <v>74</v>
      </c>
      <c r="K4" s="168" t="s">
        <v>72</v>
      </c>
      <c r="L4" s="168" t="s">
        <v>67</v>
      </c>
      <c r="M4" s="168" t="s">
        <v>68</v>
      </c>
    </row>
    <row r="5" spans="1:13" ht="27.75" customHeight="1">
      <c r="A5" s="44" t="s">
        <v>44</v>
      </c>
      <c r="B5" s="45" t="s">
        <v>16</v>
      </c>
      <c r="C5" s="169"/>
      <c r="D5" s="169"/>
      <c r="E5" s="169"/>
      <c r="F5" s="176"/>
      <c r="G5" s="176"/>
      <c r="H5" s="176"/>
      <c r="I5" s="176"/>
      <c r="J5" s="169"/>
      <c r="K5" s="169"/>
      <c r="L5" s="169"/>
      <c r="M5" s="169"/>
    </row>
    <row r="6" spans="1:13" ht="39.75" customHeight="1">
      <c r="A6" s="44"/>
      <c r="B6" s="45"/>
      <c r="C6" s="170"/>
      <c r="D6" s="170"/>
      <c r="E6" s="170"/>
      <c r="F6" s="177"/>
      <c r="G6" s="177"/>
      <c r="H6" s="177"/>
      <c r="I6" s="177"/>
      <c r="J6" s="170"/>
      <c r="K6" s="170"/>
      <c r="L6" s="170"/>
      <c r="M6" s="170"/>
    </row>
    <row r="7" spans="1:13" ht="12.75">
      <c r="A7" s="171" t="s">
        <v>22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8" spans="1:13" ht="12.75">
      <c r="A8" s="53" t="s">
        <v>3</v>
      </c>
      <c r="B8" s="57" t="s">
        <v>53</v>
      </c>
      <c r="C8" s="68">
        <f>C9+C11+C12+C13+C15+C16+C18+C20+C14+C21+C17+C19+C10</f>
        <v>991597.3999999999</v>
      </c>
      <c r="D8" s="52">
        <f aca="true" t="shared" si="0" ref="D8:I8">D9+D11+D12+D13+D15+D16+D18+D20+D14+D21+D17+D19+D10</f>
        <v>1014005.6</v>
      </c>
      <c r="E8" s="52">
        <f>E9+E11+E12+E13+E15+E16+E18+E20+E14+E21+E17+E19+E10</f>
        <v>778837.8000000002</v>
      </c>
      <c r="F8" s="52">
        <f t="shared" si="0"/>
        <v>252749.69999999995</v>
      </c>
      <c r="G8" s="52">
        <f t="shared" si="0"/>
        <v>289396.9</v>
      </c>
      <c r="H8" s="52">
        <f t="shared" si="0"/>
        <v>236691.19999999998</v>
      </c>
      <c r="I8" s="52">
        <f t="shared" si="0"/>
        <v>235167.80000000005</v>
      </c>
      <c r="J8" s="52">
        <f>J9+J11+J12+J13+J15+J16+J18+J20+J14+J21+J17+J19+J10</f>
        <v>811379.0000000001</v>
      </c>
      <c r="K8" s="52">
        <f aca="true" t="shared" si="1" ref="K8:K13">J8*100/E8</f>
        <v>104.178174197503</v>
      </c>
      <c r="L8" s="22">
        <f aca="true" t="shared" si="2" ref="L8:L13">J8*100/D8</f>
        <v>80.0172109503143</v>
      </c>
      <c r="M8" s="22">
        <f aca="true" t="shared" si="3" ref="M8:M20">J8*100/C8</f>
        <v>81.82544649673348</v>
      </c>
    </row>
    <row r="9" spans="1:13" ht="12.75">
      <c r="A9" s="12" t="s">
        <v>63</v>
      </c>
      <c r="B9" s="46" t="s">
        <v>64</v>
      </c>
      <c r="C9" s="69">
        <v>746411.9</v>
      </c>
      <c r="D9" s="37">
        <f>F9+G9+H9+I9</f>
        <v>755965.3</v>
      </c>
      <c r="E9" s="37">
        <f>F9+G9+H9</f>
        <v>580533.4</v>
      </c>
      <c r="F9" s="37">
        <v>204038.6</v>
      </c>
      <c r="G9" s="37">
        <v>199563.9</v>
      </c>
      <c r="H9" s="19">
        <v>176930.9</v>
      </c>
      <c r="I9" s="58">
        <v>175431.9</v>
      </c>
      <c r="J9" s="58">
        <v>612233.3</v>
      </c>
      <c r="K9" s="19">
        <f t="shared" si="1"/>
        <v>105.46047824294004</v>
      </c>
      <c r="L9" s="58">
        <f t="shared" si="2"/>
        <v>80.98695799926267</v>
      </c>
      <c r="M9" s="17">
        <f t="shared" si="3"/>
        <v>82.02351811379214</v>
      </c>
    </row>
    <row r="10" spans="1:13" ht="25.5" customHeight="1">
      <c r="A10" s="12" t="s">
        <v>62</v>
      </c>
      <c r="B10" s="26" t="s">
        <v>61</v>
      </c>
      <c r="C10" s="69">
        <v>4122.2</v>
      </c>
      <c r="D10" s="50">
        <f aca="true" t="shared" si="4" ref="D10:D27">F10+G10+H10+I10</f>
        <v>4522.2</v>
      </c>
      <c r="E10" s="37">
        <f aca="true" t="shared" si="5" ref="E10:E27">F10+G10+H10</f>
        <v>3507.5</v>
      </c>
      <c r="F10" s="50">
        <v>1181.6</v>
      </c>
      <c r="G10" s="50">
        <v>1171.6</v>
      </c>
      <c r="H10" s="16">
        <v>1154.3</v>
      </c>
      <c r="I10" s="17">
        <v>1014.7</v>
      </c>
      <c r="J10" s="17">
        <v>3270.4</v>
      </c>
      <c r="K10" s="19">
        <f t="shared" si="1"/>
        <v>93.24019957234498</v>
      </c>
      <c r="L10" s="17">
        <f t="shared" si="2"/>
        <v>72.31878289328203</v>
      </c>
      <c r="M10" s="17">
        <f t="shared" si="3"/>
        <v>79.3362767454272</v>
      </c>
    </row>
    <row r="11" spans="1:13" ht="12.75">
      <c r="A11" s="12" t="s">
        <v>8</v>
      </c>
      <c r="B11" s="26" t="s">
        <v>5</v>
      </c>
      <c r="C11" s="69">
        <v>68361.5</v>
      </c>
      <c r="D11" s="50">
        <f t="shared" si="4"/>
        <v>68361.5</v>
      </c>
      <c r="E11" s="37">
        <f t="shared" si="5"/>
        <v>55298.4</v>
      </c>
      <c r="F11" s="50">
        <v>6868.9</v>
      </c>
      <c r="G11" s="50">
        <v>36919.5</v>
      </c>
      <c r="H11" s="16">
        <v>11510</v>
      </c>
      <c r="I11" s="17">
        <v>13063.1</v>
      </c>
      <c r="J11" s="17">
        <v>54016.3</v>
      </c>
      <c r="K11" s="19">
        <f t="shared" si="1"/>
        <v>97.68148807198762</v>
      </c>
      <c r="L11" s="17">
        <f t="shared" si="2"/>
        <v>79.01567402704738</v>
      </c>
      <c r="M11" s="17">
        <f t="shared" si="3"/>
        <v>79.01567402704738</v>
      </c>
    </row>
    <row r="12" spans="1:13" ht="12.75">
      <c r="A12" s="12" t="s">
        <v>9</v>
      </c>
      <c r="B12" s="26" t="s">
        <v>6</v>
      </c>
      <c r="C12" s="69">
        <v>9937.5</v>
      </c>
      <c r="D12" s="50">
        <f t="shared" si="4"/>
        <v>12632</v>
      </c>
      <c r="E12" s="37">
        <f t="shared" si="5"/>
        <v>7490.900000000001</v>
      </c>
      <c r="F12" s="50">
        <v>3355.5</v>
      </c>
      <c r="G12" s="50">
        <v>2051.1</v>
      </c>
      <c r="H12" s="16">
        <v>2084.3</v>
      </c>
      <c r="I12" s="17">
        <v>5141.1</v>
      </c>
      <c r="J12" s="17">
        <v>9064.9</v>
      </c>
      <c r="K12" s="19">
        <f t="shared" si="1"/>
        <v>121.01216142252599</v>
      </c>
      <c r="L12" s="17">
        <f t="shared" si="2"/>
        <v>71.76139962001267</v>
      </c>
      <c r="M12" s="17">
        <f t="shared" si="3"/>
        <v>91.21911949685534</v>
      </c>
    </row>
    <row r="13" spans="1:13" ht="12.75">
      <c r="A13" s="12" t="s">
        <v>10</v>
      </c>
      <c r="B13" s="26" t="s">
        <v>21</v>
      </c>
      <c r="C13" s="69">
        <v>4256.5</v>
      </c>
      <c r="D13" s="50">
        <f t="shared" si="4"/>
        <v>4506.5</v>
      </c>
      <c r="E13" s="37">
        <f t="shared" si="5"/>
        <v>3436</v>
      </c>
      <c r="F13" s="50">
        <v>1107.3</v>
      </c>
      <c r="G13" s="50">
        <v>1230.3</v>
      </c>
      <c r="H13" s="16">
        <v>1098.4</v>
      </c>
      <c r="I13" s="17">
        <v>1070.5</v>
      </c>
      <c r="J13" s="17">
        <v>2960</v>
      </c>
      <c r="K13" s="19">
        <f t="shared" si="1"/>
        <v>86.14668218859138</v>
      </c>
      <c r="L13" s="17">
        <f t="shared" si="2"/>
        <v>65.68290247420393</v>
      </c>
      <c r="M13" s="17">
        <f t="shared" si="3"/>
        <v>69.54070245506873</v>
      </c>
    </row>
    <row r="14" spans="1:13" ht="21.75" customHeight="1" hidden="1">
      <c r="A14" s="12" t="s">
        <v>35</v>
      </c>
      <c r="B14" s="26" t="s">
        <v>36</v>
      </c>
      <c r="C14" s="69"/>
      <c r="D14" s="50">
        <f t="shared" si="4"/>
        <v>0</v>
      </c>
      <c r="E14" s="37">
        <f t="shared" si="5"/>
        <v>0</v>
      </c>
      <c r="F14" s="50"/>
      <c r="G14" s="50"/>
      <c r="H14" s="16"/>
      <c r="I14" s="17"/>
      <c r="J14" s="17"/>
      <c r="K14" s="19"/>
      <c r="L14" s="17"/>
      <c r="M14" s="17" t="e">
        <f t="shared" si="3"/>
        <v>#DIV/0!</v>
      </c>
    </row>
    <row r="15" spans="1:13" ht="24">
      <c r="A15" s="13" t="s">
        <v>11</v>
      </c>
      <c r="B15" s="26" t="s">
        <v>17</v>
      </c>
      <c r="C15" s="69">
        <v>115365.6</v>
      </c>
      <c r="D15" s="50">
        <f t="shared" si="4"/>
        <v>120115.6</v>
      </c>
      <c r="E15" s="37">
        <f t="shared" si="5"/>
        <v>85512</v>
      </c>
      <c r="F15" s="50">
        <v>18627.4</v>
      </c>
      <c r="G15" s="50">
        <v>31615.9</v>
      </c>
      <c r="H15" s="16">
        <v>35268.7</v>
      </c>
      <c r="I15" s="17">
        <v>34603.6</v>
      </c>
      <c r="J15" s="17">
        <v>82139.1</v>
      </c>
      <c r="K15" s="19">
        <f aca="true" t="shared" si="6" ref="K15:K21">J15*100/E15</f>
        <v>96.05564131349988</v>
      </c>
      <c r="L15" s="17">
        <f aca="true" t="shared" si="7" ref="L15:L21">J15*100/D15</f>
        <v>68.38337401636424</v>
      </c>
      <c r="M15" s="17">
        <f t="shared" si="3"/>
        <v>71.19895358755123</v>
      </c>
    </row>
    <row r="16" spans="1:13" ht="12.75">
      <c r="A16" s="27" t="s">
        <v>14</v>
      </c>
      <c r="B16" s="26" t="s">
        <v>13</v>
      </c>
      <c r="C16" s="69">
        <v>19334</v>
      </c>
      <c r="D16" s="50">
        <f t="shared" si="4"/>
        <v>19334</v>
      </c>
      <c r="E16" s="37">
        <f t="shared" si="5"/>
        <v>20091.8</v>
      </c>
      <c r="F16" s="50">
        <v>10198.8</v>
      </c>
      <c r="G16" s="50">
        <v>5060.4</v>
      </c>
      <c r="H16" s="16">
        <v>4832.6</v>
      </c>
      <c r="I16" s="17">
        <v>-757.8</v>
      </c>
      <c r="J16" s="17">
        <v>19004.6</v>
      </c>
      <c r="K16" s="19">
        <f t="shared" si="6"/>
        <v>94.58883723708179</v>
      </c>
      <c r="L16" s="17">
        <f t="shared" si="7"/>
        <v>98.29626564601219</v>
      </c>
      <c r="M16" s="17">
        <f t="shared" si="3"/>
        <v>98.29626564601219</v>
      </c>
    </row>
    <row r="17" spans="1:13" ht="24" customHeight="1">
      <c r="A17" s="28" t="s">
        <v>40</v>
      </c>
      <c r="B17" s="26" t="s">
        <v>41</v>
      </c>
      <c r="C17" s="69">
        <v>0</v>
      </c>
      <c r="D17" s="50">
        <f t="shared" si="4"/>
        <v>20</v>
      </c>
      <c r="E17" s="37">
        <f t="shared" si="5"/>
        <v>20</v>
      </c>
      <c r="F17" s="50">
        <v>12.8</v>
      </c>
      <c r="G17" s="50">
        <v>7.2</v>
      </c>
      <c r="H17" s="16"/>
      <c r="I17" s="17"/>
      <c r="J17" s="17">
        <v>369.6</v>
      </c>
      <c r="K17" s="19">
        <f t="shared" si="6"/>
        <v>1848</v>
      </c>
      <c r="L17" s="17">
        <f t="shared" si="7"/>
        <v>1848</v>
      </c>
      <c r="M17" s="17"/>
    </row>
    <row r="18" spans="1:13" ht="24">
      <c r="A18" s="28" t="s">
        <v>18</v>
      </c>
      <c r="B18" s="26" t="s">
        <v>15</v>
      </c>
      <c r="C18" s="69">
        <v>11676.1</v>
      </c>
      <c r="D18" s="50">
        <f t="shared" si="4"/>
        <v>18870</v>
      </c>
      <c r="E18" s="37">
        <f t="shared" si="5"/>
        <v>14335.300000000001</v>
      </c>
      <c r="F18" s="50">
        <v>5161.3</v>
      </c>
      <c r="G18" s="50">
        <v>6042.6</v>
      </c>
      <c r="H18" s="16">
        <v>3131.4</v>
      </c>
      <c r="I18" s="17">
        <v>4534.7</v>
      </c>
      <c r="J18" s="17">
        <v>17986.7</v>
      </c>
      <c r="K18" s="19">
        <f t="shared" si="6"/>
        <v>125.47138880944242</v>
      </c>
      <c r="L18" s="17">
        <f t="shared" si="7"/>
        <v>95.3190249072602</v>
      </c>
      <c r="M18" s="17">
        <f t="shared" si="3"/>
        <v>154.0471561565934</v>
      </c>
    </row>
    <row r="19" spans="1:13" ht="12.75">
      <c r="A19" s="28" t="s">
        <v>46</v>
      </c>
      <c r="B19" s="26" t="s">
        <v>47</v>
      </c>
      <c r="C19" s="69">
        <v>18.6</v>
      </c>
      <c r="D19" s="50">
        <f t="shared" si="4"/>
        <v>18.6</v>
      </c>
      <c r="E19" s="37">
        <f t="shared" si="5"/>
        <v>6</v>
      </c>
      <c r="F19" s="50">
        <v>0</v>
      </c>
      <c r="G19" s="50">
        <v>1.5</v>
      </c>
      <c r="H19" s="16">
        <v>4.5</v>
      </c>
      <c r="I19" s="17">
        <v>12.6</v>
      </c>
      <c r="J19" s="17">
        <v>0</v>
      </c>
      <c r="K19" s="19">
        <f t="shared" si="6"/>
        <v>0</v>
      </c>
      <c r="L19" s="17">
        <f t="shared" si="7"/>
        <v>0</v>
      </c>
      <c r="M19" s="17">
        <f t="shared" si="3"/>
        <v>0</v>
      </c>
    </row>
    <row r="20" spans="1:13" ht="12.75">
      <c r="A20" s="20" t="s">
        <v>12</v>
      </c>
      <c r="B20" s="26" t="s">
        <v>7</v>
      </c>
      <c r="C20" s="69">
        <v>12113.5</v>
      </c>
      <c r="D20" s="50">
        <f t="shared" si="4"/>
        <v>9309.9</v>
      </c>
      <c r="E20" s="37">
        <f t="shared" si="5"/>
        <v>8256.5</v>
      </c>
      <c r="F20" s="50">
        <v>2197.5</v>
      </c>
      <c r="G20" s="50">
        <v>5382.9</v>
      </c>
      <c r="H20" s="16">
        <v>676.1</v>
      </c>
      <c r="I20" s="17">
        <v>1053.4</v>
      </c>
      <c r="J20" s="17">
        <v>10012.3</v>
      </c>
      <c r="K20" s="19">
        <f t="shared" si="6"/>
        <v>121.26566947253677</v>
      </c>
      <c r="L20" s="17">
        <f t="shared" si="7"/>
        <v>107.54465676323053</v>
      </c>
      <c r="M20" s="17">
        <f t="shared" si="3"/>
        <v>82.65406364799603</v>
      </c>
    </row>
    <row r="21" spans="1:13" ht="12.75">
      <c r="A21" s="29" t="s">
        <v>37</v>
      </c>
      <c r="B21" s="15" t="s">
        <v>38</v>
      </c>
      <c r="C21" s="69">
        <v>0</v>
      </c>
      <c r="D21" s="50">
        <f t="shared" si="4"/>
        <v>350</v>
      </c>
      <c r="E21" s="37">
        <f t="shared" si="5"/>
        <v>350</v>
      </c>
      <c r="F21" s="50"/>
      <c r="G21" s="50">
        <v>350</v>
      </c>
      <c r="H21" s="16"/>
      <c r="I21" s="17"/>
      <c r="J21" s="17">
        <v>321.8</v>
      </c>
      <c r="K21" s="19">
        <f t="shared" si="6"/>
        <v>91.94285714285714</v>
      </c>
      <c r="L21" s="17">
        <f t="shared" si="7"/>
        <v>91.94285714285714</v>
      </c>
      <c r="M21" s="17"/>
    </row>
    <row r="22" spans="1:13" ht="12.75">
      <c r="A22" s="23" t="s">
        <v>1</v>
      </c>
      <c r="B22" s="30" t="s">
        <v>0</v>
      </c>
      <c r="C22" s="70">
        <f>C23+C26+C27+C25+C24</f>
        <v>4008342.9</v>
      </c>
      <c r="D22" s="70">
        <f aca="true" t="shared" si="8" ref="D22:I22">D23+D26+D27+D25+D24</f>
        <v>4328761.399999999</v>
      </c>
      <c r="E22" s="70">
        <f t="shared" si="8"/>
        <v>2594697.7</v>
      </c>
      <c r="F22" s="70">
        <f t="shared" si="8"/>
        <v>606508.5</v>
      </c>
      <c r="G22" s="70">
        <f t="shared" si="8"/>
        <v>1024296.4</v>
      </c>
      <c r="H22" s="70">
        <f t="shared" si="8"/>
        <v>963892.8</v>
      </c>
      <c r="I22" s="70">
        <f t="shared" si="8"/>
        <v>1734063.7</v>
      </c>
      <c r="J22" s="70">
        <f>J23+J26+J27+J25+J24</f>
        <v>2312891.5</v>
      </c>
      <c r="K22" s="25">
        <f aca="true" t="shared" si="9" ref="K22:K28">J22*100/E22</f>
        <v>89.13915096930174</v>
      </c>
      <c r="L22" s="22">
        <f aca="true" t="shared" si="10" ref="L22:L28">J22*100/D22</f>
        <v>53.4307920043826</v>
      </c>
      <c r="M22" s="22">
        <f>J22*100/C22</f>
        <v>57.7019371271854</v>
      </c>
    </row>
    <row r="23" spans="1:13" ht="26.25" customHeight="1">
      <c r="A23" s="66" t="s">
        <v>52</v>
      </c>
      <c r="B23" s="32" t="s">
        <v>20</v>
      </c>
      <c r="C23" s="69">
        <v>4008342.9</v>
      </c>
      <c r="D23" s="50">
        <f t="shared" si="4"/>
        <v>4301302.3</v>
      </c>
      <c r="E23" s="37">
        <f t="shared" si="5"/>
        <v>2597238.6</v>
      </c>
      <c r="F23" s="50">
        <v>609399.4</v>
      </c>
      <c r="G23" s="50">
        <v>1023946.4</v>
      </c>
      <c r="H23" s="17">
        <v>963892.8</v>
      </c>
      <c r="I23" s="17">
        <v>1704063.7</v>
      </c>
      <c r="J23" s="17">
        <v>2265115.1</v>
      </c>
      <c r="K23" s="19">
        <f t="shared" si="9"/>
        <v>87.2124378561138</v>
      </c>
      <c r="L23" s="17">
        <f t="shared" si="10"/>
        <v>52.661146369554174</v>
      </c>
      <c r="M23" s="17">
        <f>J23*100/C23</f>
        <v>56.51001315281684</v>
      </c>
    </row>
    <row r="24" spans="1:13" ht="27.75" customHeight="1">
      <c r="A24" s="66" t="s">
        <v>69</v>
      </c>
      <c r="B24" s="32" t="s">
        <v>70</v>
      </c>
      <c r="C24" s="69"/>
      <c r="D24" s="50">
        <f>F24+G24+H24+I24</f>
        <v>350</v>
      </c>
      <c r="E24" s="37">
        <f t="shared" si="5"/>
        <v>350</v>
      </c>
      <c r="F24" s="50"/>
      <c r="G24" s="50">
        <v>350</v>
      </c>
      <c r="H24" s="17"/>
      <c r="I24" s="17"/>
      <c r="J24" s="17">
        <v>769</v>
      </c>
      <c r="K24" s="19">
        <f>J24*100/E24</f>
        <v>219.71428571428572</v>
      </c>
      <c r="L24" s="17">
        <f>J24*100/D24</f>
        <v>219.71428571428572</v>
      </c>
      <c r="M24" s="17"/>
    </row>
    <row r="25" spans="1:13" ht="16.5" customHeight="1">
      <c r="A25" s="66" t="s">
        <v>60</v>
      </c>
      <c r="B25" s="33" t="s">
        <v>19</v>
      </c>
      <c r="C25" s="69"/>
      <c r="D25" s="50">
        <f t="shared" si="4"/>
        <v>31048</v>
      </c>
      <c r="E25" s="37">
        <f t="shared" si="5"/>
        <v>1048</v>
      </c>
      <c r="F25" s="55">
        <v>1048</v>
      </c>
      <c r="G25" s="55"/>
      <c r="H25" s="17"/>
      <c r="I25" s="17">
        <v>30000</v>
      </c>
      <c r="J25" s="17">
        <v>50946.3</v>
      </c>
      <c r="K25" s="19">
        <f>J25*100/E25</f>
        <v>4861.288167938931</v>
      </c>
      <c r="L25" s="17">
        <f>J25*100/D25</f>
        <v>164.08883019840246</v>
      </c>
      <c r="M25" s="17"/>
    </row>
    <row r="26" spans="1:13" ht="15" customHeight="1" hidden="1">
      <c r="A26" s="66" t="s">
        <v>59</v>
      </c>
      <c r="B26" s="15" t="s">
        <v>50</v>
      </c>
      <c r="C26" s="69">
        <v>0</v>
      </c>
      <c r="D26" s="50">
        <f t="shared" si="4"/>
        <v>0</v>
      </c>
      <c r="E26" s="37">
        <f t="shared" si="5"/>
        <v>0</v>
      </c>
      <c r="F26" s="50"/>
      <c r="G26" s="50"/>
      <c r="H26" s="17"/>
      <c r="I26" s="17"/>
      <c r="J26" s="17"/>
      <c r="K26" s="19" t="e">
        <f>J26*100/E26</f>
        <v>#DIV/0!</v>
      </c>
      <c r="L26" s="17" t="e">
        <f>J26*100/D26</f>
        <v>#DIV/0!</v>
      </c>
      <c r="M26" s="17"/>
    </row>
    <row r="27" spans="1:13" ht="39" customHeight="1">
      <c r="A27" s="66" t="s">
        <v>51</v>
      </c>
      <c r="B27" s="18" t="s">
        <v>49</v>
      </c>
      <c r="C27" s="69"/>
      <c r="D27" s="50">
        <f t="shared" si="4"/>
        <v>-3938.9</v>
      </c>
      <c r="E27" s="37">
        <f t="shared" si="5"/>
        <v>-3938.9</v>
      </c>
      <c r="F27" s="59">
        <v>-3938.9</v>
      </c>
      <c r="G27" s="59"/>
      <c r="H27" s="17"/>
      <c r="I27" s="17"/>
      <c r="J27" s="17">
        <v>-3938.9</v>
      </c>
      <c r="K27" s="19">
        <f>J27*100/E27</f>
        <v>100</v>
      </c>
      <c r="L27" s="17">
        <f>J27*100/D27</f>
        <v>100</v>
      </c>
      <c r="M27" s="17"/>
    </row>
    <row r="28" spans="1:13" ht="12.75">
      <c r="A28" s="20"/>
      <c r="B28" s="21" t="s">
        <v>4</v>
      </c>
      <c r="C28" s="22">
        <f aca="true" t="shared" si="11" ref="C28:I28">C22+C8</f>
        <v>4999940.3</v>
      </c>
      <c r="D28" s="22">
        <f>D22+D8+0.1</f>
        <v>5342767.099999999</v>
      </c>
      <c r="E28" s="22">
        <f t="shared" si="11"/>
        <v>3373535.5000000005</v>
      </c>
      <c r="F28" s="22">
        <f t="shared" si="11"/>
        <v>859258.2</v>
      </c>
      <c r="G28" s="22">
        <f t="shared" si="11"/>
        <v>1313693.3</v>
      </c>
      <c r="H28" s="22">
        <f t="shared" si="11"/>
        <v>1200584</v>
      </c>
      <c r="I28" s="22">
        <f t="shared" si="11"/>
        <v>1969231.5</v>
      </c>
      <c r="J28" s="22">
        <f>J22+J8</f>
        <v>3124270.5</v>
      </c>
      <c r="K28" s="25">
        <f t="shared" si="9"/>
        <v>92.61116416293825</v>
      </c>
      <c r="L28" s="22">
        <f t="shared" si="10"/>
        <v>58.47663657283509</v>
      </c>
      <c r="M28" s="22">
        <f>J28*100/C28</f>
        <v>62.48615608470365</v>
      </c>
    </row>
    <row r="29" spans="1:13" ht="12.75">
      <c r="A29" s="165"/>
      <c r="B29" s="166"/>
      <c r="C29" s="166"/>
      <c r="D29" s="166"/>
      <c r="E29" s="166"/>
      <c r="F29" s="166"/>
      <c r="G29" s="166"/>
      <c r="H29" s="166"/>
      <c r="I29" s="166"/>
      <c r="J29" s="166"/>
      <c r="K29" s="25"/>
      <c r="L29" s="22"/>
      <c r="M29" s="17"/>
    </row>
    <row r="30" spans="1:13" ht="12.75">
      <c r="A30" s="171" t="s">
        <v>23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</row>
    <row r="31" spans="1:13" ht="12.75">
      <c r="A31" s="23" t="s">
        <v>3</v>
      </c>
      <c r="B31" s="24" t="s">
        <v>53</v>
      </c>
      <c r="C31" s="68">
        <f>C32+C34+C36+C38+C35+C37+C40+C33+C39</f>
        <v>20907.3</v>
      </c>
      <c r="D31" s="25">
        <f aca="true" t="shared" si="12" ref="D31:I31">D32+D34+D36+D38+D35+D37+D40+D33</f>
        <v>20958.899999999998</v>
      </c>
      <c r="E31" s="25">
        <f t="shared" si="12"/>
        <v>16439.2</v>
      </c>
      <c r="F31" s="25">
        <f t="shared" si="12"/>
        <v>4972.5</v>
      </c>
      <c r="G31" s="25">
        <f t="shared" si="12"/>
        <v>5888.7</v>
      </c>
      <c r="H31" s="25">
        <f t="shared" si="12"/>
        <v>5578</v>
      </c>
      <c r="I31" s="25">
        <f t="shared" si="12"/>
        <v>4519.700000000001</v>
      </c>
      <c r="J31" s="25">
        <f>J32+J34+J36+J38+J35+J37+J40+J33+J39</f>
        <v>17099.5</v>
      </c>
      <c r="K31" s="25">
        <f aca="true" t="shared" si="13" ref="K31:K36">J31*100/E31</f>
        <v>104.01661881356756</v>
      </c>
      <c r="L31" s="22">
        <f aca="true" t="shared" si="14" ref="L31:L36">J31*100/D31</f>
        <v>81.58586567043119</v>
      </c>
      <c r="M31" s="22">
        <f aca="true" t="shared" si="15" ref="M31:M36">J31*100/C31</f>
        <v>81.78722264472218</v>
      </c>
    </row>
    <row r="32" spans="1:17" ht="12.75">
      <c r="A32" s="12" t="s">
        <v>63</v>
      </c>
      <c r="B32" s="46" t="s">
        <v>64</v>
      </c>
      <c r="C32" s="69">
        <v>16900</v>
      </c>
      <c r="D32" s="50">
        <f aca="true" t="shared" si="16" ref="D32:D38">F32+G32+H32+I32</f>
        <v>16900</v>
      </c>
      <c r="E32" s="37">
        <f aca="true" t="shared" si="17" ref="E32:E42">F32+G32+H32</f>
        <v>14011.199999999999</v>
      </c>
      <c r="F32" s="37">
        <v>4229.9</v>
      </c>
      <c r="G32" s="37">
        <v>5039.2</v>
      </c>
      <c r="H32" s="16">
        <v>4742.1</v>
      </c>
      <c r="I32" s="17">
        <v>2888.8</v>
      </c>
      <c r="J32" s="58">
        <v>14661.4</v>
      </c>
      <c r="K32" s="19">
        <f t="shared" si="13"/>
        <v>104.64057325568118</v>
      </c>
      <c r="L32" s="17">
        <f t="shared" si="14"/>
        <v>86.75384615384615</v>
      </c>
      <c r="M32" s="17">
        <f t="shared" si="15"/>
        <v>86.75384615384615</v>
      </c>
      <c r="Q32" s="2"/>
    </row>
    <row r="33" spans="1:13" ht="25.5" customHeight="1">
      <c r="A33" s="12" t="s">
        <v>62</v>
      </c>
      <c r="B33" s="26" t="s">
        <v>61</v>
      </c>
      <c r="C33" s="69">
        <v>1918.5</v>
      </c>
      <c r="D33" s="50">
        <f t="shared" si="16"/>
        <v>1918.5</v>
      </c>
      <c r="E33" s="37">
        <f t="shared" si="17"/>
        <v>1428.8</v>
      </c>
      <c r="F33" s="37">
        <v>454.3</v>
      </c>
      <c r="G33" s="37">
        <v>484</v>
      </c>
      <c r="H33" s="16">
        <v>490.5</v>
      </c>
      <c r="I33" s="17">
        <v>489.7</v>
      </c>
      <c r="J33" s="58">
        <v>1522</v>
      </c>
      <c r="K33" s="19">
        <f t="shared" si="13"/>
        <v>106.52295632698768</v>
      </c>
      <c r="L33" s="17">
        <f t="shared" si="14"/>
        <v>79.33281209278081</v>
      </c>
      <c r="M33" s="17">
        <f t="shared" si="15"/>
        <v>79.33281209278081</v>
      </c>
    </row>
    <row r="34" spans="1:13" ht="12.75">
      <c r="A34" s="12" t="s">
        <v>9</v>
      </c>
      <c r="B34" s="26" t="s">
        <v>6</v>
      </c>
      <c r="C34" s="69">
        <v>1187</v>
      </c>
      <c r="D34" s="50">
        <f t="shared" si="16"/>
        <v>1187</v>
      </c>
      <c r="E34" s="37">
        <f t="shared" si="17"/>
        <v>258.4</v>
      </c>
      <c r="F34" s="50">
        <v>62</v>
      </c>
      <c r="G34" s="50">
        <v>23.7</v>
      </c>
      <c r="H34" s="16">
        <v>172.7</v>
      </c>
      <c r="I34" s="17">
        <v>928.6</v>
      </c>
      <c r="J34" s="17">
        <v>219.5</v>
      </c>
      <c r="K34" s="19">
        <f t="shared" si="13"/>
        <v>84.94582043343654</v>
      </c>
      <c r="L34" s="17">
        <f t="shared" si="14"/>
        <v>18.491996630160067</v>
      </c>
      <c r="M34" s="17">
        <f t="shared" si="15"/>
        <v>18.491996630160067</v>
      </c>
    </row>
    <row r="35" spans="1:13" ht="12.75">
      <c r="A35" s="12" t="s">
        <v>10</v>
      </c>
      <c r="B35" s="26" t="s">
        <v>21</v>
      </c>
      <c r="C35" s="69">
        <v>9.3</v>
      </c>
      <c r="D35" s="50">
        <f t="shared" si="16"/>
        <v>9.3</v>
      </c>
      <c r="E35" s="37">
        <f t="shared" si="17"/>
        <v>7.5</v>
      </c>
      <c r="F35" s="50">
        <v>1.5</v>
      </c>
      <c r="G35" s="50">
        <v>2.8</v>
      </c>
      <c r="H35" s="16">
        <v>3.2</v>
      </c>
      <c r="I35" s="17">
        <v>1.8</v>
      </c>
      <c r="J35" s="17">
        <v>2.5</v>
      </c>
      <c r="K35" s="19">
        <f t="shared" si="13"/>
        <v>33.333333333333336</v>
      </c>
      <c r="L35" s="17">
        <f t="shared" si="14"/>
        <v>26.881720430107524</v>
      </c>
      <c r="M35" s="17">
        <f t="shared" si="15"/>
        <v>26.881720430107524</v>
      </c>
    </row>
    <row r="36" spans="1:13" ht="24">
      <c r="A36" s="13" t="s">
        <v>11</v>
      </c>
      <c r="B36" s="26" t="s">
        <v>17</v>
      </c>
      <c r="C36" s="69">
        <v>772.5</v>
      </c>
      <c r="D36" s="50">
        <f t="shared" si="16"/>
        <v>772.5</v>
      </c>
      <c r="E36" s="37">
        <f t="shared" si="17"/>
        <v>603.2</v>
      </c>
      <c r="F36" s="50">
        <v>206.3</v>
      </c>
      <c r="G36" s="50">
        <v>241.4</v>
      </c>
      <c r="H36" s="16">
        <v>155.5</v>
      </c>
      <c r="I36" s="17">
        <v>169.3</v>
      </c>
      <c r="J36" s="17">
        <v>615.7</v>
      </c>
      <c r="K36" s="19">
        <f t="shared" si="13"/>
        <v>102.07228116710876</v>
      </c>
      <c r="L36" s="17">
        <f t="shared" si="14"/>
        <v>79.7022653721683</v>
      </c>
      <c r="M36" s="17">
        <f t="shared" si="15"/>
        <v>79.7022653721683</v>
      </c>
    </row>
    <row r="37" spans="1:13" ht="28.5" customHeight="1">
      <c r="A37" s="28" t="s">
        <v>40</v>
      </c>
      <c r="B37" s="26" t="s">
        <v>41</v>
      </c>
      <c r="C37" s="69">
        <v>0</v>
      </c>
      <c r="D37" s="50">
        <f t="shared" si="16"/>
        <v>51.6</v>
      </c>
      <c r="E37" s="37">
        <f t="shared" si="17"/>
        <v>51.6</v>
      </c>
      <c r="F37" s="50"/>
      <c r="G37" s="50">
        <v>51.6</v>
      </c>
      <c r="H37" s="16"/>
      <c r="I37" s="17"/>
      <c r="J37" s="17">
        <v>51.6</v>
      </c>
      <c r="K37" s="19">
        <f>J37*100/E37</f>
        <v>100</v>
      </c>
      <c r="L37" s="17">
        <f>J37*100/D37</f>
        <v>100</v>
      </c>
      <c r="M37" s="17"/>
    </row>
    <row r="38" spans="1:13" ht="13.5" customHeight="1">
      <c r="A38" s="27" t="s">
        <v>18</v>
      </c>
      <c r="B38" s="26" t="s">
        <v>15</v>
      </c>
      <c r="C38" s="69">
        <v>120</v>
      </c>
      <c r="D38" s="50">
        <f t="shared" si="16"/>
        <v>120</v>
      </c>
      <c r="E38" s="37">
        <f t="shared" si="17"/>
        <v>78.5</v>
      </c>
      <c r="F38" s="50">
        <v>18.5</v>
      </c>
      <c r="G38" s="50">
        <v>46</v>
      </c>
      <c r="H38" s="16">
        <v>14</v>
      </c>
      <c r="I38" s="17">
        <v>41.5</v>
      </c>
      <c r="J38" s="17">
        <v>26.8</v>
      </c>
      <c r="K38" s="19">
        <f>J38*100/E38</f>
        <v>34.140127388535035</v>
      </c>
      <c r="L38" s="17">
        <f>J38*100/D38</f>
        <v>22.333333333333332</v>
      </c>
      <c r="M38" s="17">
        <f>J38*100/C38</f>
        <v>22.333333333333332</v>
      </c>
    </row>
    <row r="39" spans="1:13" ht="14.25" customHeight="1" hidden="1">
      <c r="A39" s="20" t="s">
        <v>12</v>
      </c>
      <c r="B39" s="26" t="s">
        <v>7</v>
      </c>
      <c r="C39" s="69"/>
      <c r="D39" s="50"/>
      <c r="E39" s="37">
        <f t="shared" si="17"/>
        <v>0</v>
      </c>
      <c r="F39" s="50"/>
      <c r="G39" s="50"/>
      <c r="H39" s="16"/>
      <c r="I39" s="17"/>
      <c r="J39" s="17"/>
      <c r="K39" s="19"/>
      <c r="L39" s="17"/>
      <c r="M39" s="17"/>
    </row>
    <row r="40" spans="1:13" ht="15.75" customHeight="1">
      <c r="A40" s="29" t="s">
        <v>37</v>
      </c>
      <c r="B40" s="15" t="s">
        <v>38</v>
      </c>
      <c r="C40" s="69"/>
      <c r="D40" s="26"/>
      <c r="E40" s="37">
        <f t="shared" si="17"/>
        <v>0</v>
      </c>
      <c r="F40" s="50"/>
      <c r="G40" s="50"/>
      <c r="H40" s="16"/>
      <c r="I40" s="17"/>
      <c r="J40" s="17"/>
      <c r="K40" s="25"/>
      <c r="L40" s="22"/>
      <c r="M40" s="17"/>
    </row>
    <row r="41" spans="1:13" ht="12.75">
      <c r="A41" s="23" t="s">
        <v>1</v>
      </c>
      <c r="B41" s="30" t="s">
        <v>0</v>
      </c>
      <c r="C41" s="70">
        <f>C42+C43</f>
        <v>6595.8</v>
      </c>
      <c r="D41" s="31">
        <f aca="true" t="shared" si="18" ref="D41:I41">D42+D43</f>
        <v>6795.8</v>
      </c>
      <c r="E41" s="31">
        <f t="shared" si="18"/>
        <v>5024</v>
      </c>
      <c r="F41" s="31">
        <f t="shared" si="18"/>
        <v>1521.9</v>
      </c>
      <c r="G41" s="31">
        <f t="shared" si="18"/>
        <v>1183</v>
      </c>
      <c r="H41" s="31">
        <f t="shared" si="18"/>
        <v>2319.1</v>
      </c>
      <c r="I41" s="31">
        <f t="shared" si="18"/>
        <v>1771.8</v>
      </c>
      <c r="J41" s="31">
        <f>J42+J43</f>
        <v>5501</v>
      </c>
      <c r="K41" s="25">
        <f>J41*100/E41</f>
        <v>109.49442675159236</v>
      </c>
      <c r="L41" s="22">
        <f>J41*100/D41</f>
        <v>80.94705553430059</v>
      </c>
      <c r="M41" s="22">
        <f>J41*100/C41</f>
        <v>83.4015585675733</v>
      </c>
    </row>
    <row r="42" spans="1:13" ht="23.25" customHeight="1">
      <c r="A42" s="14" t="s">
        <v>52</v>
      </c>
      <c r="B42" s="32" t="s">
        <v>20</v>
      </c>
      <c r="C42" s="69">
        <v>6595.8</v>
      </c>
      <c r="D42" s="50">
        <f>F42+G42+H42+I42</f>
        <v>6795.8</v>
      </c>
      <c r="E42" s="37">
        <f t="shared" si="17"/>
        <v>5024</v>
      </c>
      <c r="F42" s="49">
        <v>1521.9</v>
      </c>
      <c r="G42" s="49">
        <v>1183</v>
      </c>
      <c r="H42" s="16">
        <v>2319.1</v>
      </c>
      <c r="I42" s="49">
        <v>1771.8</v>
      </c>
      <c r="J42" s="17">
        <v>5501</v>
      </c>
      <c r="K42" s="19">
        <f>J42*100/E42</f>
        <v>109.49442675159236</v>
      </c>
      <c r="L42" s="17">
        <f>J42*100/D42</f>
        <v>80.94705553430059</v>
      </c>
      <c r="M42" s="17">
        <f>J42*100/C42</f>
        <v>83.4015585675733</v>
      </c>
    </row>
    <row r="43" spans="1:13" ht="37.5" customHeight="1" hidden="1">
      <c r="A43" s="14" t="s">
        <v>51</v>
      </c>
      <c r="B43" s="18" t="s">
        <v>49</v>
      </c>
      <c r="C43" s="59"/>
      <c r="D43" s="50">
        <f>F43+G43+H43+I43</f>
        <v>0</v>
      </c>
      <c r="E43" s="37">
        <f>F43</f>
        <v>0</v>
      </c>
      <c r="F43" s="49"/>
      <c r="G43" s="49"/>
      <c r="H43" s="16"/>
      <c r="I43" s="49"/>
      <c r="J43" s="17"/>
      <c r="K43" s="19"/>
      <c r="L43" s="17"/>
      <c r="M43" s="17"/>
    </row>
    <row r="44" spans="1:13" ht="12.75">
      <c r="A44" s="20"/>
      <c r="B44" s="21" t="s">
        <v>4</v>
      </c>
      <c r="C44" s="22">
        <f aca="true" t="shared" si="19" ref="C44:I44">C41+C31</f>
        <v>27503.1</v>
      </c>
      <c r="D44" s="22">
        <f t="shared" si="19"/>
        <v>27754.699999999997</v>
      </c>
      <c r="E44" s="22">
        <f t="shared" si="19"/>
        <v>21463.2</v>
      </c>
      <c r="F44" s="22">
        <f t="shared" si="19"/>
        <v>6494.4</v>
      </c>
      <c r="G44" s="22">
        <f t="shared" si="19"/>
        <v>7071.7</v>
      </c>
      <c r="H44" s="22">
        <f t="shared" si="19"/>
        <v>7897.1</v>
      </c>
      <c r="I44" s="22">
        <f t="shared" si="19"/>
        <v>6291.500000000001</v>
      </c>
      <c r="J44" s="22">
        <f>J41+J31</f>
        <v>22600.5</v>
      </c>
      <c r="K44" s="25">
        <f>J44*100/E44</f>
        <v>105.29883707927988</v>
      </c>
      <c r="L44" s="22">
        <f>J44*100/D44</f>
        <v>81.42945158837964</v>
      </c>
      <c r="M44" s="22">
        <f>J44*100/C44</f>
        <v>82.17437307067203</v>
      </c>
    </row>
    <row r="45" spans="1:13" ht="12.75">
      <c r="A45" s="47"/>
      <c r="B45" s="167"/>
      <c r="C45" s="167"/>
      <c r="D45" s="167"/>
      <c r="E45" s="167"/>
      <c r="F45" s="167"/>
      <c r="G45" s="167"/>
      <c r="H45" s="167"/>
      <c r="I45" s="167"/>
      <c r="J45" s="167"/>
      <c r="K45" s="25"/>
      <c r="L45" s="22"/>
      <c r="M45" s="17"/>
    </row>
    <row r="46" spans="1:13" ht="12.75">
      <c r="A46" s="171" t="s">
        <v>24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</row>
    <row r="47" spans="1:13" ht="12.75">
      <c r="A47" s="23" t="s">
        <v>3</v>
      </c>
      <c r="B47" s="24" t="s">
        <v>53</v>
      </c>
      <c r="C47" s="68">
        <f aca="true" t="shared" si="20" ref="C47:J47">C48+C51+C53+C55+C56+C57+C52+C50+C49+C54</f>
        <v>23326.5</v>
      </c>
      <c r="D47" s="25">
        <f t="shared" si="20"/>
        <v>24268.7</v>
      </c>
      <c r="E47" s="25">
        <f t="shared" si="20"/>
        <v>16406.9</v>
      </c>
      <c r="F47" s="25">
        <f t="shared" si="20"/>
        <v>3674.2999999999997</v>
      </c>
      <c r="G47" s="25">
        <f t="shared" si="20"/>
        <v>5729.8</v>
      </c>
      <c r="H47" s="25">
        <f t="shared" si="20"/>
        <v>7002.8</v>
      </c>
      <c r="I47" s="25">
        <f t="shared" si="20"/>
        <v>7861.800000000001</v>
      </c>
      <c r="J47" s="25">
        <f t="shared" si="20"/>
        <v>15238.2</v>
      </c>
      <c r="K47" s="25">
        <f>J47*100/E47</f>
        <v>92.8767774533885</v>
      </c>
      <c r="L47" s="22">
        <f>J47*100/D47</f>
        <v>62.78951901008294</v>
      </c>
      <c r="M47" s="22">
        <f aca="true" t="shared" si="21" ref="M47:M53">J47*100/C47</f>
        <v>65.32570252716867</v>
      </c>
    </row>
    <row r="48" spans="1:17" ht="12.75">
      <c r="A48" s="12" t="s">
        <v>63</v>
      </c>
      <c r="B48" s="46" t="s">
        <v>64</v>
      </c>
      <c r="C48" s="69">
        <v>14500</v>
      </c>
      <c r="D48" s="50">
        <f aca="true" t="shared" si="22" ref="D48:D61">F48+G48+H48+I48</f>
        <v>14500</v>
      </c>
      <c r="E48" s="37">
        <f aca="true" t="shared" si="23" ref="E48:E59">F48+G48+H48</f>
        <v>9809.699999999999</v>
      </c>
      <c r="F48" s="50">
        <v>2084.2</v>
      </c>
      <c r="G48" s="50">
        <v>3671.1</v>
      </c>
      <c r="H48" s="16">
        <v>4054.4</v>
      </c>
      <c r="I48" s="17">
        <v>4690.3</v>
      </c>
      <c r="J48" s="58">
        <v>9965.8</v>
      </c>
      <c r="K48" s="19">
        <f>J48*100/E48</f>
        <v>101.59128209833125</v>
      </c>
      <c r="L48" s="17">
        <f>J48*100/D48</f>
        <v>68.72965517241379</v>
      </c>
      <c r="M48" s="17">
        <f t="shared" si="21"/>
        <v>68.72965517241379</v>
      </c>
      <c r="Q48" s="2"/>
    </row>
    <row r="49" spans="1:13" ht="24" customHeight="1">
      <c r="A49" s="12" t="s">
        <v>62</v>
      </c>
      <c r="B49" s="26" t="s">
        <v>61</v>
      </c>
      <c r="C49" s="69">
        <v>4528.8</v>
      </c>
      <c r="D49" s="50">
        <f t="shared" si="22"/>
        <v>5364.5</v>
      </c>
      <c r="E49" s="37">
        <f t="shared" si="23"/>
        <v>4190.1</v>
      </c>
      <c r="F49" s="50">
        <v>1005.4</v>
      </c>
      <c r="G49" s="50">
        <v>1174.5</v>
      </c>
      <c r="H49" s="16">
        <v>2010.2</v>
      </c>
      <c r="I49" s="17">
        <v>1174.4</v>
      </c>
      <c r="J49" s="58">
        <v>3593</v>
      </c>
      <c r="K49" s="19">
        <f>J49*100/E49</f>
        <v>85.74974344287725</v>
      </c>
      <c r="L49" s="17">
        <f>J49*100/D49</f>
        <v>66.97735110448318</v>
      </c>
      <c r="M49" s="17">
        <f t="shared" si="21"/>
        <v>79.33668963080727</v>
      </c>
    </row>
    <row r="50" spans="1:13" ht="12.75">
      <c r="A50" s="12" t="s">
        <v>8</v>
      </c>
      <c r="B50" s="26" t="s">
        <v>5</v>
      </c>
      <c r="C50" s="69">
        <v>17.5</v>
      </c>
      <c r="D50" s="50">
        <f t="shared" si="22"/>
        <v>80.1</v>
      </c>
      <c r="E50" s="37">
        <f t="shared" si="23"/>
        <v>80.1</v>
      </c>
      <c r="F50" s="50">
        <v>17.5</v>
      </c>
      <c r="G50" s="50"/>
      <c r="H50" s="16">
        <v>62.6</v>
      </c>
      <c r="I50" s="17"/>
      <c r="J50" s="58">
        <v>80.1</v>
      </c>
      <c r="K50" s="19">
        <f>J50*100/E50</f>
        <v>100</v>
      </c>
      <c r="L50" s="17">
        <f>J50*100/D50</f>
        <v>100</v>
      </c>
      <c r="M50" s="17">
        <f t="shared" si="21"/>
        <v>457.71428571428567</v>
      </c>
    </row>
    <row r="51" spans="1:13" ht="13.5" customHeight="1">
      <c r="A51" s="12" t="s">
        <v>9</v>
      </c>
      <c r="B51" s="26" t="s">
        <v>6</v>
      </c>
      <c r="C51" s="69">
        <v>3490</v>
      </c>
      <c r="D51" s="50">
        <f t="shared" si="22"/>
        <v>3230</v>
      </c>
      <c r="E51" s="37">
        <f t="shared" si="23"/>
        <v>1470.1</v>
      </c>
      <c r="F51" s="50">
        <v>362.7</v>
      </c>
      <c r="G51" s="50">
        <v>610</v>
      </c>
      <c r="H51" s="16">
        <v>497.4</v>
      </c>
      <c r="I51" s="17">
        <v>1759.9</v>
      </c>
      <c r="J51" s="17">
        <v>761.1</v>
      </c>
      <c r="K51" s="19">
        <f>J51*100/E51</f>
        <v>51.771988300115645</v>
      </c>
      <c r="L51" s="17">
        <f>J51*100/D51</f>
        <v>23.563467492260063</v>
      </c>
      <c r="M51" s="17">
        <f t="shared" si="21"/>
        <v>21.808022922636102</v>
      </c>
    </row>
    <row r="52" spans="1:13" ht="12.75" customHeight="1" hidden="1">
      <c r="A52" s="12" t="s">
        <v>10</v>
      </c>
      <c r="B52" s="26" t="s">
        <v>21</v>
      </c>
      <c r="C52" s="69"/>
      <c r="D52" s="50">
        <f t="shared" si="22"/>
        <v>0</v>
      </c>
      <c r="E52" s="37">
        <f t="shared" si="23"/>
        <v>0</v>
      </c>
      <c r="F52" s="50"/>
      <c r="G52" s="50"/>
      <c r="H52" s="16"/>
      <c r="I52" s="17"/>
      <c r="J52" s="17"/>
      <c r="K52" s="19"/>
      <c r="L52" s="17"/>
      <c r="M52" s="17" t="e">
        <f t="shared" si="21"/>
        <v>#DIV/0!</v>
      </c>
    </row>
    <row r="53" spans="1:13" ht="24">
      <c r="A53" s="13" t="s">
        <v>11</v>
      </c>
      <c r="B53" s="26" t="s">
        <v>17</v>
      </c>
      <c r="C53" s="69">
        <v>724.2</v>
      </c>
      <c r="D53" s="50">
        <f t="shared" si="22"/>
        <v>845.4000000000001</v>
      </c>
      <c r="E53" s="37">
        <f t="shared" si="23"/>
        <v>632.2</v>
      </c>
      <c r="F53" s="50">
        <v>167.2</v>
      </c>
      <c r="G53" s="50">
        <v>190.8</v>
      </c>
      <c r="H53" s="16">
        <v>274.2</v>
      </c>
      <c r="I53" s="17">
        <v>213.2</v>
      </c>
      <c r="J53" s="17">
        <v>630.2</v>
      </c>
      <c r="K53" s="19">
        <f>J53*100/E53</f>
        <v>99.68364441632396</v>
      </c>
      <c r="L53" s="17">
        <f>J53*100/D53</f>
        <v>74.54459427489945</v>
      </c>
      <c r="M53" s="17">
        <f t="shared" si="21"/>
        <v>87.02016017674676</v>
      </c>
    </row>
    <row r="54" spans="1:13" ht="19.5" customHeight="1" hidden="1">
      <c r="A54" s="28" t="s">
        <v>40</v>
      </c>
      <c r="B54" s="26" t="s">
        <v>41</v>
      </c>
      <c r="C54" s="69"/>
      <c r="D54" s="50">
        <f t="shared" si="22"/>
        <v>0</v>
      </c>
      <c r="E54" s="37">
        <f t="shared" si="23"/>
        <v>0</v>
      </c>
      <c r="F54" s="50"/>
      <c r="G54" s="50"/>
      <c r="H54" s="16"/>
      <c r="I54" s="17"/>
      <c r="J54" s="17"/>
      <c r="K54" s="19" t="e">
        <f>J54*100/E54</f>
        <v>#DIV/0!</v>
      </c>
      <c r="L54" s="17" t="e">
        <f>J54*100/D54</f>
        <v>#DIV/0!</v>
      </c>
      <c r="M54" s="17"/>
    </row>
    <row r="55" spans="1:13" ht="24">
      <c r="A55" s="28" t="s">
        <v>18</v>
      </c>
      <c r="B55" s="26" t="s">
        <v>15</v>
      </c>
      <c r="C55" s="69">
        <v>66</v>
      </c>
      <c r="D55" s="50">
        <f t="shared" si="22"/>
        <v>144.4</v>
      </c>
      <c r="E55" s="37">
        <f t="shared" si="23"/>
        <v>120.4</v>
      </c>
      <c r="F55" s="50">
        <v>22</v>
      </c>
      <c r="G55" s="50">
        <v>83.4</v>
      </c>
      <c r="H55" s="16">
        <v>15</v>
      </c>
      <c r="I55" s="17">
        <v>24</v>
      </c>
      <c r="J55" s="17">
        <v>118.7</v>
      </c>
      <c r="K55" s="19">
        <f>J55*100/E55</f>
        <v>98.58803986710963</v>
      </c>
      <c r="L55" s="17">
        <f>J55*100/D55</f>
        <v>82.202216066482</v>
      </c>
      <c r="M55" s="17">
        <f>J55*100/C55</f>
        <v>179.84848484848484</v>
      </c>
    </row>
    <row r="56" spans="1:13" ht="21" customHeight="1">
      <c r="A56" s="20" t="s">
        <v>12</v>
      </c>
      <c r="B56" s="26" t="s">
        <v>7</v>
      </c>
      <c r="C56" s="69"/>
      <c r="D56" s="50">
        <f t="shared" si="22"/>
        <v>104.3</v>
      </c>
      <c r="E56" s="37">
        <f t="shared" si="23"/>
        <v>104.3</v>
      </c>
      <c r="F56" s="50">
        <v>15.3</v>
      </c>
      <c r="G56" s="50"/>
      <c r="H56" s="16">
        <v>89</v>
      </c>
      <c r="I56" s="17"/>
      <c r="J56" s="17">
        <v>89.3</v>
      </c>
      <c r="K56" s="19">
        <f>J56*100/E56</f>
        <v>85.61840843720039</v>
      </c>
      <c r="L56" s="17">
        <f>J56*100/D56</f>
        <v>85.61840843720039</v>
      </c>
      <c r="M56" s="17"/>
    </row>
    <row r="57" spans="1:13" ht="14.25" customHeight="1">
      <c r="A57" s="51" t="s">
        <v>37</v>
      </c>
      <c r="B57" s="15" t="s">
        <v>38</v>
      </c>
      <c r="C57" s="69"/>
      <c r="D57" s="50">
        <f t="shared" si="22"/>
        <v>0</v>
      </c>
      <c r="E57" s="37">
        <f t="shared" si="23"/>
        <v>0</v>
      </c>
      <c r="F57" s="50"/>
      <c r="G57" s="50"/>
      <c r="H57" s="16"/>
      <c r="I57" s="17"/>
      <c r="J57" s="17"/>
      <c r="K57" s="19"/>
      <c r="L57" s="17"/>
      <c r="M57" s="17"/>
    </row>
    <row r="58" spans="1:13" ht="12.75">
      <c r="A58" s="53" t="s">
        <v>1</v>
      </c>
      <c r="B58" s="30" t="s">
        <v>0</v>
      </c>
      <c r="C58" s="70">
        <f>C59+C61+C60</f>
        <v>30117.7</v>
      </c>
      <c r="D58" s="31">
        <f>D59+D61+D60</f>
        <v>38441.1</v>
      </c>
      <c r="E58" s="31">
        <f aca="true" t="shared" si="24" ref="E58:J58">E59+E61+E60</f>
        <v>25507.899999999998</v>
      </c>
      <c r="F58" s="31">
        <f t="shared" si="24"/>
        <v>11185.7</v>
      </c>
      <c r="G58" s="31">
        <f t="shared" si="24"/>
        <v>6487.4</v>
      </c>
      <c r="H58" s="31">
        <f t="shared" si="24"/>
        <v>7834.8</v>
      </c>
      <c r="I58" s="31">
        <f t="shared" si="24"/>
        <v>12933.2</v>
      </c>
      <c r="J58" s="31">
        <f t="shared" si="24"/>
        <v>23823</v>
      </c>
      <c r="K58" s="25">
        <f>J58*100/E58</f>
        <v>93.39459539985653</v>
      </c>
      <c r="L58" s="22">
        <f>J58*100/D58</f>
        <v>61.97273230994951</v>
      </c>
      <c r="M58" s="22">
        <f>J58*100/C58</f>
        <v>79.09966564511898</v>
      </c>
    </row>
    <row r="59" spans="1:13" ht="23.25" customHeight="1">
      <c r="A59" s="66" t="s">
        <v>52</v>
      </c>
      <c r="B59" s="32" t="s">
        <v>20</v>
      </c>
      <c r="C59" s="69">
        <v>30117.7</v>
      </c>
      <c r="D59" s="50">
        <f>F59+G59+H59+I59</f>
        <v>38441.1</v>
      </c>
      <c r="E59" s="37">
        <f t="shared" si="23"/>
        <v>25507.899999999998</v>
      </c>
      <c r="F59" s="49">
        <v>11185.7</v>
      </c>
      <c r="G59" s="49">
        <v>6487.4</v>
      </c>
      <c r="H59" s="16">
        <v>7834.8</v>
      </c>
      <c r="I59" s="16">
        <v>12933.2</v>
      </c>
      <c r="J59" s="17">
        <v>23823</v>
      </c>
      <c r="K59" s="19">
        <f>J59*100/E59</f>
        <v>93.39459539985653</v>
      </c>
      <c r="L59" s="17">
        <f>J59*100/D59</f>
        <v>61.97273230994951</v>
      </c>
      <c r="M59" s="17">
        <f>J59*100/C59</f>
        <v>79.09966564511898</v>
      </c>
    </row>
    <row r="60" spans="1:13" ht="51" customHeight="1" hidden="1">
      <c r="A60" s="14" t="s">
        <v>59</v>
      </c>
      <c r="B60" s="15" t="s">
        <v>50</v>
      </c>
      <c r="C60" s="33"/>
      <c r="D60" s="50">
        <f>F60+G60+H60+I60</f>
        <v>0</v>
      </c>
      <c r="E60" s="37">
        <f>F60+G60+H60</f>
        <v>0</v>
      </c>
      <c r="F60" s="49"/>
      <c r="G60" s="49"/>
      <c r="H60" s="16"/>
      <c r="I60" s="60"/>
      <c r="J60" s="17"/>
      <c r="K60" s="19" t="e">
        <f>J60*100/E60</f>
        <v>#DIV/0!</v>
      </c>
      <c r="L60" s="17" t="e">
        <f>J60*100/D60</f>
        <v>#DIV/0!</v>
      </c>
      <c r="M60" s="17"/>
    </row>
    <row r="61" spans="1:13" ht="29.25" customHeight="1" hidden="1">
      <c r="A61" s="14" t="s">
        <v>51</v>
      </c>
      <c r="B61" s="18" t="s">
        <v>49</v>
      </c>
      <c r="C61" s="18"/>
      <c r="D61" s="50">
        <f t="shared" si="22"/>
        <v>0</v>
      </c>
      <c r="E61" s="50">
        <f>F61</f>
        <v>0</v>
      </c>
      <c r="F61" s="61"/>
      <c r="G61" s="61"/>
      <c r="H61" s="16"/>
      <c r="I61" s="60"/>
      <c r="J61" s="17"/>
      <c r="K61" s="19"/>
      <c r="L61" s="17"/>
      <c r="M61" s="17" t="e">
        <f>J61*100/C61</f>
        <v>#DIV/0!</v>
      </c>
    </row>
    <row r="62" spans="1:13" ht="12.75">
      <c r="A62" s="13"/>
      <c r="B62" s="62" t="s">
        <v>4</v>
      </c>
      <c r="C62" s="63">
        <f aca="true" t="shared" si="25" ref="C62:J62">C58+C47</f>
        <v>53444.2</v>
      </c>
      <c r="D62" s="63">
        <f>D58+D47</f>
        <v>62709.8</v>
      </c>
      <c r="E62" s="63">
        <f t="shared" si="25"/>
        <v>41914.8</v>
      </c>
      <c r="F62" s="63">
        <f t="shared" si="25"/>
        <v>14860</v>
      </c>
      <c r="G62" s="63">
        <f t="shared" si="25"/>
        <v>12217.2</v>
      </c>
      <c r="H62" s="63">
        <f t="shared" si="25"/>
        <v>14837.6</v>
      </c>
      <c r="I62" s="63">
        <f t="shared" si="25"/>
        <v>20795</v>
      </c>
      <c r="J62" s="63">
        <f t="shared" si="25"/>
        <v>39061.2</v>
      </c>
      <c r="K62" s="25">
        <f>J62*100/E62</f>
        <v>93.19190357582522</v>
      </c>
      <c r="L62" s="22">
        <f>J62*100/D62</f>
        <v>62.28882885928514</v>
      </c>
      <c r="M62" s="22">
        <f>J62*100/C62</f>
        <v>73.08781869688384</v>
      </c>
    </row>
    <row r="63" spans="1:13" ht="12.75">
      <c r="A63" s="165"/>
      <c r="B63" s="166"/>
      <c r="C63" s="166"/>
      <c r="D63" s="166"/>
      <c r="E63" s="166"/>
      <c r="F63" s="166"/>
      <c r="G63" s="166"/>
      <c r="H63" s="166"/>
      <c r="I63" s="166"/>
      <c r="J63" s="166"/>
      <c r="K63" s="25"/>
      <c r="L63" s="22"/>
      <c r="M63" s="17"/>
    </row>
    <row r="64" spans="1:13" ht="12.75">
      <c r="A64" s="171" t="s">
        <v>25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</row>
    <row r="65" spans="1:13" ht="12.75">
      <c r="A65" s="53" t="s">
        <v>3</v>
      </c>
      <c r="B65" s="57" t="s">
        <v>53</v>
      </c>
      <c r="C65" s="68">
        <f>C66+C69+C71+C73+C70+C75+C74+C68+C72+C67</f>
        <v>48800.4</v>
      </c>
      <c r="D65" s="52">
        <f aca="true" t="shared" si="26" ref="D65:I65">D66+D69+D71+D73+D70+D75+D74+D68+D72+D67</f>
        <v>55407.100000000006</v>
      </c>
      <c r="E65" s="52">
        <f t="shared" si="26"/>
        <v>38804.8</v>
      </c>
      <c r="F65" s="52">
        <f t="shared" si="26"/>
        <v>10494.699999999999</v>
      </c>
      <c r="G65" s="52">
        <f t="shared" si="26"/>
        <v>10421.6</v>
      </c>
      <c r="H65" s="52">
        <f t="shared" si="26"/>
        <v>17888.499999999996</v>
      </c>
      <c r="I65" s="52">
        <f t="shared" si="26"/>
        <v>16602.3</v>
      </c>
      <c r="J65" s="52">
        <f>J66+J69+J71+J73+J70+J75+J74+J68+J72+J67</f>
        <v>35698.6</v>
      </c>
      <c r="K65" s="25">
        <f aca="true" t="shared" si="27" ref="K65:K74">J65*100/E65</f>
        <v>91.99532016657733</v>
      </c>
      <c r="L65" s="22">
        <f aca="true" t="shared" si="28" ref="L65:L72">J65*100/D65</f>
        <v>64.42964890781144</v>
      </c>
      <c r="M65" s="22">
        <f aca="true" t="shared" si="29" ref="M65:M71">J65*100/C65</f>
        <v>73.15226924369472</v>
      </c>
    </row>
    <row r="66" spans="1:17" ht="12.75">
      <c r="A66" s="12" t="s">
        <v>63</v>
      </c>
      <c r="B66" s="46" t="s">
        <v>64</v>
      </c>
      <c r="C66" s="69">
        <v>24800</v>
      </c>
      <c r="D66" s="50">
        <f>F66+G66+H66+I66</f>
        <v>24805.100000000002</v>
      </c>
      <c r="E66" s="37">
        <f aca="true" t="shared" si="30" ref="E66:E78">F66+G66+H66</f>
        <v>18771.9</v>
      </c>
      <c r="F66" s="64">
        <v>5831.1</v>
      </c>
      <c r="G66" s="64">
        <v>6030.1</v>
      </c>
      <c r="H66" s="19">
        <v>6910.7</v>
      </c>
      <c r="I66" s="19">
        <v>6033.2</v>
      </c>
      <c r="J66" s="19">
        <v>19083</v>
      </c>
      <c r="K66" s="19">
        <f t="shared" si="27"/>
        <v>101.65726431527975</v>
      </c>
      <c r="L66" s="17">
        <f t="shared" si="28"/>
        <v>76.93176000096754</v>
      </c>
      <c r="M66" s="17">
        <f t="shared" si="29"/>
        <v>76.9475806451613</v>
      </c>
      <c r="Q66" s="2"/>
    </row>
    <row r="67" spans="1:13" ht="23.25" customHeight="1">
      <c r="A67" s="12" t="s">
        <v>62</v>
      </c>
      <c r="B67" s="26" t="s">
        <v>61</v>
      </c>
      <c r="C67" s="69">
        <v>7795.2</v>
      </c>
      <c r="D67" s="50">
        <f>F67+G67+H67+I67</f>
        <v>7795.200000000001</v>
      </c>
      <c r="E67" s="37">
        <f t="shared" si="30"/>
        <v>5877.3</v>
      </c>
      <c r="F67" s="64">
        <v>1974</v>
      </c>
      <c r="G67" s="64">
        <v>1977.1</v>
      </c>
      <c r="H67" s="19">
        <v>1926.2</v>
      </c>
      <c r="I67" s="19">
        <v>1917.9</v>
      </c>
      <c r="J67" s="19">
        <v>6184.4</v>
      </c>
      <c r="K67" s="19">
        <f t="shared" si="27"/>
        <v>105.22518843686727</v>
      </c>
      <c r="L67" s="17">
        <f t="shared" si="28"/>
        <v>79.33600164203612</v>
      </c>
      <c r="M67" s="17">
        <f t="shared" si="29"/>
        <v>79.33600164203612</v>
      </c>
    </row>
    <row r="68" spans="1:13" ht="12.75">
      <c r="A68" s="12" t="s">
        <v>8</v>
      </c>
      <c r="B68" s="26" t="s">
        <v>5</v>
      </c>
      <c r="C68" s="69">
        <v>25</v>
      </c>
      <c r="D68" s="50">
        <f aca="true" t="shared" si="31" ref="D68:D79">F68+G68+H68+I68</f>
        <v>67</v>
      </c>
      <c r="E68" s="37">
        <f t="shared" si="30"/>
        <v>60.8</v>
      </c>
      <c r="F68" s="49">
        <v>6.3</v>
      </c>
      <c r="G68" s="49">
        <v>6.2</v>
      </c>
      <c r="H68" s="16">
        <v>48.3</v>
      </c>
      <c r="I68" s="16">
        <v>6.2</v>
      </c>
      <c r="J68" s="16">
        <v>67.2</v>
      </c>
      <c r="K68" s="19">
        <f t="shared" si="27"/>
        <v>110.52631578947368</v>
      </c>
      <c r="L68" s="17">
        <f t="shared" si="28"/>
        <v>100.29850746268657</v>
      </c>
      <c r="M68" s="17">
        <f t="shared" si="29"/>
        <v>268.8</v>
      </c>
    </row>
    <row r="69" spans="1:13" ht="12.75">
      <c r="A69" s="12" t="s">
        <v>9</v>
      </c>
      <c r="B69" s="26" t="s">
        <v>6</v>
      </c>
      <c r="C69" s="69">
        <v>8080</v>
      </c>
      <c r="D69" s="50">
        <f t="shared" si="31"/>
        <v>14062.1</v>
      </c>
      <c r="E69" s="37">
        <f t="shared" si="30"/>
        <v>7420.5</v>
      </c>
      <c r="F69" s="49">
        <v>679.4</v>
      </c>
      <c r="G69" s="49">
        <v>379.5</v>
      </c>
      <c r="H69" s="16">
        <v>6361.6</v>
      </c>
      <c r="I69" s="16">
        <v>6641.6</v>
      </c>
      <c r="J69" s="16">
        <v>3386.6</v>
      </c>
      <c r="K69" s="19">
        <f t="shared" si="27"/>
        <v>45.63843406778519</v>
      </c>
      <c r="L69" s="17">
        <f t="shared" si="28"/>
        <v>24.08317392139154</v>
      </c>
      <c r="M69" s="17">
        <f t="shared" si="29"/>
        <v>41.913366336633665</v>
      </c>
    </row>
    <row r="70" spans="1:13" ht="18" customHeight="1">
      <c r="A70" s="12" t="s">
        <v>10</v>
      </c>
      <c r="B70" s="26" t="s">
        <v>21</v>
      </c>
      <c r="C70" s="69">
        <v>60.8</v>
      </c>
      <c r="D70" s="50">
        <f t="shared" si="31"/>
        <v>0</v>
      </c>
      <c r="E70" s="37">
        <f t="shared" si="30"/>
        <v>0</v>
      </c>
      <c r="F70" s="49"/>
      <c r="G70" s="49"/>
      <c r="H70" s="16"/>
      <c r="I70" s="16"/>
      <c r="J70" s="16"/>
      <c r="K70" s="19"/>
      <c r="L70" s="17"/>
      <c r="M70" s="17">
        <f t="shared" si="29"/>
        <v>0</v>
      </c>
    </row>
    <row r="71" spans="1:13" ht="23.25" customHeight="1">
      <c r="A71" s="13" t="s">
        <v>11</v>
      </c>
      <c r="B71" s="26" t="s">
        <v>17</v>
      </c>
      <c r="C71" s="69">
        <v>8014.1</v>
      </c>
      <c r="D71" s="50">
        <f t="shared" si="31"/>
        <v>8014.1</v>
      </c>
      <c r="E71" s="37">
        <f t="shared" si="30"/>
        <v>6010.700000000001</v>
      </c>
      <c r="F71" s="49">
        <v>2003.9</v>
      </c>
      <c r="G71" s="49">
        <v>2003.4</v>
      </c>
      <c r="H71" s="16">
        <v>2003.4</v>
      </c>
      <c r="I71" s="16">
        <v>2003.4</v>
      </c>
      <c r="J71" s="16">
        <v>6117.5</v>
      </c>
      <c r="K71" s="19">
        <f t="shared" si="27"/>
        <v>101.77683131748381</v>
      </c>
      <c r="L71" s="17">
        <f t="shared" si="28"/>
        <v>76.334210953195</v>
      </c>
      <c r="M71" s="17">
        <f t="shared" si="29"/>
        <v>76.334210953195</v>
      </c>
    </row>
    <row r="72" spans="1:13" ht="24" customHeight="1">
      <c r="A72" s="28" t="s">
        <v>40</v>
      </c>
      <c r="B72" s="26" t="s">
        <v>41</v>
      </c>
      <c r="C72" s="69">
        <v>0</v>
      </c>
      <c r="D72" s="50">
        <f t="shared" si="31"/>
        <v>520.3</v>
      </c>
      <c r="E72" s="37">
        <f t="shared" si="30"/>
        <v>520.3</v>
      </c>
      <c r="F72" s="49"/>
      <c r="G72" s="49"/>
      <c r="H72" s="16">
        <v>520.3</v>
      </c>
      <c r="I72" s="16"/>
      <c r="J72" s="16">
        <v>520.3</v>
      </c>
      <c r="K72" s="19">
        <f t="shared" si="27"/>
        <v>100</v>
      </c>
      <c r="L72" s="17">
        <f t="shared" si="28"/>
        <v>100</v>
      </c>
      <c r="M72" s="17"/>
    </row>
    <row r="73" spans="1:13" ht="24">
      <c r="A73" s="27" t="s">
        <v>18</v>
      </c>
      <c r="B73" s="26" t="s">
        <v>15</v>
      </c>
      <c r="C73" s="69">
        <v>25.3</v>
      </c>
      <c r="D73" s="50">
        <f t="shared" si="31"/>
        <v>90.3</v>
      </c>
      <c r="E73" s="37">
        <f t="shared" si="30"/>
        <v>90.3</v>
      </c>
      <c r="F73" s="49"/>
      <c r="G73" s="49">
        <v>25.3</v>
      </c>
      <c r="H73" s="16">
        <v>65</v>
      </c>
      <c r="I73" s="16"/>
      <c r="J73" s="16">
        <v>146</v>
      </c>
      <c r="K73" s="19">
        <f t="shared" si="27"/>
        <v>161.68327796234774</v>
      </c>
      <c r="L73" s="17">
        <f>J73*100/D73</f>
        <v>161.68327796234774</v>
      </c>
      <c r="M73" s="17">
        <f>J73*100/C73</f>
        <v>577.0750988142292</v>
      </c>
    </row>
    <row r="74" spans="1:13" ht="18" customHeight="1">
      <c r="A74" s="20" t="s">
        <v>12</v>
      </c>
      <c r="B74" s="26" t="s">
        <v>7</v>
      </c>
      <c r="C74" s="69"/>
      <c r="D74" s="50">
        <f t="shared" si="31"/>
        <v>53</v>
      </c>
      <c r="E74" s="37">
        <f t="shared" si="30"/>
        <v>53</v>
      </c>
      <c r="F74" s="49"/>
      <c r="G74" s="49"/>
      <c r="H74" s="16">
        <v>53</v>
      </c>
      <c r="I74" s="16"/>
      <c r="J74" s="16">
        <v>131.9</v>
      </c>
      <c r="K74" s="19">
        <f t="shared" si="27"/>
        <v>248.8679245283019</v>
      </c>
      <c r="L74" s="17">
        <f>J74*100/D74</f>
        <v>248.8679245283019</v>
      </c>
      <c r="M74" s="17"/>
    </row>
    <row r="75" spans="1:13" ht="16.5" customHeight="1">
      <c r="A75" s="29" t="s">
        <v>37</v>
      </c>
      <c r="B75" s="15" t="s">
        <v>38</v>
      </c>
      <c r="C75" s="69"/>
      <c r="D75" s="50">
        <f t="shared" si="31"/>
        <v>0</v>
      </c>
      <c r="E75" s="37">
        <f t="shared" si="30"/>
        <v>0</v>
      </c>
      <c r="F75" s="49"/>
      <c r="G75" s="49"/>
      <c r="H75" s="16"/>
      <c r="I75" s="16"/>
      <c r="J75" s="16">
        <v>61.7</v>
      </c>
      <c r="K75" s="19"/>
      <c r="L75" s="17"/>
      <c r="M75" s="17"/>
    </row>
    <row r="76" spans="1:13" ht="12.75">
      <c r="A76" s="23" t="s">
        <v>1</v>
      </c>
      <c r="B76" s="30" t="s">
        <v>0</v>
      </c>
      <c r="C76" s="70">
        <f>C77+C79+C78</f>
        <v>31999.2</v>
      </c>
      <c r="D76" s="70">
        <f aca="true" t="shared" si="32" ref="D76:J76">D77+D79+D78</f>
        <v>37502.8</v>
      </c>
      <c r="E76" s="70">
        <f t="shared" si="32"/>
        <v>28808.5</v>
      </c>
      <c r="F76" s="70">
        <f t="shared" si="32"/>
        <v>7601.2</v>
      </c>
      <c r="G76" s="70">
        <f t="shared" si="32"/>
        <v>8093.5</v>
      </c>
      <c r="H76" s="70">
        <f t="shared" si="32"/>
        <v>13113.8</v>
      </c>
      <c r="I76" s="70">
        <f t="shared" si="32"/>
        <v>8694.3</v>
      </c>
      <c r="J76" s="70">
        <f t="shared" si="32"/>
        <v>25497</v>
      </c>
      <c r="K76" s="25">
        <f>J76*100/E76</f>
        <v>88.5051286946561</v>
      </c>
      <c r="L76" s="22">
        <f>J76*100/D76</f>
        <v>67.98692364303464</v>
      </c>
      <c r="M76" s="22">
        <f>J76*100/C76</f>
        <v>79.68011700292507</v>
      </c>
    </row>
    <row r="77" spans="1:13" ht="24">
      <c r="A77" s="66" t="s">
        <v>52</v>
      </c>
      <c r="B77" s="32" t="s">
        <v>20</v>
      </c>
      <c r="C77" s="69">
        <v>31999.2</v>
      </c>
      <c r="D77" s="50">
        <f t="shared" si="31"/>
        <v>37352.8</v>
      </c>
      <c r="E77" s="37">
        <f t="shared" si="30"/>
        <v>28658.5</v>
      </c>
      <c r="F77" s="49">
        <v>7601.2</v>
      </c>
      <c r="G77" s="49">
        <v>8093.5</v>
      </c>
      <c r="H77" s="16">
        <v>12963.8</v>
      </c>
      <c r="I77" s="17">
        <v>8694.3</v>
      </c>
      <c r="J77" s="17">
        <v>25347</v>
      </c>
      <c r="K77" s="19">
        <f>J77*100/E77</f>
        <v>88.44496397229443</v>
      </c>
      <c r="L77" s="17">
        <f>J77*100/D77</f>
        <v>67.85836670878756</v>
      </c>
      <c r="M77" s="17">
        <f>J77*100/C77</f>
        <v>79.2113552838821</v>
      </c>
    </row>
    <row r="78" spans="1:13" ht="30.75" customHeight="1">
      <c r="A78" s="66" t="s">
        <v>69</v>
      </c>
      <c r="B78" s="32" t="s">
        <v>70</v>
      </c>
      <c r="C78" s="69"/>
      <c r="D78" s="50">
        <f t="shared" si="31"/>
        <v>150</v>
      </c>
      <c r="E78" s="37">
        <f t="shared" si="30"/>
        <v>150</v>
      </c>
      <c r="F78" s="49"/>
      <c r="G78" s="49"/>
      <c r="H78" s="16">
        <v>150</v>
      </c>
      <c r="I78" s="17"/>
      <c r="J78" s="17">
        <v>150</v>
      </c>
      <c r="K78" s="19">
        <f>J78*100/E78</f>
        <v>100</v>
      </c>
      <c r="L78" s="17">
        <f>J78*100/D78</f>
        <v>100</v>
      </c>
      <c r="M78" s="17"/>
    </row>
    <row r="79" spans="1:13" ht="21.75" customHeight="1" hidden="1">
      <c r="A79" s="66" t="s">
        <v>60</v>
      </c>
      <c r="B79" s="33" t="s">
        <v>19</v>
      </c>
      <c r="C79" s="69"/>
      <c r="D79" s="50">
        <f t="shared" si="31"/>
        <v>0</v>
      </c>
      <c r="E79" s="37">
        <f>F79</f>
        <v>0</v>
      </c>
      <c r="F79" s="61"/>
      <c r="G79" s="61"/>
      <c r="H79" s="16"/>
      <c r="I79" s="17"/>
      <c r="J79" s="17"/>
      <c r="K79" s="19" t="e">
        <f>J79*100/E79</f>
        <v>#DIV/0!</v>
      </c>
      <c r="L79" s="17" t="e">
        <f>J79*100/D79</f>
        <v>#DIV/0!</v>
      </c>
      <c r="M79" s="17"/>
    </row>
    <row r="80" spans="1:13" ht="12.75">
      <c r="A80" s="20"/>
      <c r="B80" s="21" t="s">
        <v>4</v>
      </c>
      <c r="C80" s="22">
        <f aca="true" t="shared" si="33" ref="C80:J80">C76+C65</f>
        <v>80799.6</v>
      </c>
      <c r="D80" s="22">
        <f t="shared" si="33"/>
        <v>92909.90000000001</v>
      </c>
      <c r="E80" s="22">
        <f t="shared" si="33"/>
        <v>67613.3</v>
      </c>
      <c r="F80" s="22">
        <f t="shared" si="33"/>
        <v>18095.899999999998</v>
      </c>
      <c r="G80" s="22">
        <f t="shared" si="33"/>
        <v>18515.1</v>
      </c>
      <c r="H80" s="22">
        <f t="shared" si="33"/>
        <v>31002.299999999996</v>
      </c>
      <c r="I80" s="22">
        <f t="shared" si="33"/>
        <v>25296.6</v>
      </c>
      <c r="J80" s="22">
        <f t="shared" si="33"/>
        <v>61195.6</v>
      </c>
      <c r="K80" s="25">
        <f>J80*100/E80</f>
        <v>90.5082284106825</v>
      </c>
      <c r="L80" s="22">
        <f>J80*100/D80</f>
        <v>65.8655320907675</v>
      </c>
      <c r="M80" s="22">
        <f>J80*100/C80</f>
        <v>75.73750365100817</v>
      </c>
    </row>
    <row r="81" spans="1:13" ht="12.75">
      <c r="A81" s="165"/>
      <c r="B81" s="166"/>
      <c r="C81" s="166"/>
      <c r="D81" s="166"/>
      <c r="E81" s="166"/>
      <c r="F81" s="166"/>
      <c r="G81" s="166"/>
      <c r="H81" s="166"/>
      <c r="I81" s="166"/>
      <c r="J81" s="166"/>
      <c r="K81" s="25"/>
      <c r="L81" s="22"/>
      <c r="M81" s="17"/>
    </row>
    <row r="82" spans="1:13" ht="12.75">
      <c r="A82" s="171" t="s">
        <v>26</v>
      </c>
      <c r="B82" s="172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</row>
    <row r="83" spans="1:13" ht="12.75">
      <c r="A83" s="23" t="s">
        <v>3</v>
      </c>
      <c r="B83" s="24" t="s">
        <v>53</v>
      </c>
      <c r="C83" s="68">
        <f>C84+C86+C87+C88+C89+C90+C91+C92+C93+C85</f>
        <v>31975</v>
      </c>
      <c r="D83" s="25">
        <f aca="true" t="shared" si="34" ref="D83:I83">D84+D86+D87+D88+D89+D90+D91+D92+D93+D85</f>
        <v>33867.5</v>
      </c>
      <c r="E83" s="25">
        <f t="shared" si="34"/>
        <v>24099.7</v>
      </c>
      <c r="F83" s="25">
        <f t="shared" si="34"/>
        <v>7729</v>
      </c>
      <c r="G83" s="25">
        <f t="shared" si="34"/>
        <v>6449.9</v>
      </c>
      <c r="H83" s="25">
        <f t="shared" si="34"/>
        <v>9920.8</v>
      </c>
      <c r="I83" s="25">
        <f t="shared" si="34"/>
        <v>9767.8</v>
      </c>
      <c r="J83" s="25">
        <f>J84+J86+J87+J88+J89+J90+J91+J92+J93+J85</f>
        <v>30079.999999999996</v>
      </c>
      <c r="K83" s="25">
        <f aca="true" t="shared" si="35" ref="K83:K89">J83*100/E83</f>
        <v>124.8148317198969</v>
      </c>
      <c r="L83" s="22">
        <f aca="true" t="shared" si="36" ref="L83:L89">J83*100/D83</f>
        <v>88.81671218720011</v>
      </c>
      <c r="M83" s="22">
        <f aca="true" t="shared" si="37" ref="M83:M89">J83*100/C83</f>
        <v>94.0734949179046</v>
      </c>
    </row>
    <row r="84" spans="1:17" ht="13.5" customHeight="1">
      <c r="A84" s="12" t="s">
        <v>63</v>
      </c>
      <c r="B84" s="46" t="s">
        <v>64</v>
      </c>
      <c r="C84" s="69">
        <v>17900</v>
      </c>
      <c r="D84" s="50">
        <f>F84+G84+H84+I84</f>
        <v>17900</v>
      </c>
      <c r="E84" s="37">
        <f aca="true" t="shared" si="38" ref="E84:E93">F84+G84+H84</f>
        <v>13425</v>
      </c>
      <c r="F84" s="49">
        <v>5370</v>
      </c>
      <c r="G84" s="49">
        <v>3580</v>
      </c>
      <c r="H84" s="16">
        <v>4475</v>
      </c>
      <c r="I84" s="16">
        <v>4475</v>
      </c>
      <c r="J84" s="17">
        <v>16918</v>
      </c>
      <c r="K84" s="19">
        <f t="shared" si="35"/>
        <v>126.01862197392924</v>
      </c>
      <c r="L84" s="17">
        <f t="shared" si="36"/>
        <v>94.51396648044692</v>
      </c>
      <c r="M84" s="17">
        <f t="shared" si="37"/>
        <v>94.51396648044692</v>
      </c>
      <c r="Q84" s="2"/>
    </row>
    <row r="85" spans="1:13" ht="24.75" customHeight="1">
      <c r="A85" s="12" t="s">
        <v>62</v>
      </c>
      <c r="B85" s="26" t="s">
        <v>61</v>
      </c>
      <c r="C85" s="69">
        <v>4949.5</v>
      </c>
      <c r="D85" s="50">
        <f>F85+G85+H85+I85</f>
        <v>5162</v>
      </c>
      <c r="E85" s="37">
        <f t="shared" si="38"/>
        <v>3924.7000000000003</v>
      </c>
      <c r="F85" s="49">
        <v>1237.4</v>
      </c>
      <c r="G85" s="49">
        <v>1149.9</v>
      </c>
      <c r="H85" s="16">
        <v>1537.4</v>
      </c>
      <c r="I85" s="16">
        <v>1237.3</v>
      </c>
      <c r="J85" s="17">
        <v>3926.8</v>
      </c>
      <c r="K85" s="19">
        <f t="shared" si="35"/>
        <v>100.05350727444136</v>
      </c>
      <c r="L85" s="17">
        <f t="shared" si="36"/>
        <v>76.07129019759783</v>
      </c>
      <c r="M85" s="17">
        <f t="shared" si="37"/>
        <v>79.33730679866653</v>
      </c>
    </row>
    <row r="86" spans="1:13" ht="15" customHeight="1" hidden="1">
      <c r="A86" s="12" t="s">
        <v>8</v>
      </c>
      <c r="B86" s="26" t="s">
        <v>5</v>
      </c>
      <c r="C86" s="69"/>
      <c r="D86" s="50">
        <f aca="true" t="shared" si="39" ref="D86:D93">F86+G86+H86+I86</f>
        <v>0</v>
      </c>
      <c r="E86" s="37">
        <f t="shared" si="38"/>
        <v>0</v>
      </c>
      <c r="F86" s="49"/>
      <c r="G86" s="49"/>
      <c r="H86" s="16"/>
      <c r="I86" s="16"/>
      <c r="J86" s="17"/>
      <c r="K86" s="19" t="e">
        <f t="shared" si="35"/>
        <v>#DIV/0!</v>
      </c>
      <c r="L86" s="17" t="e">
        <f t="shared" si="36"/>
        <v>#DIV/0!</v>
      </c>
      <c r="M86" s="17" t="e">
        <f t="shared" si="37"/>
        <v>#DIV/0!</v>
      </c>
    </row>
    <row r="87" spans="1:13" ht="12.75">
      <c r="A87" s="12" t="s">
        <v>9</v>
      </c>
      <c r="B87" s="26" t="s">
        <v>6</v>
      </c>
      <c r="C87" s="69">
        <v>3023</v>
      </c>
      <c r="D87" s="50">
        <f t="shared" si="39"/>
        <v>3023</v>
      </c>
      <c r="E87" s="37">
        <f t="shared" si="38"/>
        <v>1380.6999999999998</v>
      </c>
      <c r="F87" s="49">
        <v>481.6</v>
      </c>
      <c r="G87" s="49">
        <v>387.7</v>
      </c>
      <c r="H87" s="16">
        <v>511.4</v>
      </c>
      <c r="I87" s="16">
        <v>1642.3</v>
      </c>
      <c r="J87" s="17">
        <v>1709.3</v>
      </c>
      <c r="K87" s="19">
        <f t="shared" si="35"/>
        <v>123.79952198160355</v>
      </c>
      <c r="L87" s="17">
        <f t="shared" si="36"/>
        <v>56.54316903738009</v>
      </c>
      <c r="M87" s="17">
        <f t="shared" si="37"/>
        <v>56.54316903738009</v>
      </c>
    </row>
    <row r="88" spans="1:13" ht="12.75" hidden="1">
      <c r="A88" s="12" t="s">
        <v>10</v>
      </c>
      <c r="B88" s="26" t="s">
        <v>21</v>
      </c>
      <c r="C88" s="69"/>
      <c r="D88" s="50">
        <f t="shared" si="39"/>
        <v>0</v>
      </c>
      <c r="E88" s="37">
        <f t="shared" si="38"/>
        <v>0</v>
      </c>
      <c r="F88" s="49"/>
      <c r="G88" s="49"/>
      <c r="H88" s="16"/>
      <c r="I88" s="16"/>
      <c r="J88" s="17"/>
      <c r="K88" s="19" t="e">
        <f t="shared" si="35"/>
        <v>#DIV/0!</v>
      </c>
      <c r="L88" s="17" t="e">
        <f t="shared" si="36"/>
        <v>#DIV/0!</v>
      </c>
      <c r="M88" s="17" t="e">
        <f t="shared" si="37"/>
        <v>#DIV/0!</v>
      </c>
    </row>
    <row r="89" spans="1:13" ht="26.25" customHeight="1">
      <c r="A89" s="13" t="s">
        <v>11</v>
      </c>
      <c r="B89" s="26" t="s">
        <v>17</v>
      </c>
      <c r="C89" s="69">
        <v>6037.7</v>
      </c>
      <c r="D89" s="50">
        <f t="shared" si="39"/>
        <v>6037.700000000001</v>
      </c>
      <c r="E89" s="37">
        <f t="shared" si="38"/>
        <v>3640.7000000000003</v>
      </c>
      <c r="F89" s="49">
        <v>623.8</v>
      </c>
      <c r="G89" s="49">
        <v>920.6</v>
      </c>
      <c r="H89" s="16">
        <v>2096.3</v>
      </c>
      <c r="I89" s="16">
        <v>2397</v>
      </c>
      <c r="J89" s="17">
        <v>5483.3</v>
      </c>
      <c r="K89" s="19">
        <f t="shared" si="35"/>
        <v>150.61114620814678</v>
      </c>
      <c r="L89" s="17">
        <f t="shared" si="36"/>
        <v>90.8176954800669</v>
      </c>
      <c r="M89" s="17">
        <f t="shared" si="37"/>
        <v>90.81769548006692</v>
      </c>
    </row>
    <row r="90" spans="1:13" ht="23.25" customHeight="1">
      <c r="A90" s="28" t="s">
        <v>40</v>
      </c>
      <c r="B90" s="26" t="s">
        <v>41</v>
      </c>
      <c r="C90" s="69">
        <v>0</v>
      </c>
      <c r="D90" s="50">
        <f t="shared" si="39"/>
        <v>15.6</v>
      </c>
      <c r="E90" s="37">
        <f t="shared" si="38"/>
        <v>15.6</v>
      </c>
      <c r="F90" s="49"/>
      <c r="G90" s="49">
        <v>15.6</v>
      </c>
      <c r="H90" s="16"/>
      <c r="I90" s="16"/>
      <c r="J90" s="17">
        <v>46.1</v>
      </c>
      <c r="K90" s="19">
        <f aca="true" t="shared" si="40" ref="K90:K97">J90*100/E90</f>
        <v>295.5128205128205</v>
      </c>
      <c r="L90" s="17">
        <f aca="true" t="shared" si="41" ref="L90:L97">J90*100/D90</f>
        <v>295.5128205128205</v>
      </c>
      <c r="M90" s="17"/>
    </row>
    <row r="91" spans="1:13" ht="24">
      <c r="A91" s="27" t="s">
        <v>18</v>
      </c>
      <c r="B91" s="26" t="s">
        <v>15</v>
      </c>
      <c r="C91" s="69">
        <v>64.8</v>
      </c>
      <c r="D91" s="50">
        <f t="shared" si="39"/>
        <v>1349.3000000000002</v>
      </c>
      <c r="E91" s="37">
        <f t="shared" si="38"/>
        <v>1333.1000000000001</v>
      </c>
      <c r="F91" s="49">
        <v>16.2</v>
      </c>
      <c r="G91" s="49">
        <v>16.2</v>
      </c>
      <c r="H91" s="16">
        <v>1300.7</v>
      </c>
      <c r="I91" s="16">
        <v>16.2</v>
      </c>
      <c r="J91" s="17">
        <v>1619.6</v>
      </c>
      <c r="K91" s="19">
        <f t="shared" si="40"/>
        <v>121.49126097066986</v>
      </c>
      <c r="L91" s="17">
        <f t="shared" si="41"/>
        <v>120.03260950122284</v>
      </c>
      <c r="M91" s="17">
        <f>J91*100/C91</f>
        <v>2499.382716049383</v>
      </c>
    </row>
    <row r="92" spans="1:13" ht="15.75" customHeight="1">
      <c r="A92" s="20" t="s">
        <v>12</v>
      </c>
      <c r="B92" s="26" t="s">
        <v>7</v>
      </c>
      <c r="C92" s="69"/>
      <c r="D92" s="50">
        <f t="shared" si="39"/>
        <v>15</v>
      </c>
      <c r="E92" s="37">
        <f t="shared" si="38"/>
        <v>15</v>
      </c>
      <c r="F92" s="49"/>
      <c r="G92" s="49">
        <v>15</v>
      </c>
      <c r="H92" s="16"/>
      <c r="I92" s="16"/>
      <c r="J92" s="17">
        <v>20</v>
      </c>
      <c r="K92" s="19">
        <f t="shared" si="40"/>
        <v>133.33333333333334</v>
      </c>
      <c r="L92" s="17">
        <f t="shared" si="41"/>
        <v>133.33333333333334</v>
      </c>
      <c r="M92" s="17"/>
    </row>
    <row r="93" spans="1:13" ht="12.75">
      <c r="A93" s="29" t="s">
        <v>37</v>
      </c>
      <c r="B93" s="15" t="s">
        <v>38</v>
      </c>
      <c r="C93" s="69"/>
      <c r="D93" s="50">
        <f t="shared" si="39"/>
        <v>364.9</v>
      </c>
      <c r="E93" s="37">
        <f t="shared" si="38"/>
        <v>364.9</v>
      </c>
      <c r="F93" s="49"/>
      <c r="G93" s="49">
        <v>364.9</v>
      </c>
      <c r="H93" s="16"/>
      <c r="I93" s="16"/>
      <c r="J93" s="17">
        <v>356.9</v>
      </c>
      <c r="K93" s="19">
        <f t="shared" si="40"/>
        <v>97.80761852562347</v>
      </c>
      <c r="L93" s="17">
        <f t="shared" si="41"/>
        <v>97.80761852562347</v>
      </c>
      <c r="M93" s="17"/>
    </row>
    <row r="94" spans="1:13" ht="12.75" hidden="1">
      <c r="A94" s="29" t="s">
        <v>42</v>
      </c>
      <c r="B94" s="15" t="s">
        <v>43</v>
      </c>
      <c r="C94" s="71"/>
      <c r="D94" s="15"/>
      <c r="E94" s="37">
        <f>F94+G94</f>
        <v>0</v>
      </c>
      <c r="F94" s="49"/>
      <c r="G94" s="49"/>
      <c r="H94" s="16" t="e">
        <f>I94+#REF!+#REF!+#REF!</f>
        <v>#REF!</v>
      </c>
      <c r="I94" s="16"/>
      <c r="J94" s="17"/>
      <c r="K94" s="25" t="e">
        <f t="shared" si="40"/>
        <v>#DIV/0!</v>
      </c>
      <c r="L94" s="22" t="e">
        <f t="shared" si="41"/>
        <v>#DIV/0!</v>
      </c>
      <c r="M94" s="17" t="e">
        <f>J94*100/C94</f>
        <v>#DIV/0!</v>
      </c>
    </row>
    <row r="95" spans="1:13" ht="12.75">
      <c r="A95" s="23" t="s">
        <v>1</v>
      </c>
      <c r="B95" s="30" t="s">
        <v>0</v>
      </c>
      <c r="C95" s="70">
        <f>C96+C98+C97</f>
        <v>66514.3</v>
      </c>
      <c r="D95" s="70">
        <f aca="true" t="shared" si="42" ref="D95:J95">D96+D98+D97</f>
        <v>97717.4</v>
      </c>
      <c r="E95" s="70">
        <f t="shared" si="42"/>
        <v>79129.5</v>
      </c>
      <c r="F95" s="70">
        <f t="shared" si="42"/>
        <v>15079.1</v>
      </c>
      <c r="G95" s="70">
        <f t="shared" si="42"/>
        <v>31271.4</v>
      </c>
      <c r="H95" s="70">
        <f t="shared" si="42"/>
        <v>32779</v>
      </c>
      <c r="I95" s="70">
        <f t="shared" si="42"/>
        <v>18587.9</v>
      </c>
      <c r="J95" s="70">
        <f t="shared" si="42"/>
        <v>66919.5</v>
      </c>
      <c r="K95" s="25">
        <f t="shared" si="40"/>
        <v>84.56959793755806</v>
      </c>
      <c r="L95" s="22">
        <f t="shared" si="41"/>
        <v>68.48268578574543</v>
      </c>
      <c r="M95" s="22">
        <f>J95*100/C95</f>
        <v>100.60919230902226</v>
      </c>
    </row>
    <row r="96" spans="1:13" ht="24">
      <c r="A96" s="66" t="s">
        <v>52</v>
      </c>
      <c r="B96" s="32" t="s">
        <v>20</v>
      </c>
      <c r="C96" s="69">
        <v>66514.3</v>
      </c>
      <c r="D96" s="50">
        <f>F96+G96+H96+I96</f>
        <v>97217.4</v>
      </c>
      <c r="E96" s="37">
        <f>F96+G96+H96</f>
        <v>78629.5</v>
      </c>
      <c r="F96" s="49">
        <v>15079.1</v>
      </c>
      <c r="G96" s="49">
        <v>30771.4</v>
      </c>
      <c r="H96" s="16">
        <v>32779</v>
      </c>
      <c r="I96" s="16">
        <v>18587.9</v>
      </c>
      <c r="J96" s="17">
        <v>66419.5</v>
      </c>
      <c r="K96" s="19">
        <f t="shared" si="40"/>
        <v>84.47147699018817</v>
      </c>
      <c r="L96" s="17">
        <f t="shared" si="41"/>
        <v>68.32058870119958</v>
      </c>
      <c r="M96" s="17">
        <f>J96*100/C96</f>
        <v>99.85747425741532</v>
      </c>
    </row>
    <row r="97" spans="1:13" ht="21.75" customHeight="1">
      <c r="A97" s="66" t="s">
        <v>69</v>
      </c>
      <c r="B97" s="32" t="s">
        <v>70</v>
      </c>
      <c r="C97" s="69"/>
      <c r="D97" s="50">
        <f>F97+G97+H97+I97</f>
        <v>500</v>
      </c>
      <c r="E97" s="37">
        <f>F97+G97+H97</f>
        <v>500</v>
      </c>
      <c r="F97" s="49"/>
      <c r="G97" s="49">
        <v>500</v>
      </c>
      <c r="H97" s="16"/>
      <c r="I97" s="16"/>
      <c r="J97" s="17">
        <v>500</v>
      </c>
      <c r="K97" s="19">
        <f t="shared" si="40"/>
        <v>100</v>
      </c>
      <c r="L97" s="17">
        <f t="shared" si="41"/>
        <v>100</v>
      </c>
      <c r="M97" s="17"/>
    </row>
    <row r="98" spans="1:13" ht="18.75" customHeight="1" hidden="1">
      <c r="A98" s="14" t="s">
        <v>60</v>
      </c>
      <c r="B98" s="33" t="s">
        <v>19</v>
      </c>
      <c r="C98" s="55"/>
      <c r="D98" s="50">
        <f>F98+G98+H98+I98</f>
        <v>0</v>
      </c>
      <c r="E98" s="37">
        <f>F98</f>
        <v>0</v>
      </c>
      <c r="F98" s="56"/>
      <c r="G98" s="56"/>
      <c r="H98" s="16"/>
      <c r="I98" s="16"/>
      <c r="J98" s="17"/>
      <c r="K98" s="19"/>
      <c r="L98" s="17"/>
      <c r="M98" s="17"/>
    </row>
    <row r="99" spans="1:13" ht="12.75">
      <c r="A99" s="20"/>
      <c r="B99" s="21" t="s">
        <v>4</v>
      </c>
      <c r="C99" s="22">
        <f aca="true" t="shared" si="43" ref="C99:I99">C95+C83</f>
        <v>98489.3</v>
      </c>
      <c r="D99" s="22">
        <f t="shared" si="43"/>
        <v>131584.9</v>
      </c>
      <c r="E99" s="22">
        <f t="shared" si="43"/>
        <v>103229.2</v>
      </c>
      <c r="F99" s="22">
        <f t="shared" si="43"/>
        <v>22808.1</v>
      </c>
      <c r="G99" s="22">
        <f t="shared" si="43"/>
        <v>37721.3</v>
      </c>
      <c r="H99" s="22">
        <f t="shared" si="43"/>
        <v>42699.8</v>
      </c>
      <c r="I99" s="22">
        <f t="shared" si="43"/>
        <v>28355.7</v>
      </c>
      <c r="J99" s="22">
        <f>J95+J83</f>
        <v>96999.5</v>
      </c>
      <c r="K99" s="25">
        <f>J99*100/E99</f>
        <v>93.96517651982191</v>
      </c>
      <c r="L99" s="22">
        <f>J99*100/D99</f>
        <v>73.7162850752632</v>
      </c>
      <c r="M99" s="22">
        <f>J99*100/C99</f>
        <v>98.48734837185359</v>
      </c>
    </row>
    <row r="100" spans="1:13" ht="12.75">
      <c r="A100" s="165"/>
      <c r="B100" s="166"/>
      <c r="C100" s="166"/>
      <c r="D100" s="166"/>
      <c r="E100" s="166"/>
      <c r="F100" s="166"/>
      <c r="G100" s="166"/>
      <c r="H100" s="166"/>
      <c r="I100" s="166"/>
      <c r="J100" s="166"/>
      <c r="K100" s="25"/>
      <c r="L100" s="22"/>
      <c r="M100" s="17"/>
    </row>
    <row r="101" spans="1:13" ht="12.75">
      <c r="A101" s="171" t="s">
        <v>27</v>
      </c>
      <c r="B101" s="172"/>
      <c r="C101" s="172"/>
      <c r="D101" s="172"/>
      <c r="E101" s="172"/>
      <c r="F101" s="172"/>
      <c r="G101" s="172"/>
      <c r="H101" s="172"/>
      <c r="I101" s="172"/>
      <c r="J101" s="172"/>
      <c r="K101" s="172"/>
      <c r="L101" s="172"/>
      <c r="M101" s="172"/>
    </row>
    <row r="102" spans="1:13" ht="12.75">
      <c r="A102" s="23" t="s">
        <v>3</v>
      </c>
      <c r="B102" s="24" t="s">
        <v>53</v>
      </c>
      <c r="C102" s="68">
        <f>C103+C106+C110+C107+C108+C111+C109+C105+C104</f>
        <v>3312.4</v>
      </c>
      <c r="D102" s="25">
        <f aca="true" t="shared" si="44" ref="D102:I102">D103+D106+D110+D107+D108+D111+D109+D105+D104</f>
        <v>4312.4</v>
      </c>
      <c r="E102" s="25">
        <f t="shared" si="44"/>
        <v>3032.3999999999996</v>
      </c>
      <c r="F102" s="25">
        <f t="shared" si="44"/>
        <v>784.8</v>
      </c>
      <c r="G102" s="25">
        <f t="shared" si="44"/>
        <v>977.2</v>
      </c>
      <c r="H102" s="25">
        <f t="shared" si="44"/>
        <v>1270.3999999999999</v>
      </c>
      <c r="I102" s="25">
        <f t="shared" si="44"/>
        <v>1280</v>
      </c>
      <c r="J102" s="25">
        <f>J103+J106+J110+J107+J108+J111+J109+J105+J104</f>
        <v>3874.2999999999997</v>
      </c>
      <c r="K102" s="25">
        <f aca="true" t="shared" si="45" ref="K102:K108">J102*100/E102</f>
        <v>127.76348766653477</v>
      </c>
      <c r="L102" s="22">
        <f aca="true" t="shared" si="46" ref="L102:L108">J102*100/D102</f>
        <v>89.84092384750952</v>
      </c>
      <c r="M102" s="22">
        <f aca="true" t="shared" si="47" ref="M102:M108">J102*100/C102</f>
        <v>116.96353097451998</v>
      </c>
    </row>
    <row r="103" spans="1:17" ht="12.75">
      <c r="A103" s="12" t="s">
        <v>63</v>
      </c>
      <c r="B103" s="46" t="s">
        <v>64</v>
      </c>
      <c r="C103" s="69">
        <v>1300</v>
      </c>
      <c r="D103" s="50">
        <f>F103+G103+H103+I103</f>
        <v>2300</v>
      </c>
      <c r="E103" s="37">
        <f aca="true" t="shared" si="48" ref="E103:E113">F103+G103+H103</f>
        <v>1547</v>
      </c>
      <c r="F103" s="49">
        <v>325</v>
      </c>
      <c r="G103" s="49">
        <v>468</v>
      </c>
      <c r="H103" s="49">
        <v>754</v>
      </c>
      <c r="I103" s="49">
        <v>753</v>
      </c>
      <c r="J103" s="17">
        <v>2192.1</v>
      </c>
      <c r="K103" s="19">
        <f t="shared" si="45"/>
        <v>141.7000646412411</v>
      </c>
      <c r="L103" s="17">
        <f t="shared" si="46"/>
        <v>95.30869565217391</v>
      </c>
      <c r="M103" s="17">
        <f t="shared" si="47"/>
        <v>168.62307692307692</v>
      </c>
      <c r="Q103" s="2"/>
    </row>
    <row r="104" spans="1:13" ht="25.5" customHeight="1">
      <c r="A104" s="12" t="s">
        <v>62</v>
      </c>
      <c r="B104" s="26" t="s">
        <v>61</v>
      </c>
      <c r="C104" s="69">
        <v>1604.7</v>
      </c>
      <c r="D104" s="50">
        <f>F104+G104+H104+I104</f>
        <v>1604.6999999999998</v>
      </c>
      <c r="E104" s="37">
        <f t="shared" si="48"/>
        <v>1203.6</v>
      </c>
      <c r="F104" s="49">
        <v>401.2</v>
      </c>
      <c r="G104" s="49">
        <v>401.2</v>
      </c>
      <c r="H104" s="49">
        <v>401.2</v>
      </c>
      <c r="I104" s="49">
        <v>401.1</v>
      </c>
      <c r="J104" s="17">
        <v>1273.1</v>
      </c>
      <c r="K104" s="19">
        <f t="shared" si="45"/>
        <v>105.77434363575938</v>
      </c>
      <c r="L104" s="17">
        <f t="shared" si="46"/>
        <v>79.33570137720446</v>
      </c>
      <c r="M104" s="17">
        <f t="shared" si="47"/>
        <v>79.33570137720444</v>
      </c>
    </row>
    <row r="105" spans="1:13" ht="12.75" hidden="1">
      <c r="A105" s="12" t="s">
        <v>8</v>
      </c>
      <c r="B105" s="26" t="s">
        <v>5</v>
      </c>
      <c r="C105" s="69"/>
      <c r="D105" s="50">
        <f>F105+G105+H105+I105</f>
        <v>0</v>
      </c>
      <c r="E105" s="37">
        <f t="shared" si="48"/>
        <v>0</v>
      </c>
      <c r="F105" s="49"/>
      <c r="G105" s="49"/>
      <c r="H105" s="16"/>
      <c r="I105" s="17"/>
      <c r="J105" s="17"/>
      <c r="K105" s="19" t="e">
        <f t="shared" si="45"/>
        <v>#DIV/0!</v>
      </c>
      <c r="L105" s="17" t="e">
        <f t="shared" si="46"/>
        <v>#DIV/0!</v>
      </c>
      <c r="M105" s="17" t="e">
        <f t="shared" si="47"/>
        <v>#DIV/0!</v>
      </c>
    </row>
    <row r="106" spans="1:13" ht="12.75">
      <c r="A106" s="12" t="s">
        <v>9</v>
      </c>
      <c r="B106" s="26" t="s">
        <v>6</v>
      </c>
      <c r="C106" s="69">
        <v>261.2</v>
      </c>
      <c r="D106" s="50">
        <f aca="true" t="shared" si="49" ref="D106:D114">F106+G106+H106+I106</f>
        <v>261.2</v>
      </c>
      <c r="E106" s="37">
        <f t="shared" si="48"/>
        <v>171.9</v>
      </c>
      <c r="F106" s="49">
        <v>22.1</v>
      </c>
      <c r="G106" s="49">
        <v>71.4</v>
      </c>
      <c r="H106" s="16">
        <v>78.4</v>
      </c>
      <c r="I106" s="17">
        <v>89.3</v>
      </c>
      <c r="J106" s="17">
        <v>128.1</v>
      </c>
      <c r="K106" s="19">
        <f t="shared" si="45"/>
        <v>74.52006980802793</v>
      </c>
      <c r="L106" s="17">
        <f t="shared" si="46"/>
        <v>49.04287901990812</v>
      </c>
      <c r="M106" s="17">
        <f t="shared" si="47"/>
        <v>49.04287901990812</v>
      </c>
    </row>
    <row r="107" spans="1:13" ht="12.75">
      <c r="A107" s="12" t="s">
        <v>10</v>
      </c>
      <c r="B107" s="26" t="s">
        <v>21</v>
      </c>
      <c r="C107" s="69">
        <v>1.5</v>
      </c>
      <c r="D107" s="50">
        <f t="shared" si="49"/>
        <v>1.5</v>
      </c>
      <c r="E107" s="37">
        <f t="shared" si="48"/>
        <v>1.1</v>
      </c>
      <c r="F107" s="49">
        <v>0.2</v>
      </c>
      <c r="G107" s="49">
        <v>0.4</v>
      </c>
      <c r="H107" s="16">
        <v>0.5</v>
      </c>
      <c r="I107" s="17">
        <v>0.4</v>
      </c>
      <c r="J107" s="17">
        <v>0.6</v>
      </c>
      <c r="K107" s="19">
        <f t="shared" si="45"/>
        <v>54.54545454545454</v>
      </c>
      <c r="L107" s="17">
        <f t="shared" si="46"/>
        <v>40</v>
      </c>
      <c r="M107" s="17">
        <f t="shared" si="47"/>
        <v>40</v>
      </c>
    </row>
    <row r="108" spans="1:13" ht="24">
      <c r="A108" s="13" t="s">
        <v>11</v>
      </c>
      <c r="B108" s="26" t="s">
        <v>17</v>
      </c>
      <c r="C108" s="69">
        <v>145</v>
      </c>
      <c r="D108" s="50">
        <f t="shared" si="49"/>
        <v>145</v>
      </c>
      <c r="E108" s="37">
        <f t="shared" si="48"/>
        <v>108.8</v>
      </c>
      <c r="F108" s="49">
        <v>36.3</v>
      </c>
      <c r="G108" s="49">
        <v>36.2</v>
      </c>
      <c r="H108" s="16">
        <v>36.3</v>
      </c>
      <c r="I108" s="17">
        <v>36.2</v>
      </c>
      <c r="J108" s="17">
        <v>75.3</v>
      </c>
      <c r="K108" s="19">
        <f t="shared" si="45"/>
        <v>69.20955882352942</v>
      </c>
      <c r="L108" s="17">
        <f t="shared" si="46"/>
        <v>51.93103448275862</v>
      </c>
      <c r="M108" s="17">
        <f t="shared" si="47"/>
        <v>51.93103448275862</v>
      </c>
    </row>
    <row r="109" spans="1:13" ht="21" customHeight="1">
      <c r="A109" s="28" t="s">
        <v>40</v>
      </c>
      <c r="B109" s="26" t="s">
        <v>41</v>
      </c>
      <c r="C109" s="69"/>
      <c r="D109" s="50">
        <f t="shared" si="49"/>
        <v>0</v>
      </c>
      <c r="E109" s="37">
        <f t="shared" si="48"/>
        <v>0</v>
      </c>
      <c r="F109" s="49"/>
      <c r="G109" s="49"/>
      <c r="H109" s="16"/>
      <c r="I109" s="17"/>
      <c r="J109" s="17">
        <v>205.1</v>
      </c>
      <c r="K109" s="19"/>
      <c r="L109" s="17"/>
      <c r="M109" s="17"/>
    </row>
    <row r="110" spans="1:13" ht="17.25" customHeight="1" hidden="1">
      <c r="A110" s="20" t="s">
        <v>12</v>
      </c>
      <c r="B110" s="65" t="s">
        <v>7</v>
      </c>
      <c r="C110" s="69"/>
      <c r="D110" s="50">
        <f t="shared" si="49"/>
        <v>0</v>
      </c>
      <c r="E110" s="37">
        <f t="shared" si="48"/>
        <v>0</v>
      </c>
      <c r="F110" s="49"/>
      <c r="G110" s="49"/>
      <c r="H110" s="16"/>
      <c r="I110" s="17"/>
      <c r="J110" s="17"/>
      <c r="K110" s="19"/>
      <c r="L110" s="17"/>
      <c r="M110" s="17"/>
    </row>
    <row r="111" spans="1:13" ht="16.5" customHeight="1">
      <c r="A111" s="28" t="s">
        <v>37</v>
      </c>
      <c r="B111" s="15" t="s">
        <v>38</v>
      </c>
      <c r="C111" s="69"/>
      <c r="D111" s="50">
        <f t="shared" si="49"/>
        <v>0</v>
      </c>
      <c r="E111" s="37">
        <f t="shared" si="48"/>
        <v>0</v>
      </c>
      <c r="F111" s="49"/>
      <c r="G111" s="49"/>
      <c r="H111" s="16"/>
      <c r="I111" s="17"/>
      <c r="J111" s="17"/>
      <c r="K111" s="25"/>
      <c r="L111" s="22"/>
      <c r="M111" s="17"/>
    </row>
    <row r="112" spans="1:13" ht="12.75">
      <c r="A112" s="53" t="s">
        <v>1</v>
      </c>
      <c r="B112" s="30" t="s">
        <v>0</v>
      </c>
      <c r="C112" s="70">
        <f>C113+C114</f>
        <v>25131.3</v>
      </c>
      <c r="D112" s="31">
        <f aca="true" t="shared" si="50" ref="D112:J112">D113+D114</f>
        <v>27590.7</v>
      </c>
      <c r="E112" s="31">
        <f t="shared" si="50"/>
        <v>21310.4</v>
      </c>
      <c r="F112" s="31">
        <f t="shared" si="50"/>
        <v>6394.8</v>
      </c>
      <c r="G112" s="31">
        <f t="shared" si="50"/>
        <v>8098</v>
      </c>
      <c r="H112" s="31">
        <f t="shared" si="50"/>
        <v>6817.6</v>
      </c>
      <c r="I112" s="31">
        <f t="shared" si="50"/>
        <v>6280.3</v>
      </c>
      <c r="J112" s="31">
        <f t="shared" si="50"/>
        <v>22536.6</v>
      </c>
      <c r="K112" s="25">
        <f>J112*100/E112</f>
        <v>105.75399804790149</v>
      </c>
      <c r="L112" s="22">
        <f>J112*100/D112</f>
        <v>81.68187106525025</v>
      </c>
      <c r="M112" s="22">
        <f>J112*100/C112</f>
        <v>89.67542466963508</v>
      </c>
    </row>
    <row r="113" spans="1:13" ht="24">
      <c r="A113" s="14" t="s">
        <v>52</v>
      </c>
      <c r="B113" s="32" t="s">
        <v>20</v>
      </c>
      <c r="C113" s="69">
        <v>25131.3</v>
      </c>
      <c r="D113" s="50">
        <f>F113+G113+H113+I113</f>
        <v>27590.7</v>
      </c>
      <c r="E113" s="37">
        <f t="shared" si="48"/>
        <v>21310.4</v>
      </c>
      <c r="F113" s="49">
        <v>6394.8</v>
      </c>
      <c r="G113" s="49">
        <v>8098</v>
      </c>
      <c r="H113" s="16">
        <v>6817.6</v>
      </c>
      <c r="I113" s="17">
        <v>6280.3</v>
      </c>
      <c r="J113" s="17">
        <v>22536.6</v>
      </c>
      <c r="K113" s="19">
        <f>J113*100/E113</f>
        <v>105.75399804790149</v>
      </c>
      <c r="L113" s="17">
        <f>J113*100/D113</f>
        <v>81.68187106525025</v>
      </c>
      <c r="M113" s="17">
        <f>J113*100/C113</f>
        <v>89.67542466963508</v>
      </c>
    </row>
    <row r="114" spans="1:13" ht="24" customHeight="1" hidden="1">
      <c r="A114" s="66" t="s">
        <v>60</v>
      </c>
      <c r="B114" s="33" t="s">
        <v>19</v>
      </c>
      <c r="C114" s="69"/>
      <c r="D114" s="50">
        <f t="shared" si="49"/>
        <v>0</v>
      </c>
      <c r="E114" s="37">
        <f>F114</f>
        <v>0</v>
      </c>
      <c r="F114" s="56"/>
      <c r="G114" s="56"/>
      <c r="H114" s="16"/>
      <c r="I114" s="17"/>
      <c r="J114" s="17"/>
      <c r="K114" s="25"/>
      <c r="L114" s="22"/>
      <c r="M114" s="17"/>
    </row>
    <row r="115" spans="1:13" ht="12.75">
      <c r="A115" s="20"/>
      <c r="B115" s="21" t="s">
        <v>4</v>
      </c>
      <c r="C115" s="72">
        <f>C112+C102</f>
        <v>28443.7</v>
      </c>
      <c r="D115" s="22">
        <f aca="true" t="shared" si="51" ref="D115:I115">D112+D102</f>
        <v>31903.1</v>
      </c>
      <c r="E115" s="52">
        <f t="shared" si="51"/>
        <v>24342.800000000003</v>
      </c>
      <c r="F115" s="52">
        <f t="shared" si="51"/>
        <v>7179.6</v>
      </c>
      <c r="G115" s="52">
        <f>G112+G102</f>
        <v>9075.2</v>
      </c>
      <c r="H115" s="22">
        <f t="shared" si="51"/>
        <v>8088</v>
      </c>
      <c r="I115" s="22">
        <f t="shared" si="51"/>
        <v>7560.3</v>
      </c>
      <c r="J115" s="22">
        <f>J112+J102</f>
        <v>26410.899999999998</v>
      </c>
      <c r="K115" s="25">
        <f>J115*100/E115</f>
        <v>108.49573590548333</v>
      </c>
      <c r="L115" s="22">
        <f>J115*100/D115</f>
        <v>82.78474505612307</v>
      </c>
      <c r="M115" s="22">
        <f>J115*100/C115</f>
        <v>92.85325045616428</v>
      </c>
    </row>
    <row r="116" spans="1:13" ht="12.75">
      <c r="A116" s="165"/>
      <c r="B116" s="166"/>
      <c r="C116" s="166"/>
      <c r="D116" s="166"/>
      <c r="E116" s="166"/>
      <c r="F116" s="166"/>
      <c r="G116" s="166"/>
      <c r="H116" s="166"/>
      <c r="I116" s="166"/>
      <c r="J116" s="166"/>
      <c r="K116" s="25"/>
      <c r="L116" s="22"/>
      <c r="M116" s="17"/>
    </row>
    <row r="117" spans="1:13" ht="12.75">
      <c r="A117" s="171" t="s">
        <v>28</v>
      </c>
      <c r="B117" s="172"/>
      <c r="C117" s="172"/>
      <c r="D117" s="172"/>
      <c r="E117" s="172"/>
      <c r="F117" s="172"/>
      <c r="G117" s="172"/>
      <c r="H117" s="172"/>
      <c r="I117" s="172"/>
      <c r="J117" s="172"/>
      <c r="K117" s="172"/>
      <c r="L117" s="172"/>
      <c r="M117" s="172"/>
    </row>
    <row r="118" spans="1:13" ht="12.75">
      <c r="A118" s="23" t="s">
        <v>3</v>
      </c>
      <c r="B118" s="24" t="s">
        <v>53</v>
      </c>
      <c r="C118" s="68">
        <f>C119+C123+C127+C124+C125+C128+C126+C129+C120+C121+C122</f>
        <v>5709.200000000001</v>
      </c>
      <c r="D118" s="25">
        <f aca="true" t="shared" si="52" ref="D118:I118">D119+D123+D127+D124+D125+D128+D126+D129+D120+D121+D122</f>
        <v>9987.1</v>
      </c>
      <c r="E118" s="25">
        <f t="shared" si="52"/>
        <v>8521.199999999999</v>
      </c>
      <c r="F118" s="25">
        <f t="shared" si="52"/>
        <v>1382.7</v>
      </c>
      <c r="G118" s="25">
        <f t="shared" si="52"/>
        <v>3668.1</v>
      </c>
      <c r="H118" s="25">
        <f t="shared" si="52"/>
        <v>3470.4</v>
      </c>
      <c r="I118" s="25">
        <f t="shared" si="52"/>
        <v>1465.9</v>
      </c>
      <c r="J118" s="25">
        <f>J119+J123+J127+J124+J125+J128+J126+J129+J120+J121+J122</f>
        <v>8776.699999999999</v>
      </c>
      <c r="K118" s="25">
        <f aca="true" t="shared" si="53" ref="K118:K125">J118*100/E118</f>
        <v>102.99840398066</v>
      </c>
      <c r="L118" s="22">
        <f aca="true" t="shared" si="54" ref="L118:L125">J118*100/D118</f>
        <v>87.8803656717165</v>
      </c>
      <c r="M118" s="22">
        <f aca="true" t="shared" si="55" ref="M118:M125">J118*100/C118</f>
        <v>153.72906887129542</v>
      </c>
    </row>
    <row r="119" spans="1:17" ht="12.75">
      <c r="A119" s="12" t="s">
        <v>63</v>
      </c>
      <c r="B119" s="46" t="s">
        <v>64</v>
      </c>
      <c r="C119" s="69">
        <v>1520</v>
      </c>
      <c r="D119" s="50">
        <f>F119+G119+H119+I119</f>
        <v>5700</v>
      </c>
      <c r="E119" s="37">
        <f aca="true" t="shared" si="56" ref="E119:E131">F119+G119+H119</f>
        <v>5310</v>
      </c>
      <c r="F119" s="50">
        <v>360</v>
      </c>
      <c r="G119" s="50">
        <v>2560</v>
      </c>
      <c r="H119" s="17">
        <v>2390</v>
      </c>
      <c r="I119" s="17">
        <v>390</v>
      </c>
      <c r="J119" s="17">
        <v>5567.1</v>
      </c>
      <c r="K119" s="19">
        <f t="shared" si="53"/>
        <v>104.84180790960453</v>
      </c>
      <c r="L119" s="17">
        <f t="shared" si="54"/>
        <v>97.66842105263157</v>
      </c>
      <c r="M119" s="17">
        <f t="shared" si="55"/>
        <v>366.25657894736844</v>
      </c>
      <c r="Q119" s="2"/>
    </row>
    <row r="120" spans="1:13" ht="36" hidden="1">
      <c r="A120" s="12" t="s">
        <v>62</v>
      </c>
      <c r="B120" s="26" t="s">
        <v>61</v>
      </c>
      <c r="C120" s="69"/>
      <c r="D120" s="50">
        <f>F120+G120+H120+I120</f>
        <v>0</v>
      </c>
      <c r="E120" s="37">
        <f t="shared" si="56"/>
        <v>0</v>
      </c>
      <c r="F120" s="50"/>
      <c r="G120" s="50"/>
      <c r="H120" s="17"/>
      <c r="I120" s="17"/>
      <c r="J120" s="17"/>
      <c r="K120" s="19" t="e">
        <f t="shared" si="53"/>
        <v>#DIV/0!</v>
      </c>
      <c r="L120" s="17" t="e">
        <f t="shared" si="54"/>
        <v>#DIV/0!</v>
      </c>
      <c r="M120" s="17" t="e">
        <f t="shared" si="55"/>
        <v>#DIV/0!</v>
      </c>
    </row>
    <row r="121" spans="1:13" ht="26.25" customHeight="1">
      <c r="A121" s="12" t="s">
        <v>62</v>
      </c>
      <c r="B121" s="26" t="s">
        <v>61</v>
      </c>
      <c r="C121" s="69">
        <v>3480.4</v>
      </c>
      <c r="D121" s="50">
        <f>F121+G121+H121+I121</f>
        <v>3480.4</v>
      </c>
      <c r="E121" s="37">
        <f t="shared" si="56"/>
        <v>2599.5</v>
      </c>
      <c r="F121" s="50">
        <v>848.5</v>
      </c>
      <c r="G121" s="50">
        <v>870.5</v>
      </c>
      <c r="H121" s="17">
        <v>880.5</v>
      </c>
      <c r="I121" s="17">
        <v>880.9</v>
      </c>
      <c r="J121" s="17">
        <v>2761.2</v>
      </c>
      <c r="K121" s="19">
        <f t="shared" si="53"/>
        <v>106.2204270051933</v>
      </c>
      <c r="L121" s="17">
        <f t="shared" si="54"/>
        <v>79.33570853924836</v>
      </c>
      <c r="M121" s="17">
        <f t="shared" si="55"/>
        <v>79.33570853924836</v>
      </c>
    </row>
    <row r="122" spans="1:13" ht="16.5" customHeight="1">
      <c r="A122" s="12" t="s">
        <v>8</v>
      </c>
      <c r="B122" s="26" t="s">
        <v>5</v>
      </c>
      <c r="C122" s="69">
        <v>5</v>
      </c>
      <c r="D122" s="50">
        <f>F122+G122+H122+I122</f>
        <v>84.9</v>
      </c>
      <c r="E122" s="37">
        <f t="shared" si="56"/>
        <v>84.9</v>
      </c>
      <c r="F122" s="50">
        <v>5</v>
      </c>
      <c r="G122" s="50">
        <v>49.9</v>
      </c>
      <c r="H122" s="17">
        <v>30</v>
      </c>
      <c r="I122" s="17"/>
      <c r="J122" s="17">
        <v>84.9</v>
      </c>
      <c r="K122" s="19">
        <f t="shared" si="53"/>
        <v>100</v>
      </c>
      <c r="L122" s="17">
        <f t="shared" si="54"/>
        <v>100</v>
      </c>
      <c r="M122" s="17">
        <f t="shared" si="55"/>
        <v>1698</v>
      </c>
    </row>
    <row r="123" spans="1:13" ht="12.75">
      <c r="A123" s="12" t="s">
        <v>9</v>
      </c>
      <c r="B123" s="26" t="s">
        <v>6</v>
      </c>
      <c r="C123" s="69">
        <v>223</v>
      </c>
      <c r="D123" s="50">
        <f aca="true" t="shared" si="57" ref="D123:D131">F123+G123+H123+I123</f>
        <v>223</v>
      </c>
      <c r="E123" s="37">
        <f t="shared" si="56"/>
        <v>148.5</v>
      </c>
      <c r="F123" s="50">
        <v>49.5</v>
      </c>
      <c r="G123" s="50">
        <v>49.5</v>
      </c>
      <c r="H123" s="17">
        <v>49.5</v>
      </c>
      <c r="I123" s="17">
        <v>74.5</v>
      </c>
      <c r="J123" s="17">
        <v>42.1</v>
      </c>
      <c r="K123" s="19">
        <f t="shared" si="53"/>
        <v>28.35016835016835</v>
      </c>
      <c r="L123" s="17">
        <f t="shared" si="54"/>
        <v>18.878923766816143</v>
      </c>
      <c r="M123" s="17">
        <f t="shared" si="55"/>
        <v>18.878923766816143</v>
      </c>
    </row>
    <row r="124" spans="1:13" ht="12.75">
      <c r="A124" s="12" t="s">
        <v>10</v>
      </c>
      <c r="B124" s="26" t="s">
        <v>21</v>
      </c>
      <c r="C124" s="69">
        <v>13.5</v>
      </c>
      <c r="D124" s="50">
        <f t="shared" si="57"/>
        <v>13.5</v>
      </c>
      <c r="E124" s="37">
        <f t="shared" si="56"/>
        <v>10</v>
      </c>
      <c r="F124" s="50">
        <v>3</v>
      </c>
      <c r="G124" s="50">
        <v>3.5</v>
      </c>
      <c r="H124" s="50">
        <v>3.5</v>
      </c>
      <c r="I124" s="50">
        <v>3.5</v>
      </c>
      <c r="J124" s="17">
        <v>11.2</v>
      </c>
      <c r="K124" s="19">
        <f t="shared" si="53"/>
        <v>112</v>
      </c>
      <c r="L124" s="17">
        <f t="shared" si="54"/>
        <v>82.96296296296296</v>
      </c>
      <c r="M124" s="17">
        <f t="shared" si="55"/>
        <v>82.96296296296296</v>
      </c>
    </row>
    <row r="125" spans="1:13" ht="23.25" customHeight="1">
      <c r="A125" s="13" t="s">
        <v>11</v>
      </c>
      <c r="B125" s="26" t="s">
        <v>17</v>
      </c>
      <c r="C125" s="69">
        <v>467.3</v>
      </c>
      <c r="D125" s="50">
        <f t="shared" si="57"/>
        <v>467.3</v>
      </c>
      <c r="E125" s="37">
        <f t="shared" si="56"/>
        <v>350.3</v>
      </c>
      <c r="F125" s="50">
        <v>116.7</v>
      </c>
      <c r="G125" s="50">
        <v>116.7</v>
      </c>
      <c r="H125" s="17">
        <v>116.9</v>
      </c>
      <c r="I125" s="17">
        <v>117</v>
      </c>
      <c r="J125" s="17">
        <v>292.2</v>
      </c>
      <c r="K125" s="19">
        <f t="shared" si="53"/>
        <v>83.41421638595489</v>
      </c>
      <c r="L125" s="17">
        <f t="shared" si="54"/>
        <v>62.52942435266424</v>
      </c>
      <c r="M125" s="17">
        <f t="shared" si="55"/>
        <v>62.52942435266424</v>
      </c>
    </row>
    <row r="126" spans="1:13" ht="27.75" customHeight="1" hidden="1">
      <c r="A126" s="28" t="s">
        <v>40</v>
      </c>
      <c r="B126" s="26" t="s">
        <v>41</v>
      </c>
      <c r="C126" s="69"/>
      <c r="D126" s="50">
        <f t="shared" si="57"/>
        <v>0</v>
      </c>
      <c r="E126" s="37">
        <f t="shared" si="56"/>
        <v>0</v>
      </c>
      <c r="F126" s="50"/>
      <c r="G126" s="50"/>
      <c r="H126" s="17"/>
      <c r="I126" s="17"/>
      <c r="J126" s="17"/>
      <c r="K126" s="19" t="e">
        <f>J126*100/E126</f>
        <v>#DIV/0!</v>
      </c>
      <c r="L126" s="17" t="e">
        <f>J126*100/D126</f>
        <v>#DIV/0!</v>
      </c>
      <c r="M126" s="17"/>
    </row>
    <row r="127" spans="1:13" ht="27" customHeight="1">
      <c r="A127" s="27" t="s">
        <v>18</v>
      </c>
      <c r="B127" s="26" t="s">
        <v>15</v>
      </c>
      <c r="C127" s="69"/>
      <c r="D127" s="50">
        <f t="shared" si="57"/>
        <v>18</v>
      </c>
      <c r="E127" s="37">
        <f t="shared" si="56"/>
        <v>18</v>
      </c>
      <c r="F127" s="50"/>
      <c r="G127" s="50">
        <v>18</v>
      </c>
      <c r="H127" s="17"/>
      <c r="I127" s="17"/>
      <c r="J127" s="17">
        <v>18</v>
      </c>
      <c r="K127" s="19">
        <f>J127*100/E127</f>
        <v>100</v>
      </c>
      <c r="L127" s="17">
        <f>J127*100/D127</f>
        <v>100</v>
      </c>
      <c r="M127" s="17"/>
    </row>
    <row r="128" spans="1:13" ht="16.5" customHeight="1" hidden="1">
      <c r="A128" s="20" t="s">
        <v>12</v>
      </c>
      <c r="B128" s="26" t="s">
        <v>7</v>
      </c>
      <c r="C128" s="69"/>
      <c r="D128" s="50">
        <f t="shared" si="57"/>
        <v>0</v>
      </c>
      <c r="E128" s="37">
        <f t="shared" si="56"/>
        <v>0</v>
      </c>
      <c r="F128" s="50"/>
      <c r="G128" s="50"/>
      <c r="H128" s="17"/>
      <c r="I128" s="17"/>
      <c r="J128" s="17"/>
      <c r="K128" s="25" t="e">
        <f>J128*100/E128</f>
        <v>#DIV/0!</v>
      </c>
      <c r="L128" s="22" t="e">
        <f>J128*100/D128</f>
        <v>#DIV/0!</v>
      </c>
      <c r="M128" s="17" t="e">
        <f>J128*100/C128</f>
        <v>#DIV/0!</v>
      </c>
    </row>
    <row r="129" spans="1:13" ht="14.25" customHeight="1">
      <c r="A129" s="27" t="s">
        <v>37</v>
      </c>
      <c r="B129" s="15" t="s">
        <v>38</v>
      </c>
      <c r="C129" s="69"/>
      <c r="D129" s="50">
        <f t="shared" si="57"/>
        <v>0</v>
      </c>
      <c r="E129" s="37">
        <f t="shared" si="56"/>
        <v>0</v>
      </c>
      <c r="F129" s="50"/>
      <c r="G129" s="50"/>
      <c r="H129" s="17"/>
      <c r="I129" s="17"/>
      <c r="J129" s="17"/>
      <c r="K129" s="25"/>
      <c r="L129" s="22"/>
      <c r="M129" s="17"/>
    </row>
    <row r="130" spans="1:13" ht="12.75">
      <c r="A130" s="23" t="s">
        <v>1</v>
      </c>
      <c r="B130" s="30" t="s">
        <v>0</v>
      </c>
      <c r="C130" s="70">
        <f>C131</f>
        <v>28919.7</v>
      </c>
      <c r="D130" s="31">
        <f aca="true" t="shared" si="58" ref="D130:J130">D131</f>
        <v>33890.8</v>
      </c>
      <c r="E130" s="54">
        <f t="shared" si="58"/>
        <v>26724.4</v>
      </c>
      <c r="F130" s="54">
        <f t="shared" si="58"/>
        <v>7388.1</v>
      </c>
      <c r="G130" s="54">
        <f t="shared" si="58"/>
        <v>10891.4</v>
      </c>
      <c r="H130" s="54">
        <f t="shared" si="58"/>
        <v>8444.9</v>
      </c>
      <c r="I130" s="31">
        <f t="shared" si="58"/>
        <v>7166.4</v>
      </c>
      <c r="J130" s="31">
        <f t="shared" si="58"/>
        <v>25405.8</v>
      </c>
      <c r="K130" s="25">
        <f>J130*100/E130</f>
        <v>95.06593225666431</v>
      </c>
      <c r="L130" s="22">
        <f>J130*100/D130</f>
        <v>74.96370696472198</v>
      </c>
      <c r="M130" s="22">
        <f>J130*100/C130</f>
        <v>87.84945901928442</v>
      </c>
    </row>
    <row r="131" spans="1:13" ht="24">
      <c r="A131" s="66" t="s">
        <v>52</v>
      </c>
      <c r="B131" s="32" t="s">
        <v>20</v>
      </c>
      <c r="C131" s="69">
        <v>28919.7</v>
      </c>
      <c r="D131" s="50">
        <f t="shared" si="57"/>
        <v>33890.8</v>
      </c>
      <c r="E131" s="37">
        <f t="shared" si="56"/>
        <v>26724.4</v>
      </c>
      <c r="F131" s="50">
        <v>7388.1</v>
      </c>
      <c r="G131" s="50">
        <v>10891.4</v>
      </c>
      <c r="H131" s="17">
        <v>8444.9</v>
      </c>
      <c r="I131" s="17">
        <v>7166.4</v>
      </c>
      <c r="J131" s="17">
        <v>25405.8</v>
      </c>
      <c r="K131" s="19">
        <f>J131*100/E131</f>
        <v>95.06593225666431</v>
      </c>
      <c r="L131" s="17">
        <f>J131*100/D131</f>
        <v>74.96370696472198</v>
      </c>
      <c r="M131" s="17">
        <f>J131*100/C131</f>
        <v>87.84945901928442</v>
      </c>
    </row>
    <row r="132" spans="1:13" ht="12.75">
      <c r="A132" s="20"/>
      <c r="B132" s="21" t="s">
        <v>4</v>
      </c>
      <c r="C132" s="22">
        <f aca="true" t="shared" si="59" ref="C132:J132">C130+C118</f>
        <v>34628.9</v>
      </c>
      <c r="D132" s="22">
        <f t="shared" si="59"/>
        <v>43877.9</v>
      </c>
      <c r="E132" s="22">
        <f t="shared" si="59"/>
        <v>35245.6</v>
      </c>
      <c r="F132" s="22">
        <f t="shared" si="59"/>
        <v>8770.800000000001</v>
      </c>
      <c r="G132" s="22">
        <f t="shared" si="59"/>
        <v>14559.5</v>
      </c>
      <c r="H132" s="22">
        <f t="shared" si="59"/>
        <v>11915.3</v>
      </c>
      <c r="I132" s="22">
        <f t="shared" si="59"/>
        <v>8632.3</v>
      </c>
      <c r="J132" s="22">
        <f t="shared" si="59"/>
        <v>34182.5</v>
      </c>
      <c r="K132" s="25">
        <f>J132*100/E132</f>
        <v>96.98373697709785</v>
      </c>
      <c r="L132" s="22">
        <f>J132*100/D132</f>
        <v>77.90368271954674</v>
      </c>
      <c r="M132" s="22">
        <f>J132*100/C132</f>
        <v>98.7109033206368</v>
      </c>
    </row>
    <row r="133" spans="1:13" ht="12.75">
      <c r="A133" s="165"/>
      <c r="B133" s="166"/>
      <c r="C133" s="166"/>
      <c r="D133" s="166"/>
      <c r="E133" s="166"/>
      <c r="F133" s="166"/>
      <c r="G133" s="166"/>
      <c r="H133" s="166"/>
      <c r="I133" s="166"/>
      <c r="J133" s="166"/>
      <c r="K133" s="25"/>
      <c r="L133" s="22"/>
      <c r="M133" s="17"/>
    </row>
    <row r="134" spans="1:13" ht="12.75">
      <c r="A134" s="171" t="s">
        <v>29</v>
      </c>
      <c r="B134" s="172"/>
      <c r="C134" s="172"/>
      <c r="D134" s="172"/>
      <c r="E134" s="172"/>
      <c r="F134" s="172"/>
      <c r="G134" s="172"/>
      <c r="H134" s="172"/>
      <c r="I134" s="172"/>
      <c r="J134" s="172"/>
      <c r="K134" s="172"/>
      <c r="L134" s="172"/>
      <c r="M134" s="172"/>
    </row>
    <row r="135" spans="1:13" ht="12.75">
      <c r="A135" s="23" t="s">
        <v>3</v>
      </c>
      <c r="B135" s="24" t="s">
        <v>53</v>
      </c>
      <c r="C135" s="68">
        <f>C136+C139+C140+C141+C143+C145+C142+C144+C137+C138</f>
        <v>11465.6</v>
      </c>
      <c r="D135" s="68">
        <f aca="true" t="shared" si="60" ref="D135:I135">D136+D139+D140+D141+D143+D145+D142+D144+D137+D138</f>
        <v>12839.5</v>
      </c>
      <c r="E135" s="68">
        <f t="shared" si="60"/>
        <v>9968.8</v>
      </c>
      <c r="F135" s="68">
        <f t="shared" si="60"/>
        <v>2864.7</v>
      </c>
      <c r="G135" s="68">
        <f t="shared" si="60"/>
        <v>2864.6</v>
      </c>
      <c r="H135" s="68">
        <f t="shared" si="60"/>
        <v>4239.5</v>
      </c>
      <c r="I135" s="68">
        <f t="shared" si="60"/>
        <v>2870.7</v>
      </c>
      <c r="J135" s="68">
        <f>J136+J139+J140+J141+J143+J145+J142+J144+J137+J138+0.1</f>
        <v>10442.6</v>
      </c>
      <c r="K135" s="25">
        <f aca="true" t="shared" si="61" ref="K135:K141">J135*100/E135</f>
        <v>104.75282882593693</v>
      </c>
      <c r="L135" s="22">
        <f aca="true" t="shared" si="62" ref="L135:L141">J135*100/D135</f>
        <v>81.33182756337864</v>
      </c>
      <c r="M135" s="22">
        <f aca="true" t="shared" si="63" ref="M135:M141">J135*100/C135</f>
        <v>91.07765838682668</v>
      </c>
    </row>
    <row r="136" spans="1:17" ht="12.75">
      <c r="A136" s="12" t="s">
        <v>63</v>
      </c>
      <c r="B136" s="46" t="s">
        <v>64</v>
      </c>
      <c r="C136" s="69">
        <v>3175</v>
      </c>
      <c r="D136" s="50">
        <f>F136+G136+H136+I136</f>
        <v>3175</v>
      </c>
      <c r="E136" s="37">
        <f aca="true" t="shared" si="64" ref="E136:E147">F136+G136+H136</f>
        <v>2380.5</v>
      </c>
      <c r="F136" s="49">
        <v>793.5</v>
      </c>
      <c r="G136" s="49">
        <v>793.5</v>
      </c>
      <c r="H136" s="49">
        <v>793.5</v>
      </c>
      <c r="I136" s="17">
        <v>794.5</v>
      </c>
      <c r="J136" s="17">
        <v>2401.1</v>
      </c>
      <c r="K136" s="19">
        <f t="shared" si="61"/>
        <v>100.86536441923965</v>
      </c>
      <c r="L136" s="17">
        <f t="shared" si="62"/>
        <v>75.6251968503937</v>
      </c>
      <c r="M136" s="17">
        <f t="shared" si="63"/>
        <v>75.6251968503937</v>
      </c>
      <c r="Q136" s="2"/>
    </row>
    <row r="137" spans="1:13" ht="23.25" customHeight="1">
      <c r="A137" s="12" t="s">
        <v>62</v>
      </c>
      <c r="B137" s="26" t="s">
        <v>61</v>
      </c>
      <c r="C137" s="69">
        <v>7602.6</v>
      </c>
      <c r="D137" s="50">
        <f>F137+G137+H137+I137</f>
        <v>7602.599999999999</v>
      </c>
      <c r="E137" s="37">
        <f t="shared" si="64"/>
        <v>5701.9</v>
      </c>
      <c r="F137" s="49">
        <v>1900.6</v>
      </c>
      <c r="G137" s="49">
        <v>1900.6</v>
      </c>
      <c r="H137" s="16">
        <v>1900.7</v>
      </c>
      <c r="I137" s="17">
        <v>1900.7</v>
      </c>
      <c r="J137" s="17">
        <v>6031.6</v>
      </c>
      <c r="K137" s="19">
        <f t="shared" si="61"/>
        <v>105.78228309861626</v>
      </c>
      <c r="L137" s="17">
        <f t="shared" si="62"/>
        <v>79.33601662589115</v>
      </c>
      <c r="M137" s="17">
        <f t="shared" si="63"/>
        <v>79.33601662589113</v>
      </c>
    </row>
    <row r="138" spans="1:13" ht="15.75" customHeight="1">
      <c r="A138" s="12" t="s">
        <v>8</v>
      </c>
      <c r="B138" s="26" t="s">
        <v>5</v>
      </c>
      <c r="C138" s="69"/>
      <c r="D138" s="50"/>
      <c r="E138" s="37">
        <f t="shared" si="64"/>
        <v>0</v>
      </c>
      <c r="F138" s="49"/>
      <c r="G138" s="49"/>
      <c r="H138" s="16"/>
      <c r="I138" s="17"/>
      <c r="J138" s="17">
        <v>0.7</v>
      </c>
      <c r="K138" s="19"/>
      <c r="L138" s="17"/>
      <c r="M138" s="17"/>
    </row>
    <row r="139" spans="1:13" ht="12.75">
      <c r="A139" s="12" t="s">
        <v>9</v>
      </c>
      <c r="B139" s="26" t="s">
        <v>6</v>
      </c>
      <c r="C139" s="69">
        <v>598</v>
      </c>
      <c r="D139" s="50">
        <f aca="true" t="shared" si="65" ref="D139:D148">F139+G139+H139+I139</f>
        <v>598</v>
      </c>
      <c r="E139" s="37">
        <f t="shared" si="64"/>
        <v>446.9</v>
      </c>
      <c r="F139" s="49">
        <v>149</v>
      </c>
      <c r="G139" s="49">
        <v>148.9</v>
      </c>
      <c r="H139" s="16">
        <v>149</v>
      </c>
      <c r="I139" s="17">
        <v>151.1</v>
      </c>
      <c r="J139" s="17">
        <v>9.2</v>
      </c>
      <c r="K139" s="19">
        <f t="shared" si="61"/>
        <v>2.0586260908480645</v>
      </c>
      <c r="L139" s="17">
        <f t="shared" si="62"/>
        <v>1.5384615384615383</v>
      </c>
      <c r="M139" s="17">
        <f t="shared" si="63"/>
        <v>1.5384615384615383</v>
      </c>
    </row>
    <row r="140" spans="1:13" ht="12.75">
      <c r="A140" s="12" t="s">
        <v>10</v>
      </c>
      <c r="B140" s="26" t="s">
        <v>21</v>
      </c>
      <c r="C140" s="69">
        <v>20</v>
      </c>
      <c r="D140" s="50">
        <f t="shared" si="65"/>
        <v>20</v>
      </c>
      <c r="E140" s="37">
        <f t="shared" si="64"/>
        <v>15.2</v>
      </c>
      <c r="F140" s="49">
        <v>4.8</v>
      </c>
      <c r="G140" s="49">
        <v>4.8</v>
      </c>
      <c r="H140" s="49">
        <v>5.6</v>
      </c>
      <c r="I140" s="49">
        <v>4.8</v>
      </c>
      <c r="J140" s="17">
        <v>5.3</v>
      </c>
      <c r="K140" s="19">
        <f t="shared" si="61"/>
        <v>34.86842105263158</v>
      </c>
      <c r="L140" s="17">
        <f t="shared" si="62"/>
        <v>26.5</v>
      </c>
      <c r="M140" s="17">
        <f t="shared" si="63"/>
        <v>26.5</v>
      </c>
    </row>
    <row r="141" spans="1:13" ht="24">
      <c r="A141" s="13" t="s">
        <v>11</v>
      </c>
      <c r="B141" s="26" t="s">
        <v>17</v>
      </c>
      <c r="C141" s="69">
        <v>70</v>
      </c>
      <c r="D141" s="50">
        <f t="shared" si="65"/>
        <v>1443.8999999999999</v>
      </c>
      <c r="E141" s="37">
        <f t="shared" si="64"/>
        <v>1424.3</v>
      </c>
      <c r="F141" s="49">
        <v>16.8</v>
      </c>
      <c r="G141" s="49">
        <v>16.8</v>
      </c>
      <c r="H141" s="49">
        <v>1390.7</v>
      </c>
      <c r="I141" s="17">
        <v>19.6</v>
      </c>
      <c r="J141" s="17">
        <v>1983.9</v>
      </c>
      <c r="K141" s="19">
        <f t="shared" si="61"/>
        <v>139.2894755318402</v>
      </c>
      <c r="L141" s="17">
        <f t="shared" si="62"/>
        <v>137.39871182214836</v>
      </c>
      <c r="M141" s="17">
        <f t="shared" si="63"/>
        <v>2834.1428571428573</v>
      </c>
    </row>
    <row r="142" spans="1:13" ht="24" hidden="1">
      <c r="A142" s="28" t="s">
        <v>40</v>
      </c>
      <c r="B142" s="26" t="s">
        <v>41</v>
      </c>
      <c r="C142" s="69"/>
      <c r="D142" s="50">
        <f t="shared" si="65"/>
        <v>0</v>
      </c>
      <c r="E142" s="37">
        <f t="shared" si="64"/>
        <v>0</v>
      </c>
      <c r="F142" s="49"/>
      <c r="G142" s="49"/>
      <c r="H142" s="16"/>
      <c r="I142" s="17"/>
      <c r="J142" s="17"/>
      <c r="K142" s="19"/>
      <c r="L142" s="17"/>
      <c r="M142" s="17"/>
    </row>
    <row r="143" spans="1:13" ht="18.75" customHeight="1" hidden="1">
      <c r="A143" s="28" t="s">
        <v>18</v>
      </c>
      <c r="B143" s="26" t="s">
        <v>15</v>
      </c>
      <c r="C143" s="69"/>
      <c r="D143" s="50">
        <f t="shared" si="65"/>
        <v>0</v>
      </c>
      <c r="E143" s="37">
        <f t="shared" si="64"/>
        <v>0</v>
      </c>
      <c r="F143" s="49"/>
      <c r="G143" s="49"/>
      <c r="H143" s="16"/>
      <c r="I143" s="17"/>
      <c r="J143" s="17"/>
      <c r="K143" s="19" t="e">
        <f>J143*100/E143</f>
        <v>#DIV/0!</v>
      </c>
      <c r="L143" s="17" t="e">
        <f>J143*100/D143</f>
        <v>#DIV/0!</v>
      </c>
      <c r="M143" s="17"/>
    </row>
    <row r="144" spans="1:13" ht="15" customHeight="1" hidden="1">
      <c r="A144" s="20" t="s">
        <v>12</v>
      </c>
      <c r="B144" s="26" t="s">
        <v>7</v>
      </c>
      <c r="C144" s="69"/>
      <c r="D144" s="50">
        <f t="shared" si="65"/>
        <v>0</v>
      </c>
      <c r="E144" s="37">
        <f t="shared" si="64"/>
        <v>0</v>
      </c>
      <c r="F144" s="49"/>
      <c r="G144" s="49"/>
      <c r="H144" s="16"/>
      <c r="I144" s="17"/>
      <c r="J144" s="17"/>
      <c r="K144" s="19"/>
      <c r="L144" s="17"/>
      <c r="M144" s="17"/>
    </row>
    <row r="145" spans="1:13" ht="18" customHeight="1">
      <c r="A145" s="28" t="s">
        <v>37</v>
      </c>
      <c r="B145" s="15" t="s">
        <v>38</v>
      </c>
      <c r="C145" s="69"/>
      <c r="D145" s="50">
        <f t="shared" si="65"/>
        <v>0</v>
      </c>
      <c r="E145" s="37">
        <f t="shared" si="64"/>
        <v>0</v>
      </c>
      <c r="F145" s="49"/>
      <c r="G145" s="49"/>
      <c r="H145" s="16"/>
      <c r="I145" s="17"/>
      <c r="J145" s="16">
        <v>10.7</v>
      </c>
      <c r="K145" s="19"/>
      <c r="L145" s="17"/>
      <c r="M145" s="17"/>
    </row>
    <row r="146" spans="1:13" ht="18" customHeight="1">
      <c r="A146" s="53" t="s">
        <v>1</v>
      </c>
      <c r="B146" s="30" t="s">
        <v>0</v>
      </c>
      <c r="C146" s="70">
        <f>C147+C148</f>
        <v>51023.7</v>
      </c>
      <c r="D146" s="70">
        <f aca="true" t="shared" si="66" ref="D146:J146">D147+D148</f>
        <v>57466.200000000004</v>
      </c>
      <c r="E146" s="70">
        <f t="shared" si="66"/>
        <v>44297.3</v>
      </c>
      <c r="F146" s="70">
        <f t="shared" si="66"/>
        <v>14196.6</v>
      </c>
      <c r="G146" s="70">
        <f t="shared" si="66"/>
        <v>17019.8</v>
      </c>
      <c r="H146" s="70">
        <f t="shared" si="66"/>
        <v>13507</v>
      </c>
      <c r="I146" s="70">
        <f t="shared" si="66"/>
        <v>12742.8</v>
      </c>
      <c r="J146" s="70">
        <f t="shared" si="66"/>
        <v>39652.6</v>
      </c>
      <c r="K146" s="25">
        <f>J146*100/E146</f>
        <v>89.5147108288767</v>
      </c>
      <c r="L146" s="22">
        <f>J146*100/D146</f>
        <v>69.0016044213816</v>
      </c>
      <c r="M146" s="22">
        <f>J146*100/C146</f>
        <v>77.71408188743662</v>
      </c>
    </row>
    <row r="147" spans="1:13" ht="24">
      <c r="A147" s="66" t="s">
        <v>52</v>
      </c>
      <c r="B147" s="32" t="s">
        <v>20</v>
      </c>
      <c r="C147" s="69">
        <v>51023.7</v>
      </c>
      <c r="D147" s="50">
        <f>F147+G147+H147+I147</f>
        <v>57040.100000000006</v>
      </c>
      <c r="E147" s="37">
        <f t="shared" si="64"/>
        <v>44297.3</v>
      </c>
      <c r="F147" s="49">
        <v>14196.6</v>
      </c>
      <c r="G147" s="49">
        <v>17019.8</v>
      </c>
      <c r="H147" s="16">
        <v>13080.9</v>
      </c>
      <c r="I147" s="17">
        <v>12742.8</v>
      </c>
      <c r="J147" s="17">
        <v>39652.6</v>
      </c>
      <c r="K147" s="19">
        <f>J147*100/E147</f>
        <v>89.5147108288767</v>
      </c>
      <c r="L147" s="17">
        <f>J147*100/D147</f>
        <v>69.51705905143925</v>
      </c>
      <c r="M147" s="17">
        <f>J147*100/C147</f>
        <v>77.71408188743662</v>
      </c>
    </row>
    <row r="148" spans="1:13" ht="36" customHeight="1">
      <c r="A148" s="66" t="s">
        <v>51</v>
      </c>
      <c r="B148" s="18" t="s">
        <v>49</v>
      </c>
      <c r="C148" s="33"/>
      <c r="D148" s="50">
        <f t="shared" si="65"/>
        <v>426.1</v>
      </c>
      <c r="E148" s="37">
        <f>F148</f>
        <v>0</v>
      </c>
      <c r="F148" s="56"/>
      <c r="G148" s="56"/>
      <c r="H148" s="16">
        <v>426.1</v>
      </c>
      <c r="I148" s="17"/>
      <c r="J148" s="17"/>
      <c r="K148" s="19"/>
      <c r="L148" s="17"/>
      <c r="M148" s="17"/>
    </row>
    <row r="149" spans="1:13" ht="12.75">
      <c r="A149" s="20"/>
      <c r="B149" s="21" t="s">
        <v>4</v>
      </c>
      <c r="C149" s="22">
        <f aca="true" t="shared" si="67" ref="C149:J149">C146+C135</f>
        <v>62489.299999999996</v>
      </c>
      <c r="D149" s="22">
        <f t="shared" si="67"/>
        <v>70305.70000000001</v>
      </c>
      <c r="E149" s="22">
        <f t="shared" si="67"/>
        <v>54266.100000000006</v>
      </c>
      <c r="F149" s="52">
        <f t="shared" si="67"/>
        <v>17061.3</v>
      </c>
      <c r="G149" s="52">
        <f t="shared" si="67"/>
        <v>19884.399999999998</v>
      </c>
      <c r="H149" s="52">
        <f t="shared" si="67"/>
        <v>17746.5</v>
      </c>
      <c r="I149" s="22">
        <f t="shared" si="67"/>
        <v>15613.5</v>
      </c>
      <c r="J149" s="22">
        <f t="shared" si="67"/>
        <v>50095.2</v>
      </c>
      <c r="K149" s="25">
        <f>J149*100/E149</f>
        <v>92.3139860797072</v>
      </c>
      <c r="L149" s="22">
        <f>J149*100/D149</f>
        <v>71.25339766192498</v>
      </c>
      <c r="M149" s="22">
        <f>J149*100/C149</f>
        <v>80.16604442680587</v>
      </c>
    </row>
    <row r="150" spans="1:13" ht="12.75">
      <c r="A150" s="178"/>
      <c r="B150" s="179"/>
      <c r="C150" s="179"/>
      <c r="D150" s="179"/>
      <c r="E150" s="179"/>
      <c r="F150" s="179"/>
      <c r="G150" s="179"/>
      <c r="H150" s="179"/>
      <c r="I150" s="179"/>
      <c r="J150" s="179"/>
      <c r="K150" s="25"/>
      <c r="L150" s="22"/>
      <c r="M150" s="17"/>
    </row>
    <row r="151" spans="1:13" ht="12.75">
      <c r="A151" s="171" t="s">
        <v>30</v>
      </c>
      <c r="B151" s="172"/>
      <c r="C151" s="172"/>
      <c r="D151" s="172"/>
      <c r="E151" s="172"/>
      <c r="F151" s="172"/>
      <c r="G151" s="172"/>
      <c r="H151" s="172"/>
      <c r="I151" s="172"/>
      <c r="J151" s="172"/>
      <c r="K151" s="172"/>
      <c r="L151" s="172"/>
      <c r="M151" s="172"/>
    </row>
    <row r="152" spans="1:13" ht="12.75">
      <c r="A152" s="23" t="s">
        <v>3</v>
      </c>
      <c r="B152" s="24" t="s">
        <v>53</v>
      </c>
      <c r="C152" s="68">
        <f>C153+C156+C158+C160+C157+C161+C159+C162+C155+C154</f>
        <v>27003.5</v>
      </c>
      <c r="D152" s="25">
        <f aca="true" t="shared" si="68" ref="D152:I152">D153+D156+D158+D160+D157+D161+D159+D162+D155+D154</f>
        <v>28110.2</v>
      </c>
      <c r="E152" s="25">
        <f t="shared" si="68"/>
        <v>20360.800000000003</v>
      </c>
      <c r="F152" s="25">
        <f t="shared" si="68"/>
        <v>6217.299999999999</v>
      </c>
      <c r="G152" s="25">
        <f t="shared" si="68"/>
        <v>7756.099999999999</v>
      </c>
      <c r="H152" s="25">
        <f t="shared" si="68"/>
        <v>6387.4</v>
      </c>
      <c r="I152" s="25">
        <f t="shared" si="68"/>
        <v>7749.4</v>
      </c>
      <c r="J152" s="25">
        <f>J153+J156+J158+J160+J157+J161+J159+J162+J155+J154</f>
        <v>21194.800000000003</v>
      </c>
      <c r="K152" s="25">
        <f aca="true" t="shared" si="69" ref="K152:K159">J152*100/E152</f>
        <v>104.09610624336962</v>
      </c>
      <c r="L152" s="22">
        <f aca="true" t="shared" si="70" ref="L152:L159">J152*100/D152</f>
        <v>75.3989655000676</v>
      </c>
      <c r="M152" s="22">
        <f aca="true" t="shared" si="71" ref="M152:M159">J152*100/C152</f>
        <v>78.48908474827338</v>
      </c>
    </row>
    <row r="153" spans="1:17" ht="12.75">
      <c r="A153" s="12" t="s">
        <v>63</v>
      </c>
      <c r="B153" s="46" t="s">
        <v>64</v>
      </c>
      <c r="C153" s="69">
        <v>15500</v>
      </c>
      <c r="D153" s="49">
        <f>F153+G153+H153+I153</f>
        <v>15508.6</v>
      </c>
      <c r="E153" s="37">
        <f aca="true" t="shared" si="72" ref="E153:E164">F153+G153+H153</f>
        <v>11394.6</v>
      </c>
      <c r="F153" s="49">
        <v>3584</v>
      </c>
      <c r="G153" s="49">
        <v>3906</v>
      </c>
      <c r="H153" s="16">
        <v>3904.6</v>
      </c>
      <c r="I153" s="17">
        <v>4114</v>
      </c>
      <c r="J153" s="17">
        <v>12136</v>
      </c>
      <c r="K153" s="19">
        <f t="shared" si="69"/>
        <v>106.5065908412757</v>
      </c>
      <c r="L153" s="17">
        <f t="shared" si="70"/>
        <v>78.25335620236514</v>
      </c>
      <c r="M153" s="17">
        <f t="shared" si="71"/>
        <v>78.29677419354839</v>
      </c>
      <c r="Q153" s="2"/>
    </row>
    <row r="154" spans="1:13" ht="25.5" customHeight="1">
      <c r="A154" s="12" t="s">
        <v>62</v>
      </c>
      <c r="B154" s="26" t="s">
        <v>61</v>
      </c>
      <c r="C154" s="69">
        <v>7987.7</v>
      </c>
      <c r="D154" s="49">
        <f>F154+G154+H154+I154</f>
        <v>8057.299999999999</v>
      </c>
      <c r="E154" s="37">
        <f t="shared" si="72"/>
        <v>6034.7</v>
      </c>
      <c r="F154" s="49">
        <v>1984.1</v>
      </c>
      <c r="G154" s="49">
        <v>1995</v>
      </c>
      <c r="H154" s="16">
        <v>2055.6</v>
      </c>
      <c r="I154" s="17">
        <v>2022.6</v>
      </c>
      <c r="J154" s="17">
        <v>6337.2</v>
      </c>
      <c r="K154" s="19">
        <f t="shared" si="69"/>
        <v>105.01267668649643</v>
      </c>
      <c r="L154" s="17">
        <f t="shared" si="70"/>
        <v>78.6516575031338</v>
      </c>
      <c r="M154" s="17">
        <f t="shared" si="71"/>
        <v>79.33698060768431</v>
      </c>
    </row>
    <row r="155" spans="1:13" ht="12.75" customHeight="1">
      <c r="A155" s="12" t="s">
        <v>8</v>
      </c>
      <c r="B155" s="26" t="s">
        <v>5</v>
      </c>
      <c r="C155" s="69">
        <v>12</v>
      </c>
      <c r="D155" s="49">
        <f aca="true" t="shared" si="73" ref="D155:D166">F155+G155+H155+I155</f>
        <v>12</v>
      </c>
      <c r="E155" s="37">
        <f t="shared" si="72"/>
        <v>12</v>
      </c>
      <c r="F155" s="49">
        <v>12</v>
      </c>
      <c r="G155" s="49"/>
      <c r="H155" s="16"/>
      <c r="I155" s="17"/>
      <c r="J155" s="17">
        <v>3.8</v>
      </c>
      <c r="K155" s="19">
        <f t="shared" si="69"/>
        <v>31.666666666666668</v>
      </c>
      <c r="L155" s="17">
        <f t="shared" si="70"/>
        <v>31.666666666666668</v>
      </c>
      <c r="M155" s="17">
        <f t="shared" si="71"/>
        <v>31.666666666666668</v>
      </c>
    </row>
    <row r="156" spans="1:13" ht="12.75">
      <c r="A156" s="12" t="s">
        <v>9</v>
      </c>
      <c r="B156" s="26" t="s">
        <v>6</v>
      </c>
      <c r="C156" s="69">
        <v>1742</v>
      </c>
      <c r="D156" s="49">
        <f t="shared" si="73"/>
        <v>1742</v>
      </c>
      <c r="E156" s="37">
        <f t="shared" si="72"/>
        <v>726.1</v>
      </c>
      <c r="F156" s="49">
        <v>110.2</v>
      </c>
      <c r="G156" s="49">
        <v>489.9</v>
      </c>
      <c r="H156" s="16">
        <v>126</v>
      </c>
      <c r="I156" s="17">
        <v>1015.9</v>
      </c>
      <c r="J156" s="17">
        <v>536.2</v>
      </c>
      <c r="K156" s="19">
        <f t="shared" si="69"/>
        <v>73.84657760639031</v>
      </c>
      <c r="L156" s="17">
        <f t="shared" si="70"/>
        <v>30.78071182548795</v>
      </c>
      <c r="M156" s="17">
        <f t="shared" si="71"/>
        <v>30.78071182548795</v>
      </c>
    </row>
    <row r="157" spans="1:13" ht="12.75">
      <c r="A157" s="12" t="s">
        <v>10</v>
      </c>
      <c r="B157" s="26" t="s">
        <v>21</v>
      </c>
      <c r="C157" s="69">
        <v>71.7</v>
      </c>
      <c r="D157" s="49">
        <f t="shared" si="73"/>
        <v>71.7</v>
      </c>
      <c r="E157" s="37">
        <f t="shared" si="72"/>
        <v>55.400000000000006</v>
      </c>
      <c r="F157" s="49">
        <v>21</v>
      </c>
      <c r="G157" s="49">
        <v>20.2</v>
      </c>
      <c r="H157" s="16">
        <v>14.2</v>
      </c>
      <c r="I157" s="17">
        <v>16.3</v>
      </c>
      <c r="J157" s="17">
        <v>43.8</v>
      </c>
      <c r="K157" s="19">
        <f t="shared" si="69"/>
        <v>79.06137184115522</v>
      </c>
      <c r="L157" s="17">
        <f t="shared" si="70"/>
        <v>61.087866108786606</v>
      </c>
      <c r="M157" s="17">
        <f t="shared" si="71"/>
        <v>61.087866108786606</v>
      </c>
    </row>
    <row r="158" spans="1:13" ht="24">
      <c r="A158" s="13" t="s">
        <v>11</v>
      </c>
      <c r="B158" s="26" t="s">
        <v>17</v>
      </c>
      <c r="C158" s="69">
        <v>437.6</v>
      </c>
      <c r="D158" s="49">
        <f t="shared" si="73"/>
        <v>946.2</v>
      </c>
      <c r="E158" s="37">
        <f t="shared" si="72"/>
        <v>829.6</v>
      </c>
      <c r="F158" s="49">
        <v>107.5</v>
      </c>
      <c r="G158" s="49">
        <v>615.1</v>
      </c>
      <c r="H158" s="16">
        <v>107</v>
      </c>
      <c r="I158" s="17">
        <v>116.6</v>
      </c>
      <c r="J158" s="17">
        <v>647.2</v>
      </c>
      <c r="K158" s="19">
        <f t="shared" si="69"/>
        <v>78.01350048216008</v>
      </c>
      <c r="L158" s="17">
        <f t="shared" si="70"/>
        <v>68.3999154512788</v>
      </c>
      <c r="M158" s="17">
        <f t="shared" si="71"/>
        <v>147.89762340036563</v>
      </c>
    </row>
    <row r="159" spans="1:13" ht="24" customHeight="1">
      <c r="A159" s="28" t="s">
        <v>40</v>
      </c>
      <c r="B159" s="26" t="s">
        <v>41</v>
      </c>
      <c r="C159" s="69">
        <v>1252.5</v>
      </c>
      <c r="D159" s="49">
        <f t="shared" si="73"/>
        <v>1252.5</v>
      </c>
      <c r="E159" s="37">
        <f t="shared" si="72"/>
        <v>788.5</v>
      </c>
      <c r="F159" s="49">
        <v>398.5</v>
      </c>
      <c r="G159" s="49">
        <v>210</v>
      </c>
      <c r="H159" s="16">
        <v>180</v>
      </c>
      <c r="I159" s="17">
        <v>464</v>
      </c>
      <c r="J159" s="17">
        <v>1128.7</v>
      </c>
      <c r="K159" s="19">
        <f t="shared" si="69"/>
        <v>143.145212428662</v>
      </c>
      <c r="L159" s="17">
        <f t="shared" si="70"/>
        <v>90.11576846307385</v>
      </c>
      <c r="M159" s="17">
        <f t="shared" si="71"/>
        <v>90.11576846307385</v>
      </c>
    </row>
    <row r="160" spans="1:13" ht="18" customHeight="1" hidden="1">
      <c r="A160" s="27" t="s">
        <v>18</v>
      </c>
      <c r="B160" s="26" t="s">
        <v>15</v>
      </c>
      <c r="C160" s="69"/>
      <c r="D160" s="49">
        <f t="shared" si="73"/>
        <v>0</v>
      </c>
      <c r="E160" s="37">
        <f t="shared" si="72"/>
        <v>0</v>
      </c>
      <c r="F160" s="49"/>
      <c r="G160" s="49"/>
      <c r="H160" s="16"/>
      <c r="I160" s="17"/>
      <c r="J160" s="17"/>
      <c r="K160" s="19" t="e">
        <f aca="true" t="shared" si="74" ref="K160:K167">J160*100/E160</f>
        <v>#DIV/0!</v>
      </c>
      <c r="L160" s="17" t="e">
        <f aca="true" t="shared" si="75" ref="L160:L167">J160*100/D160</f>
        <v>#DIV/0!</v>
      </c>
      <c r="M160" s="17"/>
    </row>
    <row r="161" spans="1:13" ht="21" customHeight="1">
      <c r="A161" s="20" t="s">
        <v>12</v>
      </c>
      <c r="B161" s="26" t="s">
        <v>7</v>
      </c>
      <c r="C161" s="69"/>
      <c r="D161" s="49">
        <f t="shared" si="73"/>
        <v>14.2</v>
      </c>
      <c r="E161" s="37">
        <f t="shared" si="72"/>
        <v>14.2</v>
      </c>
      <c r="F161" s="49"/>
      <c r="G161" s="49">
        <v>14.2</v>
      </c>
      <c r="H161" s="16"/>
      <c r="I161" s="17"/>
      <c r="J161" s="17">
        <v>14.2</v>
      </c>
      <c r="K161" s="19">
        <f t="shared" si="74"/>
        <v>100</v>
      </c>
      <c r="L161" s="17">
        <f t="shared" si="75"/>
        <v>100</v>
      </c>
      <c r="M161" s="17"/>
    </row>
    <row r="162" spans="1:13" ht="16.5" customHeight="1">
      <c r="A162" s="27" t="s">
        <v>37</v>
      </c>
      <c r="B162" s="15" t="s">
        <v>38</v>
      </c>
      <c r="C162" s="69"/>
      <c r="D162" s="49">
        <f t="shared" si="73"/>
        <v>505.7</v>
      </c>
      <c r="E162" s="37">
        <f t="shared" si="72"/>
        <v>505.7</v>
      </c>
      <c r="F162" s="49"/>
      <c r="G162" s="49">
        <v>505.7</v>
      </c>
      <c r="H162" s="16"/>
      <c r="I162" s="17"/>
      <c r="J162" s="17">
        <v>347.7</v>
      </c>
      <c r="K162" s="19">
        <f t="shared" si="74"/>
        <v>68.75617955309473</v>
      </c>
      <c r="L162" s="17">
        <f t="shared" si="75"/>
        <v>68.75617955309473</v>
      </c>
      <c r="M162" s="17"/>
    </row>
    <row r="163" spans="1:13" ht="12.75">
      <c r="A163" s="23" t="s">
        <v>1</v>
      </c>
      <c r="B163" s="30" t="s">
        <v>0</v>
      </c>
      <c r="C163" s="70">
        <f>C164+C165+C166</f>
        <v>38065.3</v>
      </c>
      <c r="D163" s="31">
        <f aca="true" t="shared" si="76" ref="D163:I163">D164+D165+D166</f>
        <v>60999.00000000001</v>
      </c>
      <c r="E163" s="31">
        <f t="shared" si="76"/>
        <v>51520.100000000006</v>
      </c>
      <c r="F163" s="31">
        <f t="shared" si="76"/>
        <v>9516.2</v>
      </c>
      <c r="G163" s="31">
        <f t="shared" si="76"/>
        <v>31261.2</v>
      </c>
      <c r="H163" s="31">
        <f t="shared" si="76"/>
        <v>10742.7</v>
      </c>
      <c r="I163" s="31">
        <f t="shared" si="76"/>
        <v>9478.9</v>
      </c>
      <c r="J163" s="31">
        <f>J164+J165+J166</f>
        <v>33733.7</v>
      </c>
      <c r="K163" s="25">
        <f t="shared" si="74"/>
        <v>65.47677508389928</v>
      </c>
      <c r="L163" s="22">
        <f t="shared" si="75"/>
        <v>55.30205413203494</v>
      </c>
      <c r="M163" s="22">
        <f>J163*100/C163</f>
        <v>88.62060721969875</v>
      </c>
    </row>
    <row r="164" spans="1:13" ht="24">
      <c r="A164" s="66" t="s">
        <v>52</v>
      </c>
      <c r="B164" s="32" t="s">
        <v>20</v>
      </c>
      <c r="C164" s="69">
        <v>38065.3</v>
      </c>
      <c r="D164" s="49">
        <f t="shared" si="73"/>
        <v>60999.00000000001</v>
      </c>
      <c r="E164" s="37">
        <f t="shared" si="72"/>
        <v>51520.100000000006</v>
      </c>
      <c r="F164" s="49">
        <v>9516.2</v>
      </c>
      <c r="G164" s="49">
        <v>31261.2</v>
      </c>
      <c r="H164" s="16">
        <v>10742.7</v>
      </c>
      <c r="I164" s="17">
        <v>9478.9</v>
      </c>
      <c r="J164" s="17">
        <v>33733.7</v>
      </c>
      <c r="K164" s="19">
        <f t="shared" si="74"/>
        <v>65.47677508389928</v>
      </c>
      <c r="L164" s="17">
        <f t="shared" si="75"/>
        <v>55.30205413203494</v>
      </c>
      <c r="M164" s="17">
        <f>J164*100/C164</f>
        <v>88.62060721969875</v>
      </c>
    </row>
    <row r="165" spans="1:13" ht="30.75" customHeight="1" hidden="1">
      <c r="A165" s="66" t="s">
        <v>60</v>
      </c>
      <c r="B165" s="33" t="s">
        <v>19</v>
      </c>
      <c r="C165" s="33"/>
      <c r="D165" s="49">
        <f t="shared" si="73"/>
        <v>0</v>
      </c>
      <c r="E165" s="37">
        <f>F165</f>
        <v>0</v>
      </c>
      <c r="F165" s="49"/>
      <c r="G165" s="49"/>
      <c r="H165" s="16"/>
      <c r="I165" s="17"/>
      <c r="J165" s="17"/>
      <c r="K165" s="19" t="e">
        <f t="shared" si="74"/>
        <v>#DIV/0!</v>
      </c>
      <c r="L165" s="17" t="e">
        <f t="shared" si="75"/>
        <v>#DIV/0!</v>
      </c>
      <c r="M165" s="17"/>
    </row>
    <row r="166" spans="1:13" ht="36" hidden="1">
      <c r="A166" s="66" t="s">
        <v>51</v>
      </c>
      <c r="B166" s="18" t="s">
        <v>49</v>
      </c>
      <c r="C166" s="33"/>
      <c r="D166" s="49">
        <f t="shared" si="73"/>
        <v>0</v>
      </c>
      <c r="E166" s="37">
        <f>F166</f>
        <v>0</v>
      </c>
      <c r="F166" s="49"/>
      <c r="G166" s="49"/>
      <c r="H166" s="16"/>
      <c r="I166" s="17"/>
      <c r="J166" s="17"/>
      <c r="K166" s="19" t="e">
        <f t="shared" si="74"/>
        <v>#DIV/0!</v>
      </c>
      <c r="L166" s="17" t="e">
        <f t="shared" si="75"/>
        <v>#DIV/0!</v>
      </c>
      <c r="M166" s="17"/>
    </row>
    <row r="167" spans="1:13" ht="12.75">
      <c r="A167" s="20"/>
      <c r="B167" s="21" t="s">
        <v>4</v>
      </c>
      <c r="C167" s="22">
        <f aca="true" t="shared" si="77" ref="C167:I167">C163+C152</f>
        <v>65068.8</v>
      </c>
      <c r="D167" s="22">
        <f>D163+D152+0.1</f>
        <v>89109.30000000002</v>
      </c>
      <c r="E167" s="22">
        <f t="shared" si="77"/>
        <v>71880.90000000001</v>
      </c>
      <c r="F167" s="22">
        <f t="shared" si="77"/>
        <v>15733.5</v>
      </c>
      <c r="G167" s="22">
        <f t="shared" si="77"/>
        <v>39017.3</v>
      </c>
      <c r="H167" s="22">
        <f t="shared" si="77"/>
        <v>17130.1</v>
      </c>
      <c r="I167" s="22">
        <f t="shared" si="77"/>
        <v>17228.3</v>
      </c>
      <c r="J167" s="22">
        <f>J163+J152</f>
        <v>54928.5</v>
      </c>
      <c r="K167" s="25">
        <f t="shared" si="74"/>
        <v>76.41598811367136</v>
      </c>
      <c r="L167" s="22">
        <f t="shared" si="75"/>
        <v>61.6417141645148</v>
      </c>
      <c r="M167" s="22">
        <f>J167*100/C167</f>
        <v>84.41603349070522</v>
      </c>
    </row>
    <row r="168" spans="1:13" ht="12.75">
      <c r="A168" s="165"/>
      <c r="B168" s="166"/>
      <c r="C168" s="166"/>
      <c r="D168" s="166"/>
      <c r="E168" s="166"/>
      <c r="F168" s="166"/>
      <c r="G168" s="166"/>
      <c r="H168" s="166"/>
      <c r="I168" s="166"/>
      <c r="J168" s="166"/>
      <c r="K168" s="25"/>
      <c r="L168" s="22"/>
      <c r="M168" s="17"/>
    </row>
    <row r="169" spans="1:13" ht="12.75">
      <c r="A169" s="171" t="s">
        <v>31</v>
      </c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</row>
    <row r="170" spans="1:13" ht="12.75">
      <c r="A170" s="23" t="s">
        <v>3</v>
      </c>
      <c r="B170" s="24" t="s">
        <v>53</v>
      </c>
      <c r="C170" s="68">
        <f>C171+C174+C175+C176+C178+C179+C180+C177+C172+C173</f>
        <v>7389.3</v>
      </c>
      <c r="D170" s="25">
        <f aca="true" t="shared" si="78" ref="D170:I170">D171+D174+D175+D176+D178+D179+D180+D177+D172+D173</f>
        <v>7619.3</v>
      </c>
      <c r="E170" s="25">
        <f t="shared" si="78"/>
        <v>5388.2</v>
      </c>
      <c r="F170" s="25">
        <f t="shared" si="78"/>
        <v>1712.1999999999998</v>
      </c>
      <c r="G170" s="25">
        <f t="shared" si="78"/>
        <v>1833</v>
      </c>
      <c r="H170" s="25">
        <f t="shared" si="78"/>
        <v>1843</v>
      </c>
      <c r="I170" s="25">
        <f t="shared" si="78"/>
        <v>2231.1</v>
      </c>
      <c r="J170" s="25">
        <f>J171+J174+J175+J176+J178+J179+J180+J177+J172+J173+0.1</f>
        <v>5801.200000000001</v>
      </c>
      <c r="K170" s="25">
        <f aca="true" t="shared" si="79" ref="K170:K178">J170*100/E170</f>
        <v>107.6648973683234</v>
      </c>
      <c r="L170" s="22">
        <f aca="true" t="shared" si="80" ref="L170:L178">J170*100/D170</f>
        <v>76.13822792120013</v>
      </c>
      <c r="M170" s="22">
        <f aca="true" t="shared" si="81" ref="M170:M176">J170*100/C170</f>
        <v>78.50811308243001</v>
      </c>
    </row>
    <row r="171" spans="1:17" ht="12.75">
      <c r="A171" s="12" t="s">
        <v>63</v>
      </c>
      <c r="B171" s="46" t="s">
        <v>64</v>
      </c>
      <c r="C171" s="69">
        <v>2770</v>
      </c>
      <c r="D171" s="49">
        <f>F171+G171+H171+I171</f>
        <v>2770</v>
      </c>
      <c r="E171" s="37">
        <f aca="true" t="shared" si="82" ref="E171:E183">F171+G171+H171</f>
        <v>2077.2</v>
      </c>
      <c r="F171" s="50">
        <v>692.4</v>
      </c>
      <c r="G171" s="50">
        <v>692.4</v>
      </c>
      <c r="H171" s="50">
        <v>692.4</v>
      </c>
      <c r="I171" s="50">
        <v>692.8</v>
      </c>
      <c r="J171" s="17">
        <v>2158.9</v>
      </c>
      <c r="K171" s="19">
        <f t="shared" si="79"/>
        <v>103.93317927979975</v>
      </c>
      <c r="L171" s="17">
        <f t="shared" si="80"/>
        <v>77.93862815884476</v>
      </c>
      <c r="M171" s="17">
        <f t="shared" si="81"/>
        <v>77.93862815884476</v>
      </c>
      <c r="Q171" s="2"/>
    </row>
    <row r="172" spans="1:13" ht="26.25" customHeight="1">
      <c r="A172" s="12" t="s">
        <v>62</v>
      </c>
      <c r="B172" s="26" t="s">
        <v>61</v>
      </c>
      <c r="C172" s="69">
        <v>3287.8</v>
      </c>
      <c r="D172" s="49">
        <f>F172+G172+H172+I172</f>
        <v>3287.8</v>
      </c>
      <c r="E172" s="37">
        <f t="shared" si="82"/>
        <v>2463.8</v>
      </c>
      <c r="F172" s="50">
        <v>821.3</v>
      </c>
      <c r="G172" s="50">
        <v>821.2</v>
      </c>
      <c r="H172" s="50">
        <v>821.3</v>
      </c>
      <c r="I172" s="50">
        <v>824</v>
      </c>
      <c r="J172" s="17">
        <v>2608.4</v>
      </c>
      <c r="K172" s="19">
        <f t="shared" si="79"/>
        <v>105.86898287198636</v>
      </c>
      <c r="L172" s="17">
        <f t="shared" si="80"/>
        <v>79.33572601739765</v>
      </c>
      <c r="M172" s="17">
        <f t="shared" si="81"/>
        <v>79.33572601739765</v>
      </c>
    </row>
    <row r="173" spans="1:13" ht="17.25" customHeight="1">
      <c r="A173" s="12" t="s">
        <v>8</v>
      </c>
      <c r="B173" s="26" t="s">
        <v>5</v>
      </c>
      <c r="C173" s="69">
        <v>2</v>
      </c>
      <c r="D173" s="49">
        <f>F173+G173+H173+I173</f>
        <v>7</v>
      </c>
      <c r="E173" s="37">
        <f t="shared" si="82"/>
        <v>7</v>
      </c>
      <c r="F173" s="50"/>
      <c r="G173" s="50">
        <v>7</v>
      </c>
      <c r="H173" s="16"/>
      <c r="I173" s="17"/>
      <c r="J173" s="17">
        <v>7</v>
      </c>
      <c r="K173" s="19">
        <f t="shared" si="79"/>
        <v>100</v>
      </c>
      <c r="L173" s="17">
        <f t="shared" si="80"/>
        <v>100</v>
      </c>
      <c r="M173" s="17">
        <f t="shared" si="81"/>
        <v>350</v>
      </c>
    </row>
    <row r="174" spans="1:13" ht="12.75">
      <c r="A174" s="12" t="s">
        <v>9</v>
      </c>
      <c r="B174" s="26" t="s">
        <v>6</v>
      </c>
      <c r="C174" s="69">
        <v>752</v>
      </c>
      <c r="D174" s="49">
        <f>F174+G174+H174+I174</f>
        <v>752</v>
      </c>
      <c r="E174" s="37">
        <f t="shared" si="82"/>
        <v>190.8</v>
      </c>
      <c r="F174" s="50">
        <v>2</v>
      </c>
      <c r="G174" s="50">
        <v>1</v>
      </c>
      <c r="H174" s="16">
        <v>187.8</v>
      </c>
      <c r="I174" s="17">
        <v>561.2</v>
      </c>
      <c r="J174" s="17">
        <v>143.4</v>
      </c>
      <c r="K174" s="19">
        <f t="shared" si="79"/>
        <v>75.15723270440252</v>
      </c>
      <c r="L174" s="17">
        <f t="shared" si="80"/>
        <v>19.069148936170212</v>
      </c>
      <c r="M174" s="17">
        <f t="shared" si="81"/>
        <v>19.069148936170212</v>
      </c>
    </row>
    <row r="175" spans="1:13" ht="12.75">
      <c r="A175" s="12" t="s">
        <v>10</v>
      </c>
      <c r="B175" s="26" t="s">
        <v>21</v>
      </c>
      <c r="C175" s="69">
        <v>15.8</v>
      </c>
      <c r="D175" s="49">
        <f aca="true" t="shared" si="83" ref="D175:D182">F175+G175+H175+I175</f>
        <v>15.799999999999999</v>
      </c>
      <c r="E175" s="37">
        <f t="shared" si="82"/>
        <v>11.7</v>
      </c>
      <c r="F175" s="50">
        <v>3.9</v>
      </c>
      <c r="G175" s="50">
        <v>3.9</v>
      </c>
      <c r="H175" s="50">
        <v>3.9</v>
      </c>
      <c r="I175" s="17">
        <v>4.1</v>
      </c>
      <c r="J175" s="17">
        <v>4.2</v>
      </c>
      <c r="K175" s="19">
        <f t="shared" si="79"/>
        <v>35.8974358974359</v>
      </c>
      <c r="L175" s="17">
        <f t="shared" si="80"/>
        <v>26.58227848101266</v>
      </c>
      <c r="M175" s="17">
        <f t="shared" si="81"/>
        <v>26.582278481012658</v>
      </c>
    </row>
    <row r="176" spans="1:13" ht="22.5" customHeight="1">
      <c r="A176" s="13" t="s">
        <v>11</v>
      </c>
      <c r="B176" s="26" t="s">
        <v>17</v>
      </c>
      <c r="C176" s="69">
        <v>561.7</v>
      </c>
      <c r="D176" s="49">
        <f t="shared" si="83"/>
        <v>786.7</v>
      </c>
      <c r="E176" s="37">
        <f t="shared" si="82"/>
        <v>637.7</v>
      </c>
      <c r="F176" s="50">
        <v>192.6</v>
      </c>
      <c r="G176" s="50">
        <v>307.5</v>
      </c>
      <c r="H176" s="50">
        <v>137.6</v>
      </c>
      <c r="I176" s="17">
        <v>149</v>
      </c>
      <c r="J176" s="17">
        <v>865.9</v>
      </c>
      <c r="K176" s="19">
        <f t="shared" si="79"/>
        <v>135.7848518111965</v>
      </c>
      <c r="L176" s="17">
        <f t="shared" si="80"/>
        <v>110.06737002669378</v>
      </c>
      <c r="M176" s="17">
        <f t="shared" si="81"/>
        <v>154.15702332205802</v>
      </c>
    </row>
    <row r="177" spans="1:13" ht="13.5" customHeight="1" hidden="1">
      <c r="A177" s="28" t="s">
        <v>40</v>
      </c>
      <c r="B177" s="26" t="s">
        <v>41</v>
      </c>
      <c r="C177" s="69"/>
      <c r="D177" s="49">
        <f t="shared" si="83"/>
        <v>0</v>
      </c>
      <c r="E177" s="37">
        <f t="shared" si="82"/>
        <v>0</v>
      </c>
      <c r="F177" s="50"/>
      <c r="G177" s="50"/>
      <c r="H177" s="16"/>
      <c r="I177" s="17"/>
      <c r="J177" s="17"/>
      <c r="K177" s="19"/>
      <c r="L177" s="17"/>
      <c r="M177" s="17"/>
    </row>
    <row r="178" spans="1:13" ht="13.5" customHeight="1" hidden="1">
      <c r="A178" s="27" t="s">
        <v>18</v>
      </c>
      <c r="B178" s="26" t="s">
        <v>15</v>
      </c>
      <c r="C178" s="69"/>
      <c r="D178" s="49">
        <f t="shared" si="83"/>
        <v>0</v>
      </c>
      <c r="E178" s="37">
        <f t="shared" si="82"/>
        <v>0</v>
      </c>
      <c r="F178" s="50"/>
      <c r="G178" s="50"/>
      <c r="H178" s="16"/>
      <c r="I178" s="17"/>
      <c r="J178" s="17"/>
      <c r="K178" s="19" t="e">
        <f t="shared" si="79"/>
        <v>#DIV/0!</v>
      </c>
      <c r="L178" s="17" t="e">
        <f t="shared" si="80"/>
        <v>#DIV/0!</v>
      </c>
      <c r="M178" s="17"/>
    </row>
    <row r="179" spans="1:13" ht="15.75" customHeight="1" hidden="1">
      <c r="A179" s="20" t="s">
        <v>12</v>
      </c>
      <c r="B179" s="26" t="s">
        <v>7</v>
      </c>
      <c r="C179" s="69"/>
      <c r="D179" s="49">
        <f t="shared" si="83"/>
        <v>0</v>
      </c>
      <c r="E179" s="37">
        <f t="shared" si="82"/>
        <v>0</v>
      </c>
      <c r="F179" s="50"/>
      <c r="G179" s="50"/>
      <c r="H179" s="16"/>
      <c r="I179" s="17"/>
      <c r="J179" s="17"/>
      <c r="K179" s="19"/>
      <c r="L179" s="17"/>
      <c r="M179" s="17"/>
    </row>
    <row r="180" spans="1:13" ht="14.25" customHeight="1">
      <c r="A180" s="51" t="s">
        <v>37</v>
      </c>
      <c r="B180" s="15" t="s">
        <v>38</v>
      </c>
      <c r="C180" s="69"/>
      <c r="D180" s="49">
        <f t="shared" si="83"/>
        <v>0</v>
      </c>
      <c r="E180" s="37">
        <f t="shared" si="82"/>
        <v>0</v>
      </c>
      <c r="F180" s="50"/>
      <c r="G180" s="50"/>
      <c r="H180" s="16"/>
      <c r="I180" s="17"/>
      <c r="J180" s="17">
        <v>13.3</v>
      </c>
      <c r="K180" s="25"/>
      <c r="L180" s="22"/>
      <c r="M180" s="17"/>
    </row>
    <row r="181" spans="1:13" ht="12.75">
      <c r="A181" s="23" t="s">
        <v>1</v>
      </c>
      <c r="B181" s="30" t="s">
        <v>0</v>
      </c>
      <c r="C181" s="70">
        <f>C182+C183</f>
        <v>31881.8</v>
      </c>
      <c r="D181" s="31">
        <f>D182+D183+0.1</f>
        <v>35087.899999999994</v>
      </c>
      <c r="E181" s="54">
        <f aca="true" t="shared" si="84" ref="E181:J181">E182+E183</f>
        <v>27116.600000000002</v>
      </c>
      <c r="F181" s="54">
        <f t="shared" si="84"/>
        <v>8952.7</v>
      </c>
      <c r="G181" s="54">
        <f t="shared" si="84"/>
        <v>10193.7</v>
      </c>
      <c r="H181" s="31">
        <f t="shared" si="84"/>
        <v>7970.2</v>
      </c>
      <c r="I181" s="31">
        <f t="shared" si="84"/>
        <v>7971.2</v>
      </c>
      <c r="J181" s="31">
        <f t="shared" si="84"/>
        <v>25415.3</v>
      </c>
      <c r="K181" s="25">
        <f>J181*100/E181</f>
        <v>93.72598334599469</v>
      </c>
      <c r="L181" s="22">
        <f>J181*100/D181</f>
        <v>72.43323196885537</v>
      </c>
      <c r="M181" s="22">
        <f>J181*100/C181</f>
        <v>79.71726815926328</v>
      </c>
    </row>
    <row r="182" spans="1:13" ht="23.25" customHeight="1">
      <c r="A182" s="66" t="s">
        <v>52</v>
      </c>
      <c r="B182" s="32" t="s">
        <v>20</v>
      </c>
      <c r="C182" s="69">
        <v>31881.8</v>
      </c>
      <c r="D182" s="49">
        <f t="shared" si="83"/>
        <v>35052.6</v>
      </c>
      <c r="E182" s="37">
        <f t="shared" si="82"/>
        <v>27081.4</v>
      </c>
      <c r="F182" s="50">
        <v>8952.7</v>
      </c>
      <c r="G182" s="50">
        <v>10158.5</v>
      </c>
      <c r="H182" s="50">
        <v>7970.2</v>
      </c>
      <c r="I182" s="50">
        <v>7971.2</v>
      </c>
      <c r="J182" s="17">
        <v>25380.1</v>
      </c>
      <c r="K182" s="19">
        <f>J182*100/E182</f>
        <v>93.71782847267866</v>
      </c>
      <c r="L182" s="17">
        <f>J182*100/D182</f>
        <v>72.40575592110143</v>
      </c>
      <c r="M182" s="17">
        <f>J182*100/C182</f>
        <v>79.60686034038228</v>
      </c>
    </row>
    <row r="183" spans="1:13" ht="18.75" customHeight="1">
      <c r="A183" s="14" t="s">
        <v>2</v>
      </c>
      <c r="B183" s="33" t="s">
        <v>19</v>
      </c>
      <c r="C183" s="55"/>
      <c r="D183" s="49">
        <f>F183+G183+H183+I183</f>
        <v>35.2</v>
      </c>
      <c r="E183" s="37">
        <f t="shared" si="82"/>
        <v>35.2</v>
      </c>
      <c r="F183" s="55"/>
      <c r="G183" s="55">
        <v>35.2</v>
      </c>
      <c r="H183" s="16"/>
      <c r="I183" s="17"/>
      <c r="J183" s="17">
        <v>35.2</v>
      </c>
      <c r="K183" s="19">
        <f>J183*100/E183</f>
        <v>100</v>
      </c>
      <c r="L183" s="17">
        <f>J183*100/D183</f>
        <v>100</v>
      </c>
      <c r="M183" s="17"/>
    </row>
    <row r="184" spans="1:13" ht="12.75">
      <c r="A184" s="20"/>
      <c r="B184" s="21" t="s">
        <v>4</v>
      </c>
      <c r="C184" s="22">
        <f aca="true" t="shared" si="85" ref="C184:I184">C181+C170</f>
        <v>39271.1</v>
      </c>
      <c r="D184" s="22">
        <f t="shared" si="85"/>
        <v>42707.2</v>
      </c>
      <c r="E184" s="22">
        <f t="shared" si="85"/>
        <v>32504.800000000003</v>
      </c>
      <c r="F184" s="22">
        <f t="shared" si="85"/>
        <v>10664.900000000001</v>
      </c>
      <c r="G184" s="22">
        <f t="shared" si="85"/>
        <v>12026.7</v>
      </c>
      <c r="H184" s="22">
        <f t="shared" si="85"/>
        <v>9813.2</v>
      </c>
      <c r="I184" s="22">
        <f t="shared" si="85"/>
        <v>10202.3</v>
      </c>
      <c r="J184" s="22">
        <f>J181+J170</f>
        <v>31216.5</v>
      </c>
      <c r="K184" s="25">
        <f>J184*100/E184</f>
        <v>96.03658536585365</v>
      </c>
      <c r="L184" s="22">
        <f>J184*100/D184</f>
        <v>73.09423235426345</v>
      </c>
      <c r="M184" s="22">
        <f>J184*100/C184</f>
        <v>79.48975200592803</v>
      </c>
    </row>
    <row r="185" spans="1:13" ht="12.75">
      <c r="A185" s="165"/>
      <c r="B185" s="166"/>
      <c r="C185" s="166"/>
      <c r="D185" s="166"/>
      <c r="E185" s="166"/>
      <c r="F185" s="166"/>
      <c r="G185" s="166"/>
      <c r="H185" s="166"/>
      <c r="I185" s="166"/>
      <c r="J185" s="166"/>
      <c r="K185" s="25"/>
      <c r="L185" s="22"/>
      <c r="M185" s="17"/>
    </row>
    <row r="186" spans="1:13" ht="12.75">
      <c r="A186" s="171" t="s">
        <v>32</v>
      </c>
      <c r="B186" s="172"/>
      <c r="C186" s="172"/>
      <c r="D186" s="172"/>
      <c r="E186" s="172"/>
      <c r="F186" s="172"/>
      <c r="G186" s="172"/>
      <c r="H186" s="172"/>
      <c r="I186" s="172"/>
      <c r="J186" s="172"/>
      <c r="K186" s="172"/>
      <c r="L186" s="172"/>
      <c r="M186" s="172"/>
    </row>
    <row r="187" spans="1:13" ht="24">
      <c r="A187" s="23" t="s">
        <v>3</v>
      </c>
      <c r="B187" s="24" t="s">
        <v>53</v>
      </c>
      <c r="C187" s="68">
        <f>C188+C190+C191+C192+C193+C195+C197+C196+C194+C189</f>
        <v>29388.1</v>
      </c>
      <c r="D187" s="25">
        <f aca="true" t="shared" si="86" ref="D187:I187">D188+D190+D191+D192+D193+D195+D197+D196+D194+D189</f>
        <v>32560.6</v>
      </c>
      <c r="E187" s="25">
        <f t="shared" si="86"/>
        <v>24437.699999999997</v>
      </c>
      <c r="F187" s="25">
        <f t="shared" si="86"/>
        <v>6788.500000000001</v>
      </c>
      <c r="G187" s="25">
        <f t="shared" si="86"/>
        <v>8855.199999999999</v>
      </c>
      <c r="H187" s="25">
        <f t="shared" si="86"/>
        <v>8794</v>
      </c>
      <c r="I187" s="25">
        <f t="shared" si="86"/>
        <v>8122.9</v>
      </c>
      <c r="J187" s="25">
        <f>J188+J190+J191+J192+J193+J195+J197+J196+J194+J189</f>
        <v>23239.100000000002</v>
      </c>
      <c r="K187" s="25">
        <f>J187*100/E187</f>
        <v>95.09528310765744</v>
      </c>
      <c r="L187" s="22">
        <f aca="true" t="shared" si="87" ref="L187:L193">J187*100/D187</f>
        <v>71.37184204222281</v>
      </c>
      <c r="M187" s="22">
        <f aca="true" t="shared" si="88" ref="M187:M193">J187*100/C187</f>
        <v>79.07656500420238</v>
      </c>
    </row>
    <row r="188" spans="1:17" ht="24">
      <c r="A188" s="12" t="s">
        <v>63</v>
      </c>
      <c r="B188" s="46" t="s">
        <v>64</v>
      </c>
      <c r="C188" s="69">
        <v>20000</v>
      </c>
      <c r="D188" s="49">
        <f>F188+G188+H188+I188</f>
        <v>22088.4</v>
      </c>
      <c r="E188" s="37">
        <f aca="true" t="shared" si="89" ref="E188:E199">F188+G188+H188</f>
        <v>17124.9</v>
      </c>
      <c r="F188" s="49">
        <v>4950</v>
      </c>
      <c r="G188" s="49">
        <v>6153</v>
      </c>
      <c r="H188" s="49">
        <v>6021.9</v>
      </c>
      <c r="I188" s="17">
        <v>4963.5</v>
      </c>
      <c r="J188" s="17">
        <v>16360</v>
      </c>
      <c r="K188" s="19">
        <f>J188*100/E188</f>
        <v>95.53340457462525</v>
      </c>
      <c r="L188" s="17">
        <f t="shared" si="87"/>
        <v>74.06602560620054</v>
      </c>
      <c r="M188" s="17">
        <f t="shared" si="88"/>
        <v>81.8</v>
      </c>
      <c r="Q188" s="2"/>
    </row>
    <row r="189" spans="1:13" ht="23.25" customHeight="1">
      <c r="A189" s="12" t="s">
        <v>62</v>
      </c>
      <c r="B189" s="26" t="s">
        <v>61</v>
      </c>
      <c r="C189" s="69">
        <v>5577.1</v>
      </c>
      <c r="D189" s="49">
        <f>F189+G189+H189+I189</f>
        <v>5614.5</v>
      </c>
      <c r="E189" s="37">
        <f t="shared" si="89"/>
        <v>4217.9</v>
      </c>
      <c r="F189" s="49">
        <v>1393.5</v>
      </c>
      <c r="G189" s="49">
        <v>1430.9</v>
      </c>
      <c r="H189" s="49">
        <v>1393.5</v>
      </c>
      <c r="I189" s="17">
        <v>1396.6</v>
      </c>
      <c r="J189" s="17">
        <v>4424.7</v>
      </c>
      <c r="K189" s="19">
        <f>J189*100/E189</f>
        <v>104.90291377225634</v>
      </c>
      <c r="L189" s="17">
        <f t="shared" si="87"/>
        <v>78.80844242586161</v>
      </c>
      <c r="M189" s="17">
        <f t="shared" si="88"/>
        <v>79.33693138010794</v>
      </c>
    </row>
    <row r="190" spans="1:13" ht="16.5" customHeight="1">
      <c r="A190" s="12" t="s">
        <v>8</v>
      </c>
      <c r="B190" s="26" t="s">
        <v>5</v>
      </c>
      <c r="C190" s="69"/>
      <c r="D190" s="49">
        <f aca="true" t="shared" si="90" ref="D190:D200">F190+G190+H190+I190</f>
        <v>82.4</v>
      </c>
      <c r="E190" s="37">
        <f t="shared" si="89"/>
        <v>82.4</v>
      </c>
      <c r="F190" s="49"/>
      <c r="G190" s="49">
        <v>55.3</v>
      </c>
      <c r="H190" s="16">
        <v>27.1</v>
      </c>
      <c r="I190" s="17"/>
      <c r="J190" s="17">
        <v>82.4</v>
      </c>
      <c r="K190" s="19">
        <f>J190*100/E190</f>
        <v>100</v>
      </c>
      <c r="L190" s="17">
        <f>J190*100/D190</f>
        <v>100</v>
      </c>
      <c r="M190" s="17"/>
    </row>
    <row r="191" spans="1:13" ht="24">
      <c r="A191" s="12" t="s">
        <v>9</v>
      </c>
      <c r="B191" s="26" t="s">
        <v>6</v>
      </c>
      <c r="C191" s="69">
        <v>2807</v>
      </c>
      <c r="D191" s="49">
        <f t="shared" si="90"/>
        <v>2807</v>
      </c>
      <c r="E191" s="37">
        <f t="shared" si="89"/>
        <v>1267.4</v>
      </c>
      <c r="F191" s="49">
        <v>66</v>
      </c>
      <c r="G191" s="49">
        <v>341.7</v>
      </c>
      <c r="H191" s="16">
        <v>859.7</v>
      </c>
      <c r="I191" s="17">
        <v>1539.6</v>
      </c>
      <c r="J191" s="17">
        <v>799.6</v>
      </c>
      <c r="K191" s="19">
        <f aca="true" t="shared" si="91" ref="K191:K196">J191*100/E191</f>
        <v>63.08979012150859</v>
      </c>
      <c r="L191" s="17">
        <f t="shared" si="87"/>
        <v>28.485928037050233</v>
      </c>
      <c r="M191" s="17">
        <f t="shared" si="88"/>
        <v>28.485928037050233</v>
      </c>
    </row>
    <row r="192" spans="1:13" ht="24">
      <c r="A192" s="12" t="s">
        <v>10</v>
      </c>
      <c r="B192" s="26" t="s">
        <v>21</v>
      </c>
      <c r="C192" s="69">
        <v>121</v>
      </c>
      <c r="D192" s="49">
        <f t="shared" si="90"/>
        <v>63.6</v>
      </c>
      <c r="E192" s="37">
        <f t="shared" si="89"/>
        <v>49.1</v>
      </c>
      <c r="F192" s="49">
        <v>18.1</v>
      </c>
      <c r="G192" s="49">
        <v>16.5</v>
      </c>
      <c r="H192" s="16">
        <v>14.5</v>
      </c>
      <c r="I192" s="17">
        <v>14.5</v>
      </c>
      <c r="J192" s="17">
        <v>35.3</v>
      </c>
      <c r="K192" s="19">
        <f t="shared" si="91"/>
        <v>71.89409368635437</v>
      </c>
      <c r="L192" s="17">
        <f t="shared" si="87"/>
        <v>55.50314465408804</v>
      </c>
      <c r="M192" s="17">
        <f t="shared" si="88"/>
        <v>29.17355371900826</v>
      </c>
    </row>
    <row r="193" spans="1:13" ht="24">
      <c r="A193" s="13" t="s">
        <v>11</v>
      </c>
      <c r="B193" s="26" t="s">
        <v>17</v>
      </c>
      <c r="C193" s="69">
        <v>653</v>
      </c>
      <c r="D193" s="49">
        <f t="shared" si="90"/>
        <v>974.8</v>
      </c>
      <c r="E193" s="37">
        <f t="shared" si="89"/>
        <v>766.1</v>
      </c>
      <c r="F193" s="49">
        <v>168.3</v>
      </c>
      <c r="G193" s="49">
        <v>353.2</v>
      </c>
      <c r="H193" s="16">
        <v>244.6</v>
      </c>
      <c r="I193" s="17">
        <v>208.7</v>
      </c>
      <c r="J193" s="17">
        <v>768.2</v>
      </c>
      <c r="K193" s="19">
        <f t="shared" si="91"/>
        <v>100.27411565069833</v>
      </c>
      <c r="L193" s="17">
        <f t="shared" si="87"/>
        <v>78.80590890439065</v>
      </c>
      <c r="M193" s="17">
        <f t="shared" si="88"/>
        <v>117.6416539050536</v>
      </c>
    </row>
    <row r="194" spans="1:13" ht="25.5" customHeight="1">
      <c r="A194" s="27" t="s">
        <v>40</v>
      </c>
      <c r="B194" s="26" t="s">
        <v>41</v>
      </c>
      <c r="C194" s="69">
        <v>130</v>
      </c>
      <c r="D194" s="49">
        <f t="shared" si="90"/>
        <v>92.6</v>
      </c>
      <c r="E194" s="37">
        <f t="shared" si="89"/>
        <v>92.6</v>
      </c>
      <c r="F194" s="49">
        <v>92.6</v>
      </c>
      <c r="G194" s="49"/>
      <c r="H194" s="16"/>
      <c r="I194" s="17"/>
      <c r="J194" s="17">
        <v>21.2</v>
      </c>
      <c r="K194" s="19">
        <f t="shared" si="91"/>
        <v>22.89416846652268</v>
      </c>
      <c r="L194" s="17">
        <f>J194*100/D194</f>
        <v>22.89416846652268</v>
      </c>
      <c r="M194" s="17">
        <f>J194*100/C194</f>
        <v>16.307692307692307</v>
      </c>
    </row>
    <row r="195" spans="1:13" ht="22.5" customHeight="1">
      <c r="A195" s="27" t="s">
        <v>18</v>
      </c>
      <c r="B195" s="26" t="s">
        <v>15</v>
      </c>
      <c r="C195" s="69">
        <v>100</v>
      </c>
      <c r="D195" s="49">
        <f t="shared" si="90"/>
        <v>837.0999999999999</v>
      </c>
      <c r="E195" s="37">
        <f t="shared" si="89"/>
        <v>837.0999999999999</v>
      </c>
      <c r="F195" s="49">
        <v>100</v>
      </c>
      <c r="G195" s="49">
        <v>504.4</v>
      </c>
      <c r="H195" s="16">
        <v>232.7</v>
      </c>
      <c r="I195" s="17"/>
      <c r="J195" s="17">
        <v>747.5</v>
      </c>
      <c r="K195" s="19">
        <f t="shared" si="91"/>
        <v>89.29638036076933</v>
      </c>
      <c r="L195" s="17">
        <f>J195*100/D195</f>
        <v>89.29638036076933</v>
      </c>
      <c r="M195" s="17">
        <f>J195*100/C195</f>
        <v>747.5</v>
      </c>
    </row>
    <row r="196" spans="1:13" ht="13.5" customHeight="1">
      <c r="A196" s="20" t="s">
        <v>12</v>
      </c>
      <c r="B196" s="26" t="s">
        <v>7</v>
      </c>
      <c r="C196" s="69"/>
      <c r="D196" s="49">
        <f t="shared" si="90"/>
        <v>0.2</v>
      </c>
      <c r="E196" s="37">
        <f t="shared" si="89"/>
        <v>0.2</v>
      </c>
      <c r="F196" s="49"/>
      <c r="G196" s="49">
        <v>0.2</v>
      </c>
      <c r="H196" s="16"/>
      <c r="I196" s="17"/>
      <c r="J196" s="17">
        <v>0.2</v>
      </c>
      <c r="K196" s="19">
        <f t="shared" si="91"/>
        <v>100</v>
      </c>
      <c r="L196" s="17">
        <f>J196*100/D196</f>
        <v>100</v>
      </c>
      <c r="M196" s="17"/>
    </row>
    <row r="197" spans="1:13" ht="15" customHeight="1">
      <c r="A197" s="51" t="s">
        <v>37</v>
      </c>
      <c r="B197" s="15" t="s">
        <v>38</v>
      </c>
      <c r="C197" s="69"/>
      <c r="D197" s="49">
        <f t="shared" si="90"/>
        <v>0</v>
      </c>
      <c r="E197" s="37">
        <f t="shared" si="89"/>
        <v>0</v>
      </c>
      <c r="F197" s="49"/>
      <c r="G197" s="49"/>
      <c r="H197" s="16"/>
      <c r="I197" s="17"/>
      <c r="J197" s="17"/>
      <c r="K197" s="25"/>
      <c r="L197" s="22"/>
      <c r="M197" s="17"/>
    </row>
    <row r="198" spans="1:13" ht="24">
      <c r="A198" s="53" t="s">
        <v>1</v>
      </c>
      <c r="B198" s="30" t="s">
        <v>0</v>
      </c>
      <c r="C198" s="68">
        <f>C199+C200</f>
        <v>29955.2</v>
      </c>
      <c r="D198" s="52">
        <f>D199+D200</f>
        <v>38119.4</v>
      </c>
      <c r="E198" s="52">
        <f>E199</f>
        <v>30498.8</v>
      </c>
      <c r="F198" s="52">
        <f>F199</f>
        <v>9017.4</v>
      </c>
      <c r="G198" s="52">
        <f>G199</f>
        <v>12467.1</v>
      </c>
      <c r="H198" s="52">
        <f>H199</f>
        <v>9014.3</v>
      </c>
      <c r="I198" s="52">
        <f>I199</f>
        <v>7486</v>
      </c>
      <c r="J198" s="52">
        <f>J199+J200</f>
        <v>29283.8</v>
      </c>
      <c r="K198" s="25">
        <f>J198*100/E198</f>
        <v>96.01623670439493</v>
      </c>
      <c r="L198" s="22">
        <f>J198*100/D198</f>
        <v>76.8212511214762</v>
      </c>
      <c r="M198" s="22">
        <f>J198*100/C198</f>
        <v>97.7586529216964</v>
      </c>
    </row>
    <row r="199" spans="1:13" ht="24">
      <c r="A199" s="67" t="s">
        <v>52</v>
      </c>
      <c r="B199" s="32" t="s">
        <v>20</v>
      </c>
      <c r="C199" s="69">
        <v>29955.2</v>
      </c>
      <c r="D199" s="49">
        <f t="shared" si="90"/>
        <v>37984.8</v>
      </c>
      <c r="E199" s="37">
        <f t="shared" si="89"/>
        <v>30498.8</v>
      </c>
      <c r="F199" s="49">
        <v>9017.4</v>
      </c>
      <c r="G199" s="49">
        <v>12467.1</v>
      </c>
      <c r="H199" s="49">
        <v>9014.3</v>
      </c>
      <c r="I199" s="17">
        <v>7486</v>
      </c>
      <c r="J199" s="17">
        <v>29149.2</v>
      </c>
      <c r="K199" s="19">
        <f>J199*100/E199</f>
        <v>95.57490786522749</v>
      </c>
      <c r="L199" s="17">
        <f>J199*100/D199</f>
        <v>76.7391166993113</v>
      </c>
      <c r="M199" s="17">
        <f>J199*100/C199</f>
        <v>97.30931524409785</v>
      </c>
    </row>
    <row r="200" spans="1:13" ht="23.25" customHeight="1">
      <c r="A200" s="66" t="s">
        <v>69</v>
      </c>
      <c r="B200" s="32" t="s">
        <v>70</v>
      </c>
      <c r="C200" s="49"/>
      <c r="D200" s="49">
        <f t="shared" si="90"/>
        <v>134.6</v>
      </c>
      <c r="E200" s="37">
        <f>F200+G200+H200</f>
        <v>134.6</v>
      </c>
      <c r="F200" s="49"/>
      <c r="G200" s="49"/>
      <c r="H200" s="16">
        <v>134.6</v>
      </c>
      <c r="I200" s="17"/>
      <c r="J200" s="17">
        <v>134.6</v>
      </c>
      <c r="K200" s="19">
        <f>J200*100/E200</f>
        <v>100</v>
      </c>
      <c r="L200" s="17">
        <f>J200*100/D200</f>
        <v>100</v>
      </c>
      <c r="M200" s="17"/>
    </row>
    <row r="201" spans="1:13" ht="12.75">
      <c r="A201" s="20"/>
      <c r="B201" s="21" t="s">
        <v>4</v>
      </c>
      <c r="C201" s="22">
        <f aca="true" t="shared" si="92" ref="C201:I201">C198+C187</f>
        <v>59343.3</v>
      </c>
      <c r="D201" s="22">
        <f t="shared" si="92"/>
        <v>70680</v>
      </c>
      <c r="E201" s="22">
        <f t="shared" si="92"/>
        <v>54936.5</v>
      </c>
      <c r="F201" s="22">
        <f t="shared" si="92"/>
        <v>15805.900000000001</v>
      </c>
      <c r="G201" s="22">
        <f t="shared" si="92"/>
        <v>21322.3</v>
      </c>
      <c r="H201" s="22">
        <f t="shared" si="92"/>
        <v>17808.3</v>
      </c>
      <c r="I201" s="22">
        <f t="shared" si="92"/>
        <v>15608.9</v>
      </c>
      <c r="J201" s="22">
        <f>J198+J187</f>
        <v>52522.9</v>
      </c>
      <c r="K201" s="25">
        <f>J201*100/E201</f>
        <v>95.60656394200576</v>
      </c>
      <c r="L201" s="22">
        <f>J201*100/D201</f>
        <v>74.3108375778155</v>
      </c>
      <c r="M201" s="22">
        <f>J201*100/C201</f>
        <v>88.50687440705184</v>
      </c>
    </row>
    <row r="202" spans="1:13" ht="12.75">
      <c r="A202" s="165"/>
      <c r="B202" s="166"/>
      <c r="C202" s="166"/>
      <c r="D202" s="166"/>
      <c r="E202" s="166"/>
      <c r="F202" s="166"/>
      <c r="G202" s="166"/>
      <c r="H202" s="166"/>
      <c r="I202" s="166"/>
      <c r="J202" s="166"/>
      <c r="K202" s="25"/>
      <c r="L202" s="22"/>
      <c r="M202" s="17"/>
    </row>
    <row r="203" spans="1:13" ht="12.75">
      <c r="A203" s="171" t="s">
        <v>33</v>
      </c>
      <c r="B203" s="172"/>
      <c r="C203" s="172"/>
      <c r="D203" s="172"/>
      <c r="E203" s="172"/>
      <c r="F203" s="172"/>
      <c r="G203" s="172"/>
      <c r="H203" s="172"/>
      <c r="I203" s="172"/>
      <c r="J203" s="172"/>
      <c r="K203" s="172"/>
      <c r="L203" s="172"/>
      <c r="M203" s="172"/>
    </row>
    <row r="204" spans="1:13" ht="24">
      <c r="A204" s="23" t="s">
        <v>3</v>
      </c>
      <c r="B204" s="24" t="s">
        <v>53</v>
      </c>
      <c r="C204" s="68">
        <f>C205+C208+C210+C211+C209+C212+C213+C207+C206</f>
        <v>6063</v>
      </c>
      <c r="D204" s="25">
        <f aca="true" t="shared" si="93" ref="D204:I204">D205+D208+D210+D211+D209+D212+D213+D207+D206</f>
        <v>6372.999999999999</v>
      </c>
      <c r="E204" s="25">
        <f t="shared" si="93"/>
        <v>4748.299999999999</v>
      </c>
      <c r="F204" s="25">
        <f t="shared" si="93"/>
        <v>1485.1</v>
      </c>
      <c r="G204" s="25">
        <f t="shared" si="93"/>
        <v>1784.1</v>
      </c>
      <c r="H204" s="25">
        <f t="shared" si="93"/>
        <v>1479.1</v>
      </c>
      <c r="I204" s="25">
        <f t="shared" si="93"/>
        <v>1624.7</v>
      </c>
      <c r="J204" s="25">
        <f>J205+J208+J210+J211+J209+J212+J213+J207+J206</f>
        <v>4573.3</v>
      </c>
      <c r="K204" s="25">
        <f>J204*100/E204</f>
        <v>96.31447044205296</v>
      </c>
      <c r="L204" s="22">
        <f aca="true" t="shared" si="94" ref="L204:L210">J204*100/D204</f>
        <v>71.7605523301428</v>
      </c>
      <c r="M204" s="22">
        <f aca="true" t="shared" si="95" ref="M204:M211">J204*100/C204</f>
        <v>75.42965528616196</v>
      </c>
    </row>
    <row r="205" spans="1:17" ht="24">
      <c r="A205" s="12" t="s">
        <v>63</v>
      </c>
      <c r="B205" s="46" t="s">
        <v>64</v>
      </c>
      <c r="C205" s="69">
        <v>1380</v>
      </c>
      <c r="D205" s="49">
        <f>F205+G205+H205+I205</f>
        <v>1380</v>
      </c>
      <c r="E205" s="37">
        <f aca="true" t="shared" si="96" ref="E205:E216">F205+G205+H205</f>
        <v>1035</v>
      </c>
      <c r="F205" s="49">
        <v>345</v>
      </c>
      <c r="G205" s="49">
        <v>345</v>
      </c>
      <c r="H205" s="49">
        <v>345</v>
      </c>
      <c r="I205" s="49">
        <v>345</v>
      </c>
      <c r="J205" s="17">
        <v>931.6</v>
      </c>
      <c r="K205" s="19">
        <f>J205*100/E205</f>
        <v>90.00966183574879</v>
      </c>
      <c r="L205" s="17">
        <f t="shared" si="94"/>
        <v>67.5072463768116</v>
      </c>
      <c r="M205" s="17">
        <f t="shared" si="95"/>
        <v>67.5072463768116</v>
      </c>
      <c r="Q205" s="2"/>
    </row>
    <row r="206" spans="1:13" ht="24" customHeight="1">
      <c r="A206" s="12" t="s">
        <v>62</v>
      </c>
      <c r="B206" s="26" t="s">
        <v>61</v>
      </c>
      <c r="C206" s="69">
        <v>4250.6</v>
      </c>
      <c r="D206" s="49">
        <f>F206+G206+H206+I206</f>
        <v>4250.599999999999</v>
      </c>
      <c r="E206" s="37">
        <f t="shared" si="96"/>
        <v>3186.8999999999996</v>
      </c>
      <c r="F206" s="49">
        <v>1062.3</v>
      </c>
      <c r="G206" s="49">
        <v>1062.3</v>
      </c>
      <c r="H206" s="49">
        <v>1062.3</v>
      </c>
      <c r="I206" s="16">
        <v>1063.7</v>
      </c>
      <c r="J206" s="17">
        <v>3372.3</v>
      </c>
      <c r="K206" s="19">
        <f>J206*100/E206</f>
        <v>105.81756565941825</v>
      </c>
      <c r="L206" s="17">
        <f t="shared" si="94"/>
        <v>79.33703477156168</v>
      </c>
      <c r="M206" s="17">
        <f t="shared" si="95"/>
        <v>79.33703477156166</v>
      </c>
    </row>
    <row r="207" spans="1:13" ht="24" hidden="1">
      <c r="A207" s="12" t="s">
        <v>8</v>
      </c>
      <c r="B207" s="26" t="s">
        <v>5</v>
      </c>
      <c r="C207" s="69"/>
      <c r="D207" s="49">
        <f aca="true" t="shared" si="97" ref="D207:D216">F207+G207+H207+I207</f>
        <v>0</v>
      </c>
      <c r="E207" s="37">
        <f t="shared" si="96"/>
        <v>0</v>
      </c>
      <c r="F207" s="49"/>
      <c r="G207" s="49"/>
      <c r="H207" s="16"/>
      <c r="I207" s="16"/>
      <c r="J207" s="17"/>
      <c r="K207" s="19"/>
      <c r="L207" s="17" t="e">
        <f t="shared" si="94"/>
        <v>#DIV/0!</v>
      </c>
      <c r="M207" s="17" t="e">
        <f t="shared" si="95"/>
        <v>#DIV/0!</v>
      </c>
    </row>
    <row r="208" spans="1:13" ht="24">
      <c r="A208" s="12" t="s">
        <v>9</v>
      </c>
      <c r="B208" s="26" t="s">
        <v>6</v>
      </c>
      <c r="C208" s="69">
        <v>270.1</v>
      </c>
      <c r="D208" s="49">
        <f t="shared" si="97"/>
        <v>270.1</v>
      </c>
      <c r="E208" s="37">
        <f t="shared" si="96"/>
        <v>95.5</v>
      </c>
      <c r="F208" s="49">
        <v>37.5</v>
      </c>
      <c r="G208" s="49">
        <v>26.5</v>
      </c>
      <c r="H208" s="16">
        <v>31.5</v>
      </c>
      <c r="I208" s="16">
        <v>174.6</v>
      </c>
      <c r="J208" s="17">
        <v>113.9</v>
      </c>
      <c r="K208" s="19">
        <f>J208*100/E208</f>
        <v>119.26701570680628</v>
      </c>
      <c r="L208" s="17">
        <f t="shared" si="94"/>
        <v>42.16956682710107</v>
      </c>
      <c r="M208" s="17">
        <f t="shared" si="95"/>
        <v>42.16956682710107</v>
      </c>
    </row>
    <row r="209" spans="1:13" ht="24">
      <c r="A209" s="12" t="s">
        <v>10</v>
      </c>
      <c r="B209" s="26" t="s">
        <v>21</v>
      </c>
      <c r="C209" s="69">
        <v>19</v>
      </c>
      <c r="D209" s="49">
        <f t="shared" si="97"/>
        <v>19</v>
      </c>
      <c r="E209" s="37">
        <f t="shared" si="96"/>
        <v>13.5</v>
      </c>
      <c r="F209" s="49">
        <v>4.5</v>
      </c>
      <c r="G209" s="49">
        <v>4.5</v>
      </c>
      <c r="H209" s="49">
        <v>4.5</v>
      </c>
      <c r="I209" s="16">
        <v>5.5</v>
      </c>
      <c r="J209" s="17">
        <v>13.2</v>
      </c>
      <c r="K209" s="19">
        <f>J209*100/E209</f>
        <v>97.77777777777777</v>
      </c>
      <c r="L209" s="17">
        <f t="shared" si="94"/>
        <v>69.47368421052632</v>
      </c>
      <c r="M209" s="17">
        <f t="shared" si="95"/>
        <v>69.47368421052632</v>
      </c>
    </row>
    <row r="210" spans="1:13" ht="24">
      <c r="A210" s="13" t="s">
        <v>11</v>
      </c>
      <c r="B210" s="26" t="s">
        <v>17</v>
      </c>
      <c r="C210" s="69">
        <v>143.3</v>
      </c>
      <c r="D210" s="49">
        <f t="shared" si="97"/>
        <v>143.29999999999998</v>
      </c>
      <c r="E210" s="37">
        <f t="shared" si="96"/>
        <v>107.39999999999999</v>
      </c>
      <c r="F210" s="49">
        <v>35.8</v>
      </c>
      <c r="G210" s="49">
        <v>35.8</v>
      </c>
      <c r="H210" s="49">
        <v>35.8</v>
      </c>
      <c r="I210" s="16">
        <v>35.9</v>
      </c>
      <c r="J210" s="17">
        <v>162.9</v>
      </c>
      <c r="K210" s="19">
        <f>J210*100/E210</f>
        <v>151.6759776536313</v>
      </c>
      <c r="L210" s="17">
        <f t="shared" si="94"/>
        <v>113.67759944173065</v>
      </c>
      <c r="M210" s="17">
        <f t="shared" si="95"/>
        <v>113.67759944173062</v>
      </c>
    </row>
    <row r="211" spans="1:13" ht="24" hidden="1">
      <c r="A211" s="27" t="s">
        <v>18</v>
      </c>
      <c r="B211" s="26" t="s">
        <v>15</v>
      </c>
      <c r="C211" s="69"/>
      <c r="D211" s="49">
        <f t="shared" si="97"/>
        <v>0</v>
      </c>
      <c r="E211" s="37">
        <f t="shared" si="96"/>
        <v>0</v>
      </c>
      <c r="F211" s="49"/>
      <c r="G211" s="49"/>
      <c r="H211" s="16"/>
      <c r="I211" s="16"/>
      <c r="J211" s="17"/>
      <c r="K211" s="19" t="e">
        <f>J211*100/E211</f>
        <v>#DIV/0!</v>
      </c>
      <c r="L211" s="17" t="e">
        <f>J211*100/D211</f>
        <v>#DIV/0!</v>
      </c>
      <c r="M211" s="17" t="e">
        <f t="shared" si="95"/>
        <v>#DIV/0!</v>
      </c>
    </row>
    <row r="212" spans="1:13" ht="16.5" customHeight="1">
      <c r="A212" s="27" t="s">
        <v>12</v>
      </c>
      <c r="B212" s="26" t="s">
        <v>7</v>
      </c>
      <c r="C212" s="69"/>
      <c r="D212" s="49">
        <f t="shared" si="97"/>
        <v>0</v>
      </c>
      <c r="E212" s="37">
        <f t="shared" si="96"/>
        <v>0</v>
      </c>
      <c r="F212" s="49"/>
      <c r="G212" s="49"/>
      <c r="H212" s="16"/>
      <c r="I212" s="16"/>
      <c r="J212" s="17"/>
      <c r="K212" s="19"/>
      <c r="L212" s="17"/>
      <c r="M212" s="17"/>
    </row>
    <row r="213" spans="1:13" ht="13.5" customHeight="1">
      <c r="A213" s="51" t="s">
        <v>37</v>
      </c>
      <c r="B213" s="15" t="s">
        <v>38</v>
      </c>
      <c r="C213" s="69"/>
      <c r="D213" s="49">
        <f t="shared" si="97"/>
        <v>310</v>
      </c>
      <c r="E213" s="37">
        <f t="shared" si="96"/>
        <v>310</v>
      </c>
      <c r="F213" s="49"/>
      <c r="G213" s="49">
        <v>310</v>
      </c>
      <c r="H213" s="16"/>
      <c r="I213" s="16"/>
      <c r="J213" s="17">
        <v>-20.6</v>
      </c>
      <c r="K213" s="19">
        <f>J213*100/E213</f>
        <v>-6.645161290322581</v>
      </c>
      <c r="L213" s="17">
        <f>J213*100/D213</f>
        <v>-6.645161290322581</v>
      </c>
      <c r="M213" s="17"/>
    </row>
    <row r="214" spans="1:13" ht="24">
      <c r="A214" s="23" t="s">
        <v>1</v>
      </c>
      <c r="B214" s="30" t="s">
        <v>0</v>
      </c>
      <c r="C214" s="70">
        <f>C215+C216</f>
        <v>31010.6</v>
      </c>
      <c r="D214" s="31">
        <f>D215+D216</f>
        <v>41066</v>
      </c>
      <c r="E214" s="31">
        <f>E215</f>
        <v>31066.199999999997</v>
      </c>
      <c r="F214" s="31">
        <f>F215</f>
        <v>7003.1</v>
      </c>
      <c r="G214" s="31">
        <f>G215</f>
        <v>8322.8</v>
      </c>
      <c r="H214" s="31">
        <f>H215</f>
        <v>15740.3</v>
      </c>
      <c r="I214" s="31">
        <f>I215</f>
        <v>9309.8</v>
      </c>
      <c r="J214" s="31">
        <f>J215+J216</f>
        <v>25215.9</v>
      </c>
      <c r="K214" s="25">
        <f>J214*100/E214</f>
        <v>81.16827935183576</v>
      </c>
      <c r="L214" s="22">
        <f>J214*100/D214</f>
        <v>61.40335070374519</v>
      </c>
      <c r="M214" s="22">
        <f>J214*100/C214</f>
        <v>81.31380882665927</v>
      </c>
    </row>
    <row r="215" spans="1:13" ht="24">
      <c r="A215" s="66" t="s">
        <v>52</v>
      </c>
      <c r="B215" s="32" t="s">
        <v>20</v>
      </c>
      <c r="C215" s="69">
        <v>31010.6</v>
      </c>
      <c r="D215" s="49">
        <f t="shared" si="97"/>
        <v>40376</v>
      </c>
      <c r="E215" s="37">
        <f t="shared" si="96"/>
        <v>31066.199999999997</v>
      </c>
      <c r="F215" s="49">
        <v>7003.1</v>
      </c>
      <c r="G215" s="49">
        <v>8322.8</v>
      </c>
      <c r="H215" s="16">
        <v>15740.3</v>
      </c>
      <c r="I215" s="16">
        <v>9309.8</v>
      </c>
      <c r="J215" s="17">
        <v>24215.9</v>
      </c>
      <c r="K215" s="19">
        <f>J215*100/E215</f>
        <v>77.94934687860119</v>
      </c>
      <c r="L215" s="17">
        <f>J215*100/D215</f>
        <v>59.97597582722409</v>
      </c>
      <c r="M215" s="17">
        <f>J215*100/C215</f>
        <v>78.0891050157043</v>
      </c>
    </row>
    <row r="216" spans="1:13" ht="19.5" customHeight="1">
      <c r="A216" s="66" t="s">
        <v>60</v>
      </c>
      <c r="B216" s="33" t="s">
        <v>19</v>
      </c>
      <c r="C216" s="49"/>
      <c r="D216" s="49">
        <f t="shared" si="97"/>
        <v>690</v>
      </c>
      <c r="E216" s="37">
        <f t="shared" si="96"/>
        <v>690</v>
      </c>
      <c r="F216" s="49"/>
      <c r="G216" s="49">
        <v>690</v>
      </c>
      <c r="H216" s="16"/>
      <c r="I216" s="16"/>
      <c r="J216" s="17">
        <v>1000</v>
      </c>
      <c r="K216" s="19">
        <f>J216*100/E216</f>
        <v>144.92753623188406</v>
      </c>
      <c r="L216" s="17">
        <f>J216*100/D216</f>
        <v>144.92753623188406</v>
      </c>
      <c r="M216" s="17"/>
    </row>
    <row r="217" spans="1:13" ht="12.75">
      <c r="A217" s="20"/>
      <c r="B217" s="21" t="s">
        <v>4</v>
      </c>
      <c r="C217" s="22">
        <f aca="true" t="shared" si="98" ref="C217:I217">C214+C204</f>
        <v>37073.6</v>
      </c>
      <c r="D217" s="22">
        <f t="shared" si="98"/>
        <v>47439</v>
      </c>
      <c r="E217" s="22">
        <f t="shared" si="98"/>
        <v>35814.5</v>
      </c>
      <c r="F217" s="52">
        <f t="shared" si="98"/>
        <v>8488.2</v>
      </c>
      <c r="G217" s="52">
        <f t="shared" si="98"/>
        <v>10106.9</v>
      </c>
      <c r="H217" s="52">
        <f t="shared" si="98"/>
        <v>17219.399999999998</v>
      </c>
      <c r="I217" s="52">
        <f t="shared" si="98"/>
        <v>10934.5</v>
      </c>
      <c r="J217" s="22">
        <f>J214+J204</f>
        <v>29789.2</v>
      </c>
      <c r="K217" s="25">
        <f>J217*100/E217</f>
        <v>83.17636711387846</v>
      </c>
      <c r="L217" s="22">
        <f>J217*100/D217</f>
        <v>62.79474693817323</v>
      </c>
      <c r="M217" s="22">
        <f>J217*100/C217</f>
        <v>80.35151698243494</v>
      </c>
    </row>
    <row r="218" spans="1:13" ht="12.75">
      <c r="A218" s="165"/>
      <c r="B218" s="166"/>
      <c r="C218" s="166"/>
      <c r="D218" s="166"/>
      <c r="E218" s="166"/>
      <c r="F218" s="166"/>
      <c r="G218" s="166"/>
      <c r="H218" s="166"/>
      <c r="I218" s="166"/>
      <c r="J218" s="166"/>
      <c r="K218" s="25"/>
      <c r="L218" s="22"/>
      <c r="M218" s="17"/>
    </row>
    <row r="219" spans="1:13" ht="12.75">
      <c r="A219" s="171" t="s">
        <v>34</v>
      </c>
      <c r="B219" s="172"/>
      <c r="C219" s="172"/>
      <c r="D219" s="172"/>
      <c r="E219" s="172"/>
      <c r="F219" s="172"/>
      <c r="G219" s="172"/>
      <c r="H219" s="172"/>
      <c r="I219" s="172"/>
      <c r="J219" s="172"/>
      <c r="K219" s="172"/>
      <c r="L219" s="172"/>
      <c r="M219" s="172"/>
    </row>
    <row r="220" spans="1:13" ht="24">
      <c r="A220" s="23" t="s">
        <v>3</v>
      </c>
      <c r="B220" s="24" t="s">
        <v>53</v>
      </c>
      <c r="C220" s="25">
        <f aca="true" t="shared" si="99" ref="C220:I220">C221+C223+C224+C225+C227+C228+C230+C232+C229+C226+C233+C231+C222</f>
        <v>1206937.7000000002</v>
      </c>
      <c r="D220" s="25">
        <f t="shared" si="99"/>
        <v>1250309.8000000005</v>
      </c>
      <c r="E220" s="25">
        <f t="shared" si="99"/>
        <v>951045.7999999998</v>
      </c>
      <c r="F220" s="25">
        <f t="shared" si="99"/>
        <v>300855.5</v>
      </c>
      <c r="G220" s="25">
        <f t="shared" si="99"/>
        <v>345625.20000000007</v>
      </c>
      <c r="H220" s="25">
        <f t="shared" si="99"/>
        <v>304565.0999999999</v>
      </c>
      <c r="I220" s="25">
        <f t="shared" si="99"/>
        <v>299264.0999999999</v>
      </c>
      <c r="J220" s="25">
        <f>J221+J223+J224+J225+J227+J228+J230+J232+J229+J226+J233+J231+J222</f>
        <v>987397.2</v>
      </c>
      <c r="K220" s="25">
        <f aca="true" t="shared" si="100" ref="K220:K225">J220*100/E220</f>
        <v>103.82225545814936</v>
      </c>
      <c r="L220" s="22">
        <f aca="true" t="shared" si="101" ref="L220:L225">J220*100/D220</f>
        <v>78.97220352907732</v>
      </c>
      <c r="M220" s="22">
        <f aca="true" t="shared" si="102" ref="M220:M232">J220*100/C220</f>
        <v>81.81012159948271</v>
      </c>
    </row>
    <row r="221" spans="1:13" ht="24">
      <c r="A221" s="12" t="s">
        <v>63</v>
      </c>
      <c r="B221" s="46" t="s">
        <v>64</v>
      </c>
      <c r="C221" s="17">
        <f>C9+C32+C48+C66+C84+C103+C119+C136+C153+C171+C188+C205</f>
        <v>866156.9</v>
      </c>
      <c r="D221" s="49">
        <f>F221+G221+H221+I221-0.1</f>
        <v>882992.3</v>
      </c>
      <c r="E221" s="37">
        <f aca="true" t="shared" si="103" ref="E221:E239">F221+G221+H221</f>
        <v>677420.4</v>
      </c>
      <c r="F221" s="17">
        <f>F9+F32+F48+F66+F84+F103+F119+F136+F153+F171+F188+F205</f>
        <v>232603.7</v>
      </c>
      <c r="G221" s="17">
        <f>G9+G32+G48+G66+G84+G103+G119+G136+G153+G171+G188+G205</f>
        <v>232802.2</v>
      </c>
      <c r="H221" s="17">
        <f>H9+H32+H48+H66+H84+H103+H119+H136+H153+H171+H188+H205</f>
        <v>212014.5</v>
      </c>
      <c r="I221" s="17">
        <f>I9+I32+I48+I66+I84+I103+I119+I136+I153+I171+I188+I205</f>
        <v>205571.99999999997</v>
      </c>
      <c r="J221" s="17">
        <f>J9+J32+J48+J66+J84+J103+J119+J136+J153+J171+J188+J205+0.1</f>
        <v>714608.4</v>
      </c>
      <c r="K221" s="19">
        <f t="shared" si="100"/>
        <v>105.48964867311348</v>
      </c>
      <c r="L221" s="17">
        <f t="shared" si="101"/>
        <v>80.93030935830357</v>
      </c>
      <c r="M221" s="17">
        <f t="shared" si="102"/>
        <v>82.5033432164542</v>
      </c>
    </row>
    <row r="222" spans="1:13" ht="36">
      <c r="A222" s="12" t="s">
        <v>62</v>
      </c>
      <c r="B222" s="26" t="s">
        <v>61</v>
      </c>
      <c r="C222" s="17">
        <f>C10+C33+C49+C67+C85+C104+C121+C137+C154+C172+C189+C206</f>
        <v>57105.1</v>
      </c>
      <c r="D222" s="49">
        <f aca="true" t="shared" si="104" ref="D222:D235">F222+G222+H222+I222</f>
        <v>58660.3</v>
      </c>
      <c r="E222" s="37">
        <f t="shared" si="103"/>
        <v>44336.7</v>
      </c>
      <c r="F222" s="17">
        <f>F10+F33+F49+F67+F85+F104+F121+F137+F154+F172+F189+F206</f>
        <v>14264.199999999997</v>
      </c>
      <c r="G222" s="17">
        <f>G10+G33+G49+G67+G85+G104+G121+G137+G154+G172+G189+G206</f>
        <v>14438.8</v>
      </c>
      <c r="H222" s="17">
        <f>H10+H33+H49+H67+H85+H104+H121+H137+H154+H172+H189+H206</f>
        <v>15633.699999999999</v>
      </c>
      <c r="I222" s="17">
        <f>I10+I33+I49+I67+I85+I104+I121+I137+I154+I172+I189+I206</f>
        <v>14323.600000000002</v>
      </c>
      <c r="J222" s="17">
        <f>J10+J33+J49+J67+J85+J104+J121+J137+J154+J172+J189+J206</f>
        <v>45305.1</v>
      </c>
      <c r="K222" s="19">
        <f t="shared" si="100"/>
        <v>102.18419503481316</v>
      </c>
      <c r="L222" s="17">
        <f t="shared" si="101"/>
        <v>77.23298380676539</v>
      </c>
      <c r="M222" s="17">
        <f t="shared" si="102"/>
        <v>79.3363464909439</v>
      </c>
    </row>
    <row r="223" spans="1:13" ht="24">
      <c r="A223" s="12" t="s">
        <v>8</v>
      </c>
      <c r="B223" s="26" t="s">
        <v>5</v>
      </c>
      <c r="C223" s="17">
        <f>C11+C50+C68+C207+C155+C190+C86+C105+C173+C122+C138</f>
        <v>68423</v>
      </c>
      <c r="D223" s="49">
        <f>F223+G223+H223+I223</f>
        <v>68694.9</v>
      </c>
      <c r="E223" s="37">
        <f t="shared" si="103"/>
        <v>55625.6</v>
      </c>
      <c r="F223" s="17">
        <f>F11+F50+F68+F207+F155+F190+F86+F105+F173+F122+F138</f>
        <v>6909.7</v>
      </c>
      <c r="G223" s="17">
        <f>G11+G50+G68+G207+G155+G190+G86+G105+G173+G122+G138</f>
        <v>37037.9</v>
      </c>
      <c r="H223" s="17">
        <f>H11+H50+H68+H207+H155+H190+H86+H105+H173+H122+H138</f>
        <v>11678</v>
      </c>
      <c r="I223" s="17">
        <f>I11+I50+I68+I207+I155+I190+I86+I105+I173+I122+I138</f>
        <v>13069.300000000001</v>
      </c>
      <c r="J223" s="17">
        <f>J11+J50+J68+J207+J155+J190+J86+J105+J173+J122+J138+0.1</f>
        <v>54342.5</v>
      </c>
      <c r="K223" s="19">
        <f t="shared" si="100"/>
        <v>97.69332825174021</v>
      </c>
      <c r="L223" s="17">
        <f t="shared" si="101"/>
        <v>79.107037058064</v>
      </c>
      <c r="M223" s="17">
        <f t="shared" si="102"/>
        <v>79.42139339111118</v>
      </c>
    </row>
    <row r="224" spans="1:13" ht="24">
      <c r="A224" s="12" t="s">
        <v>9</v>
      </c>
      <c r="B224" s="26" t="s">
        <v>6</v>
      </c>
      <c r="C224" s="17">
        <f>C12+C34+C51+C69+C87+C106+C123+C139+C156+C174+C191+C208</f>
        <v>32370.8</v>
      </c>
      <c r="D224" s="49">
        <f t="shared" si="104"/>
        <v>40787.399999999994</v>
      </c>
      <c r="E224" s="37">
        <f t="shared" si="103"/>
        <v>21067.699999999997</v>
      </c>
      <c r="F224" s="17">
        <f>F12+F34+F51+F69+F87+F106+F123+F139+F156+F174+F191+F208</f>
        <v>5377.5</v>
      </c>
      <c r="G224" s="17">
        <f>G12+G34+G51+G69+G87+G106+G123+G139+G156+G174+G191+G208</f>
        <v>4580.9</v>
      </c>
      <c r="H224" s="17">
        <f>H12+H34+H51+H69+H87+H106+H123+H139+H156+H174+H191+H208</f>
        <v>11109.3</v>
      </c>
      <c r="I224" s="17">
        <f>I12+I34+I51+I69+I87+I106+I123+I139+I156+I174+I191+I208</f>
        <v>19719.699999999997</v>
      </c>
      <c r="J224" s="17">
        <f>J12+J34+J51+J69+J87+J106+J123+J139+J156+J174+J191+J208+0.1</f>
        <v>16914</v>
      </c>
      <c r="K224" s="19">
        <f t="shared" si="100"/>
        <v>80.28403670073146</v>
      </c>
      <c r="L224" s="17">
        <f t="shared" si="101"/>
        <v>41.468688859794945</v>
      </c>
      <c r="M224" s="17">
        <f t="shared" si="102"/>
        <v>52.25079392538955</v>
      </c>
    </row>
    <row r="225" spans="1:13" ht="24">
      <c r="A225" s="12" t="s">
        <v>10</v>
      </c>
      <c r="B225" s="26" t="s">
        <v>21</v>
      </c>
      <c r="C225" s="17">
        <f>C13+C35+C52+C70+C88+C107+C124+C140+C157+C175+C192+C209</f>
        <v>4589.1</v>
      </c>
      <c r="D225" s="49">
        <f t="shared" si="104"/>
        <v>4720.9</v>
      </c>
      <c r="E225" s="37">
        <f t="shared" si="103"/>
        <v>3599.5</v>
      </c>
      <c r="F225" s="17">
        <f>F13+F35+F70+F88+F107+F124+F140+F157+F175+F192+F209+F52</f>
        <v>1164.3</v>
      </c>
      <c r="G225" s="17">
        <f>G13+G35+G70+G88+G107+G124+G140+G157+G175+G192+G209+G52</f>
        <v>1286.9</v>
      </c>
      <c r="H225" s="17">
        <f>H13+H35+H70+H88+H107+H124+H140+H157+H175+H192+H209+H52</f>
        <v>1148.3000000000002</v>
      </c>
      <c r="I225" s="17">
        <f>I13+I35+I70+I88+I107+I124+I140+I157+I175+I192+I209+I52</f>
        <v>1121.3999999999999</v>
      </c>
      <c r="J225" s="17">
        <f>J13+J35+J70+J88+J107+J124+J140+J157+J175+J192+J209+J52</f>
        <v>3076.1</v>
      </c>
      <c r="K225" s="19">
        <f t="shared" si="100"/>
        <v>85.45909154049174</v>
      </c>
      <c r="L225" s="17">
        <f t="shared" si="101"/>
        <v>65.15918574848017</v>
      </c>
      <c r="M225" s="17">
        <f t="shared" si="102"/>
        <v>67.03057244339848</v>
      </c>
    </row>
    <row r="226" spans="1:13" ht="24" hidden="1">
      <c r="A226" s="12" t="s">
        <v>35</v>
      </c>
      <c r="B226" s="26" t="s">
        <v>36</v>
      </c>
      <c r="C226" s="34">
        <f>C14</f>
        <v>0</v>
      </c>
      <c r="D226" s="49">
        <f t="shared" si="104"/>
        <v>0</v>
      </c>
      <c r="E226" s="37">
        <f t="shared" si="103"/>
        <v>0</v>
      </c>
      <c r="F226" s="34">
        <f>F14</f>
        <v>0</v>
      </c>
      <c r="G226" s="34">
        <f>G14</f>
        <v>0</v>
      </c>
      <c r="H226" s="34">
        <f>H14</f>
        <v>0</v>
      </c>
      <c r="I226" s="34">
        <f>I14</f>
        <v>0</v>
      </c>
      <c r="J226" s="34">
        <f>J14</f>
        <v>0</v>
      </c>
      <c r="K226" s="19"/>
      <c r="L226" s="17"/>
      <c r="M226" s="17" t="e">
        <f t="shared" si="102"/>
        <v>#DIV/0!</v>
      </c>
    </row>
    <row r="227" spans="1:13" ht="24">
      <c r="A227" s="13" t="s">
        <v>11</v>
      </c>
      <c r="B227" s="26" t="s">
        <v>17</v>
      </c>
      <c r="C227" s="17">
        <f>C15+C36+C53+C71+C89+C108+C125+C141+C158+C176+C193+C210</f>
        <v>133392</v>
      </c>
      <c r="D227" s="49">
        <f t="shared" si="104"/>
        <v>140692.5</v>
      </c>
      <c r="E227" s="37">
        <f t="shared" si="103"/>
        <v>100623</v>
      </c>
      <c r="F227" s="17">
        <f>F15+F36+F53+F71+F89+F108+F125+F141+F158+F176+F193+F210</f>
        <v>22302.6</v>
      </c>
      <c r="G227" s="17">
        <f>G15+G36+G53+G71+G89+G108+G125+G141+G158+G176+G193+G210</f>
        <v>36453.399999999994</v>
      </c>
      <c r="H227" s="17">
        <f>H15+H36+H53+H71+H89+H108+H125+H141+H158+H176+H193+H210</f>
        <v>41867</v>
      </c>
      <c r="I227" s="17">
        <f>I15+I36+I53+I71+I89+I108+I125+I141+I158+I176+I193+I210</f>
        <v>40069.49999999999</v>
      </c>
      <c r="J227" s="17">
        <f>J15+J36+J53+J71+J89+J108+J125+J141+J158+J176+J193+J210</f>
        <v>99781.39999999998</v>
      </c>
      <c r="K227" s="19">
        <f aca="true" t="shared" si="105" ref="K227:K232">J227*100/E227</f>
        <v>99.16361070530593</v>
      </c>
      <c r="L227" s="17">
        <f aca="true" t="shared" si="106" ref="L227:L232">J227*100/D227</f>
        <v>70.92161984469675</v>
      </c>
      <c r="M227" s="17">
        <f t="shared" si="102"/>
        <v>74.80313661988724</v>
      </c>
    </row>
    <row r="228" spans="1:13" ht="12.75">
      <c r="A228" s="27" t="s">
        <v>14</v>
      </c>
      <c r="B228" s="26" t="s">
        <v>13</v>
      </c>
      <c r="C228" s="17">
        <f>C16</f>
        <v>19334</v>
      </c>
      <c r="D228" s="49">
        <f t="shared" si="104"/>
        <v>19334</v>
      </c>
      <c r="E228" s="37">
        <f t="shared" si="103"/>
        <v>20091.8</v>
      </c>
      <c r="F228" s="17">
        <f>F16</f>
        <v>10198.8</v>
      </c>
      <c r="G228" s="17">
        <f>G16</f>
        <v>5060.4</v>
      </c>
      <c r="H228" s="17">
        <f>H16</f>
        <v>4832.6</v>
      </c>
      <c r="I228" s="17">
        <f>I16</f>
        <v>-757.8</v>
      </c>
      <c r="J228" s="17">
        <f>J16</f>
        <v>19004.6</v>
      </c>
      <c r="K228" s="19">
        <f t="shared" si="105"/>
        <v>94.58883723708179</v>
      </c>
      <c r="L228" s="17">
        <f t="shared" si="106"/>
        <v>98.29626564601219</v>
      </c>
      <c r="M228" s="17">
        <f t="shared" si="102"/>
        <v>98.29626564601219</v>
      </c>
    </row>
    <row r="229" spans="1:13" ht="24">
      <c r="A229" s="28" t="s">
        <v>40</v>
      </c>
      <c r="B229" s="26" t="s">
        <v>41</v>
      </c>
      <c r="C229" s="35">
        <f>C17+C90+C54+C109+C142+C159+C177+C194+C126+C72+C37</f>
        <v>1382.5</v>
      </c>
      <c r="D229" s="49">
        <f>F229+G229+H229+I229</f>
        <v>1952.6</v>
      </c>
      <c r="E229" s="37">
        <f t="shared" si="103"/>
        <v>1488.6</v>
      </c>
      <c r="F229" s="35">
        <f>F17+F90+F54+F109+F142+F159+F177+F194+F126+F72+F37</f>
        <v>503.9</v>
      </c>
      <c r="G229" s="35">
        <f>G17+G90+G54+G109+G142+G159+G177+G194+G126+G72+G37</f>
        <v>284.40000000000003</v>
      </c>
      <c r="H229" s="35">
        <f>H17+H90+H54+H109+H142+H159+H177+H194+H126+H72+H37</f>
        <v>700.3</v>
      </c>
      <c r="I229" s="35">
        <f>I17+I90+I54+I109+I142+I159+I177+I194+I126+I72+I37</f>
        <v>464</v>
      </c>
      <c r="J229" s="35">
        <f>J17+J90+J54+J109+J142+J159+J177+J194+J126+J72+J37</f>
        <v>2342.6</v>
      </c>
      <c r="K229" s="19">
        <f t="shared" si="105"/>
        <v>157.36934031976355</v>
      </c>
      <c r="L229" s="17">
        <f t="shared" si="106"/>
        <v>119.97336884154461</v>
      </c>
      <c r="M229" s="17">
        <f t="shared" si="102"/>
        <v>169.44665461121159</v>
      </c>
    </row>
    <row r="230" spans="1:13" ht="24">
      <c r="A230" s="28" t="s">
        <v>18</v>
      </c>
      <c r="B230" s="26" t="s">
        <v>15</v>
      </c>
      <c r="C230" s="17">
        <f>C18+C38+C55+C73+C91+C127+C160+C178+C195+C211+C143</f>
        <v>12052.199999999999</v>
      </c>
      <c r="D230" s="49">
        <f>F230+G230+H230+I230</f>
        <v>21429.1</v>
      </c>
      <c r="E230" s="37">
        <f t="shared" si="103"/>
        <v>16812.7</v>
      </c>
      <c r="F230" s="17">
        <f>F18+F38+F55+F73+F91+F110+F127+F160+F178+F195+F211+F143</f>
        <v>5318</v>
      </c>
      <c r="G230" s="17">
        <f>G18+G38+G55+G73+G91+G110+G127+G160+G178+G195+G211+G143</f>
        <v>6735.9</v>
      </c>
      <c r="H230" s="17">
        <f>H18+H38+H55+H73+H91+H110+H127+H160+H178+H195+H211+H143</f>
        <v>4758.8</v>
      </c>
      <c r="I230" s="17">
        <f>I18+I38+I55+I73+I91+I110+I127+I160+I178+I195+I211+I143</f>
        <v>4616.4</v>
      </c>
      <c r="J230" s="17">
        <f>J18+J38+J55+J73+J91+J127+J160+J178+J195+J211+J143-0.1</f>
        <v>20663.2</v>
      </c>
      <c r="K230" s="19">
        <f t="shared" si="105"/>
        <v>122.90232978641146</v>
      </c>
      <c r="L230" s="17">
        <f t="shared" si="106"/>
        <v>96.42588816142536</v>
      </c>
      <c r="M230" s="17">
        <f t="shared" si="102"/>
        <v>171.4475365493437</v>
      </c>
    </row>
    <row r="231" spans="1:13" ht="12.75">
      <c r="A231" s="28" t="s">
        <v>46</v>
      </c>
      <c r="B231" s="26" t="s">
        <v>47</v>
      </c>
      <c r="C231" s="17">
        <f>C19</f>
        <v>18.6</v>
      </c>
      <c r="D231" s="49">
        <f t="shared" si="104"/>
        <v>18.6</v>
      </c>
      <c r="E231" s="37">
        <f t="shared" si="103"/>
        <v>6</v>
      </c>
      <c r="F231" s="17">
        <f>F19</f>
        <v>0</v>
      </c>
      <c r="G231" s="17">
        <f>G19</f>
        <v>1.5</v>
      </c>
      <c r="H231" s="17">
        <f>H19</f>
        <v>4.5</v>
      </c>
      <c r="I231" s="17">
        <f>I19</f>
        <v>12.6</v>
      </c>
      <c r="J231" s="17">
        <f>J19</f>
        <v>0</v>
      </c>
      <c r="K231" s="19">
        <f t="shared" si="105"/>
        <v>0</v>
      </c>
      <c r="L231" s="17">
        <f t="shared" si="106"/>
        <v>0</v>
      </c>
      <c r="M231" s="17">
        <f t="shared" si="102"/>
        <v>0</v>
      </c>
    </row>
    <row r="232" spans="1:13" ht="24">
      <c r="A232" s="20" t="s">
        <v>12</v>
      </c>
      <c r="B232" s="26" t="s">
        <v>7</v>
      </c>
      <c r="C232" s="17">
        <f>C20+C196+C212+C74+C144+C56+C161+C92+C179+C110</f>
        <v>12113.5</v>
      </c>
      <c r="D232" s="49">
        <f t="shared" si="104"/>
        <v>9496.599999999999</v>
      </c>
      <c r="E232" s="37">
        <f t="shared" si="103"/>
        <v>8443.199999999999</v>
      </c>
      <c r="F232" s="17">
        <f>F20+F196+F212+F74+F144+F56+F161+F92+F179</f>
        <v>2212.8</v>
      </c>
      <c r="G232" s="17">
        <f>G20+G196+G212+G74+G144+G56+G161+G92+G179</f>
        <v>5412.299999999999</v>
      </c>
      <c r="H232" s="17">
        <f>H20+H196+H212+H74+H144+H56+H161+H92+H179</f>
        <v>818.1</v>
      </c>
      <c r="I232" s="17">
        <f>I20+I196+I212+I74+I144+I56+I161+I92+I179</f>
        <v>1053.4</v>
      </c>
      <c r="J232" s="17">
        <f>J20+J196+J212+J74+J144+J56+J161+J92+J179+J110+J39-0.1</f>
        <v>10267.8</v>
      </c>
      <c r="K232" s="19">
        <f t="shared" si="105"/>
        <v>121.61028993746447</v>
      </c>
      <c r="L232" s="17">
        <f t="shared" si="106"/>
        <v>108.12080112882506</v>
      </c>
      <c r="M232" s="17">
        <f t="shared" si="102"/>
        <v>84.76328063730547</v>
      </c>
    </row>
    <row r="233" spans="1:13" ht="24">
      <c r="A233" s="29" t="s">
        <v>37</v>
      </c>
      <c r="B233" s="15" t="s">
        <v>38</v>
      </c>
      <c r="C233" s="17">
        <f>C21+C40+C57+C75+C93+C111+C129+C145+C162+C180+C197+C213</f>
        <v>0</v>
      </c>
      <c r="D233" s="49">
        <f t="shared" si="104"/>
        <v>1530.6</v>
      </c>
      <c r="E233" s="37">
        <f t="shared" si="103"/>
        <v>1530.6</v>
      </c>
      <c r="F233" s="17">
        <v>0</v>
      </c>
      <c r="G233" s="17">
        <f>G21+G40+G57+G75+G93+G111+G129+G145+G162+G180+G197+G213</f>
        <v>1530.6</v>
      </c>
      <c r="H233" s="17">
        <f>H21+H40+H57+H75+H93+H111+H129+H145+H162+H180+H197+H213</f>
        <v>0</v>
      </c>
      <c r="I233" s="17">
        <f>I21+I40+I57+I75+I93+I111+I129+I145+I162+I180+I197+I213</f>
        <v>0</v>
      </c>
      <c r="J233" s="17">
        <f>J21+J40+J57+J75+J93+J111+J129+J145+J162+J180+J197+J213</f>
        <v>1091.5</v>
      </c>
      <c r="K233" s="19">
        <f>J233*100/E233</f>
        <v>71.31190382856397</v>
      </c>
      <c r="L233" s="17">
        <f>J233*100/D233</f>
        <v>71.31190382856397</v>
      </c>
      <c r="M233" s="17"/>
    </row>
    <row r="234" spans="1:13" ht="24">
      <c r="A234" s="23" t="s">
        <v>1</v>
      </c>
      <c r="B234" s="30" t="s">
        <v>0</v>
      </c>
      <c r="C234" s="31">
        <f>C235+C237+C239+C238+C236</f>
        <v>3967377.9</v>
      </c>
      <c r="D234" s="31">
        <f>D235+D237+D239+D238+D236+0.1</f>
        <v>4289353.399999999</v>
      </c>
      <c r="E234" s="31">
        <f>E235+E237+E239+E238+E236</f>
        <v>2565404.6000000006</v>
      </c>
      <c r="F234" s="31">
        <f>F235+F237+F239+F238+F236</f>
        <v>596267.3</v>
      </c>
      <c r="G234" s="31">
        <f>G235+G237+G239+G238+G236</f>
        <v>1015257.2999999999</v>
      </c>
      <c r="H234" s="31">
        <f>H235+H237+H239+H238+H236</f>
        <v>953880</v>
      </c>
      <c r="I234" s="31">
        <f>I235+I237+I239+I238+I236</f>
        <v>1723522.5999999999</v>
      </c>
      <c r="J234" s="31">
        <f>J235+J237+J239+J238+J236+0.1</f>
        <v>2291520.3000000003</v>
      </c>
      <c r="K234" s="25">
        <f aca="true" t="shared" si="107" ref="K234:K240">J234*100/E234</f>
        <v>89.32393354249072</v>
      </c>
      <c r="L234" s="22">
        <f aca="true" t="shared" si="108" ref="L234:L240">J234*100/D234</f>
        <v>53.423443729304296</v>
      </c>
      <c r="M234" s="22">
        <f>J234*100/C234</f>
        <v>57.759062982127325</v>
      </c>
    </row>
    <row r="235" spans="1:13" ht="24">
      <c r="A235" s="66" t="s">
        <v>52</v>
      </c>
      <c r="B235" s="32" t="s">
        <v>20</v>
      </c>
      <c r="C235" s="16">
        <f>C23-40965</f>
        <v>3967377.9</v>
      </c>
      <c r="D235" s="49">
        <f t="shared" si="104"/>
        <v>4259958.3</v>
      </c>
      <c r="E235" s="37">
        <f t="shared" si="103"/>
        <v>2566435.7</v>
      </c>
      <c r="F235" s="16">
        <f>F23-10241.2</f>
        <v>599158.2000000001</v>
      </c>
      <c r="G235" s="16">
        <f>G23-10264.3</f>
        <v>1013682.1</v>
      </c>
      <c r="H235" s="16">
        <f>H23-10297.4</f>
        <v>953595.4</v>
      </c>
      <c r="I235" s="16">
        <f>I23-10541.1</f>
        <v>1693522.5999999999</v>
      </c>
      <c r="J235" s="16">
        <f>J23-23191.1</f>
        <v>2241924</v>
      </c>
      <c r="K235" s="19">
        <f t="shared" si="107"/>
        <v>87.35554917662655</v>
      </c>
      <c r="L235" s="17">
        <f t="shared" si="108"/>
        <v>52.627839103495454</v>
      </c>
      <c r="M235" s="17">
        <f>J235*100/C235</f>
        <v>56.508960237944564</v>
      </c>
    </row>
    <row r="236" spans="1:13" ht="24">
      <c r="A236" s="66" t="s">
        <v>69</v>
      </c>
      <c r="B236" s="32" t="s">
        <v>70</v>
      </c>
      <c r="C236" s="16"/>
      <c r="D236" s="16">
        <f aca="true" t="shared" si="109" ref="D236:I236">D24+D78+D97+D200</f>
        <v>1134.6</v>
      </c>
      <c r="E236" s="16">
        <f t="shared" si="109"/>
        <v>1134.6</v>
      </c>
      <c r="F236" s="16">
        <f t="shared" si="109"/>
        <v>0</v>
      </c>
      <c r="G236" s="16">
        <f t="shared" si="109"/>
        <v>850</v>
      </c>
      <c r="H236" s="16">
        <f t="shared" si="109"/>
        <v>284.6</v>
      </c>
      <c r="I236" s="16">
        <f t="shared" si="109"/>
        <v>0</v>
      </c>
      <c r="J236" s="16">
        <f>J24+J78+J97+J200</f>
        <v>1553.6</v>
      </c>
      <c r="K236" s="19">
        <f t="shared" si="107"/>
        <v>136.92931429578707</v>
      </c>
      <c r="L236" s="17">
        <f t="shared" si="108"/>
        <v>136.92931429578707</v>
      </c>
      <c r="M236" s="17"/>
    </row>
    <row r="237" spans="1:13" ht="12.75" customHeight="1">
      <c r="A237" s="66" t="s">
        <v>60</v>
      </c>
      <c r="B237" s="33" t="s">
        <v>19</v>
      </c>
      <c r="C237" s="17">
        <f aca="true" t="shared" si="110" ref="C237:I237">C25+C98+C165+C216+C79+C114+C183</f>
        <v>0</v>
      </c>
      <c r="D237" s="17">
        <f t="shared" si="110"/>
        <v>31773.2</v>
      </c>
      <c r="E237" s="17">
        <f t="shared" si="110"/>
        <v>1773.2</v>
      </c>
      <c r="F237" s="17">
        <f t="shared" si="110"/>
        <v>1048</v>
      </c>
      <c r="G237" s="17">
        <f t="shared" si="110"/>
        <v>725.2</v>
      </c>
      <c r="H237" s="17">
        <f t="shared" si="110"/>
        <v>0</v>
      </c>
      <c r="I237" s="17">
        <f t="shared" si="110"/>
        <v>30000</v>
      </c>
      <c r="J237" s="17">
        <f>J25+J98+J165+J216+J79+J114+J183</f>
        <v>51981.5</v>
      </c>
      <c r="K237" s="19">
        <f t="shared" si="107"/>
        <v>2931.508008120911</v>
      </c>
      <c r="L237" s="17">
        <f t="shared" si="108"/>
        <v>163.6017146526003</v>
      </c>
      <c r="M237" s="17"/>
    </row>
    <row r="238" spans="1:13" ht="63" customHeight="1" hidden="1">
      <c r="A238" s="66" t="s">
        <v>59</v>
      </c>
      <c r="B238" s="15" t="s">
        <v>50</v>
      </c>
      <c r="C238" s="17"/>
      <c r="D238" s="49">
        <f>470.7-470.7</f>
        <v>0</v>
      </c>
      <c r="E238" s="37">
        <f t="shared" si="103"/>
        <v>0</v>
      </c>
      <c r="F238" s="17">
        <f>-470.7+470.7</f>
        <v>0</v>
      </c>
      <c r="G238" s="17"/>
      <c r="H238" s="17"/>
      <c r="I238" s="17"/>
      <c r="J238" s="17"/>
      <c r="K238" s="19" t="e">
        <f t="shared" si="107"/>
        <v>#DIV/0!</v>
      </c>
      <c r="L238" s="17" t="e">
        <f t="shared" si="108"/>
        <v>#DIV/0!</v>
      </c>
      <c r="M238" s="17" t="e">
        <f>J238*100/C238</f>
        <v>#DIV/0!</v>
      </c>
    </row>
    <row r="239" spans="1:13" ht="36">
      <c r="A239" s="66" t="s">
        <v>51</v>
      </c>
      <c r="B239" s="18" t="s">
        <v>49</v>
      </c>
      <c r="C239" s="17">
        <f>C27</f>
        <v>0</v>
      </c>
      <c r="D239" s="49">
        <f>F239+G239+H239+I239+D148</f>
        <v>-3512.8</v>
      </c>
      <c r="E239" s="37">
        <f t="shared" si="103"/>
        <v>-3938.9</v>
      </c>
      <c r="F239" s="17">
        <f>F27</f>
        <v>-3938.9</v>
      </c>
      <c r="G239" s="17">
        <f>G27</f>
        <v>0</v>
      </c>
      <c r="H239" s="17">
        <f>H27</f>
        <v>0</v>
      </c>
      <c r="I239" s="17">
        <f>I27</f>
        <v>0</v>
      </c>
      <c r="J239" s="17">
        <f>J27</f>
        <v>-3938.9</v>
      </c>
      <c r="K239" s="19">
        <f t="shared" si="107"/>
        <v>100</v>
      </c>
      <c r="L239" s="17">
        <f t="shared" si="108"/>
        <v>112.12992484627647</v>
      </c>
      <c r="M239" s="17"/>
    </row>
    <row r="240" spans="1:13" ht="12.75">
      <c r="A240" s="20"/>
      <c r="B240" s="21" t="s">
        <v>4</v>
      </c>
      <c r="C240" s="22">
        <f aca="true" t="shared" si="111" ref="C240:I240">C234+C220</f>
        <v>5174315.6</v>
      </c>
      <c r="D240" s="22">
        <f>D234+D220</f>
        <v>5539663.2</v>
      </c>
      <c r="E240" s="22">
        <f t="shared" si="111"/>
        <v>3516450.4000000004</v>
      </c>
      <c r="F240" s="22">
        <f t="shared" si="111"/>
        <v>897122.8</v>
      </c>
      <c r="G240" s="22">
        <f t="shared" si="111"/>
        <v>1360882.5</v>
      </c>
      <c r="H240" s="22">
        <f t="shared" si="111"/>
        <v>1258445.0999999999</v>
      </c>
      <c r="I240" s="22">
        <f t="shared" si="111"/>
        <v>2022786.6999999997</v>
      </c>
      <c r="J240" s="22">
        <f>J234+J220</f>
        <v>3278917.5</v>
      </c>
      <c r="K240" s="25">
        <f t="shared" si="107"/>
        <v>93.24509454192784</v>
      </c>
      <c r="L240" s="22">
        <f t="shared" si="108"/>
        <v>59.18983486216274</v>
      </c>
      <c r="M240" s="22">
        <f>J240*100/C240</f>
        <v>63.36910527838697</v>
      </c>
    </row>
    <row r="241" spans="2:8" ht="12.75">
      <c r="B241" s="8"/>
      <c r="C241" s="8"/>
      <c r="D241" s="8"/>
      <c r="E241" s="8"/>
      <c r="F241" s="8"/>
      <c r="G241" s="8"/>
      <c r="H241" s="2"/>
    </row>
    <row r="242" spans="2:10" ht="12.75">
      <c r="B242" s="9" t="s">
        <v>45</v>
      </c>
      <c r="C242" s="9"/>
      <c r="D242" s="48" t="b">
        <f>O229=D234-D235</f>
        <v>0</v>
      </c>
      <c r="E242" s="9"/>
      <c r="F242" s="9"/>
      <c r="G242" s="9"/>
      <c r="H242" s="3"/>
      <c r="I242" s="3"/>
      <c r="J242" s="5"/>
    </row>
    <row r="243" spans="2:10" ht="12.75" hidden="1">
      <c r="B243" s="9"/>
      <c r="C243" s="9"/>
      <c r="D243" s="9"/>
      <c r="E243" s="9"/>
      <c r="F243" s="9"/>
      <c r="G243" s="9"/>
      <c r="H243" s="3" t="s">
        <v>48</v>
      </c>
      <c r="I243" s="3">
        <f>I242-I220</f>
        <v>-299264.0999999999</v>
      </c>
      <c r="J243" s="4"/>
    </row>
    <row r="244" spans="1:10" ht="12.75" hidden="1">
      <c r="A244" s="2"/>
      <c r="B244" s="9"/>
      <c r="C244" s="9"/>
      <c r="D244" s="9"/>
      <c r="E244" s="9"/>
      <c r="F244" s="9"/>
      <c r="G244" s="9"/>
      <c r="H244" s="6"/>
      <c r="I244" s="3"/>
      <c r="J244" s="5"/>
    </row>
    <row r="245" spans="2:10" ht="12.75" hidden="1">
      <c r="B245" s="10"/>
      <c r="C245" s="10"/>
      <c r="D245" s="10"/>
      <c r="E245" s="10"/>
      <c r="F245" s="10"/>
      <c r="G245" s="10"/>
      <c r="H245" s="3"/>
      <c r="I245" s="3">
        <f>I244-I234</f>
        <v>-1723522.5999999999</v>
      </c>
      <c r="J245" s="5"/>
    </row>
    <row r="246" spans="2:10" ht="12.75" hidden="1">
      <c r="B246" s="10"/>
      <c r="C246" s="10"/>
      <c r="D246" s="10"/>
      <c r="E246" s="10"/>
      <c r="F246" s="10"/>
      <c r="G246" s="10"/>
      <c r="H246" s="6"/>
      <c r="I246" s="3" t="e">
        <f>#REF!+#REF!+#REF!+#REF!+#REF!+#REF!+#REF!+#REF!+#REF!+#REF!</f>
        <v>#REF!</v>
      </c>
      <c r="J246" s="5"/>
    </row>
    <row r="247" spans="1:10" ht="12.75" hidden="1">
      <c r="A247" s="2">
        <f>I220+I234</f>
        <v>2022786.6999999997</v>
      </c>
      <c r="B247" s="11"/>
      <c r="C247" s="11"/>
      <c r="D247" s="11"/>
      <c r="E247" s="11"/>
      <c r="F247" s="11"/>
      <c r="G247" s="11"/>
      <c r="H247" s="6"/>
      <c r="I247" s="3" t="e">
        <f>I246-#REF!</f>
        <v>#REF!</v>
      </c>
      <c r="J247" s="5"/>
    </row>
    <row r="248" spans="1:10" ht="12.75" hidden="1">
      <c r="A248" s="2" t="e">
        <f>#REF!+#REF!</f>
        <v>#REF!</v>
      </c>
      <c r="B248" s="10"/>
      <c r="C248" s="10"/>
      <c r="D248" s="10"/>
      <c r="E248" s="10"/>
      <c r="F248" s="10"/>
      <c r="G248" s="10"/>
      <c r="H248" s="6"/>
      <c r="I248" s="3" t="e">
        <f>I242+I244+I246</f>
        <v>#REF!</v>
      </c>
      <c r="J248" s="5"/>
    </row>
    <row r="249" spans="1:10" ht="12.75" hidden="1">
      <c r="A249" s="2" t="e">
        <f>I220+#REF!</f>
        <v>#REF!</v>
      </c>
      <c r="B249" s="9"/>
      <c r="C249" s="9"/>
      <c r="D249" s="9"/>
      <c r="E249" s="9"/>
      <c r="F249" s="9"/>
      <c r="G249" s="9"/>
      <c r="H249" s="6"/>
      <c r="I249" s="3">
        <f>I28+I44+I62+I80+I99+I115+I132+I149+I167+I184+I201+I217-I214-I198-I181-I163-I146-I130-I112-I95-I76-I41-I58</f>
        <v>2033327.8</v>
      </c>
      <c r="J249" s="5"/>
    </row>
    <row r="250" spans="1:10" ht="12.75" hidden="1">
      <c r="A250" s="2" t="e">
        <f>I234+#REF!</f>
        <v>#REF!</v>
      </c>
      <c r="B250" s="9"/>
      <c r="C250" s="9"/>
      <c r="D250" s="9"/>
      <c r="E250" s="9"/>
      <c r="F250" s="9"/>
      <c r="G250" s="9"/>
      <c r="H250" s="6"/>
      <c r="I250" s="3">
        <f>I249-I240</f>
        <v>10541.100000000326</v>
      </c>
      <c r="J250" s="5"/>
    </row>
    <row r="251" spans="2:10" ht="12.75" hidden="1">
      <c r="B251" s="9"/>
      <c r="C251" s="9"/>
      <c r="D251" s="9"/>
      <c r="E251" s="9"/>
      <c r="F251" s="9"/>
      <c r="G251" s="9"/>
      <c r="H251" s="6"/>
      <c r="I251" s="3"/>
      <c r="J251" s="5"/>
    </row>
    <row r="252" spans="2:10" ht="12.75" hidden="1">
      <c r="B252" s="8"/>
      <c r="C252" s="8"/>
      <c r="D252" s="8"/>
      <c r="E252" s="8"/>
      <c r="F252" s="8"/>
      <c r="G252" s="8"/>
      <c r="H252" s="5"/>
      <c r="I252" s="4"/>
      <c r="J252" s="5"/>
    </row>
    <row r="253" spans="2:10" ht="12.75">
      <c r="B253" s="8"/>
      <c r="C253" s="8"/>
      <c r="D253" s="8"/>
      <c r="E253" s="36"/>
      <c r="F253" s="36"/>
      <c r="G253" s="36"/>
      <c r="H253" s="36"/>
      <c r="I253" s="36"/>
      <c r="J253" s="36"/>
    </row>
    <row r="254" spans="2:10" ht="12.75">
      <c r="B254" s="8"/>
      <c r="C254" s="8"/>
      <c r="D254" s="8"/>
      <c r="E254" s="8"/>
      <c r="F254" s="8"/>
      <c r="G254" s="8"/>
      <c r="H254" s="5"/>
      <c r="I254" s="4"/>
      <c r="J254" s="5"/>
    </row>
    <row r="255" spans="2:10" ht="12.75">
      <c r="B255" s="8"/>
      <c r="C255" s="36"/>
      <c r="D255" s="36"/>
      <c r="E255" s="36"/>
      <c r="F255" s="36"/>
      <c r="G255" s="36"/>
      <c r="H255" s="36"/>
      <c r="I255" s="36"/>
      <c r="J255" s="36"/>
    </row>
    <row r="256" spans="3:10" ht="12.75">
      <c r="C256" s="2"/>
      <c r="D256" s="2"/>
      <c r="E256" s="2"/>
      <c r="F256" s="2"/>
      <c r="G256" s="2"/>
      <c r="H256" s="2"/>
      <c r="I256" s="2"/>
      <c r="J256" s="2"/>
    </row>
    <row r="257" spans="8:10" ht="12.75">
      <c r="H257" s="5"/>
      <c r="I257" s="4"/>
      <c r="J257" s="5"/>
    </row>
    <row r="258" spans="8:10" ht="12.75">
      <c r="H258" s="5"/>
      <c r="I258" s="4"/>
      <c r="J258" s="5"/>
    </row>
    <row r="259" spans="2:10" ht="12.75">
      <c r="B259" s="8"/>
      <c r="C259" s="8"/>
      <c r="D259" s="8"/>
      <c r="E259" s="8"/>
      <c r="F259" s="8"/>
      <c r="G259" s="8"/>
      <c r="H259" s="5"/>
      <c r="I259" s="4"/>
      <c r="J259" s="5"/>
    </row>
    <row r="260" spans="2:10" ht="12.75">
      <c r="B260" s="8"/>
      <c r="C260" s="8"/>
      <c r="D260" s="8"/>
      <c r="E260" s="8"/>
      <c r="F260" s="8"/>
      <c r="G260" s="8"/>
      <c r="H260" s="5"/>
      <c r="I260" s="4"/>
      <c r="J260" s="5"/>
    </row>
    <row r="261" spans="2:10" ht="12.75">
      <c r="B261" s="8"/>
      <c r="C261" s="8"/>
      <c r="D261" s="8"/>
      <c r="E261" s="8"/>
      <c r="F261" s="8"/>
      <c r="G261" s="8"/>
      <c r="H261" s="5"/>
      <c r="I261" s="4"/>
      <c r="J261" s="5"/>
    </row>
    <row r="262" spans="2:10" ht="12.75">
      <c r="B262" s="8"/>
      <c r="C262" s="8"/>
      <c r="D262" s="8"/>
      <c r="E262" s="8"/>
      <c r="F262" s="8"/>
      <c r="G262" s="8"/>
      <c r="H262" s="5"/>
      <c r="I262" s="4"/>
      <c r="J262" s="5"/>
    </row>
    <row r="263" spans="2:10" ht="12.75">
      <c r="B263" s="8"/>
      <c r="C263" s="8"/>
      <c r="D263" s="8"/>
      <c r="E263" s="8"/>
      <c r="F263" s="8"/>
      <c r="G263" s="8"/>
      <c r="H263" s="4"/>
      <c r="I263" s="4"/>
      <c r="J263" s="4"/>
    </row>
    <row r="264" spans="2:10" ht="12.75">
      <c r="B264" s="8"/>
      <c r="C264" s="8"/>
      <c r="D264" s="8"/>
      <c r="E264" s="8"/>
      <c r="F264" s="8"/>
      <c r="G264" s="8"/>
      <c r="H264" s="5"/>
      <c r="I264" s="5"/>
      <c r="J264" s="5"/>
    </row>
    <row r="265" spans="2:10" ht="12.75">
      <c r="B265" s="8"/>
      <c r="C265" s="8"/>
      <c r="D265" s="8"/>
      <c r="E265" s="8"/>
      <c r="F265" s="8"/>
      <c r="G265" s="8"/>
      <c r="H265" s="7"/>
      <c r="I265" s="4"/>
      <c r="J265" s="5"/>
    </row>
  </sheetData>
  <sheetProtection password="CF7A" sheet="1"/>
  <mergeCells count="38">
    <mergeCell ref="A150:J150"/>
    <mergeCell ref="I4:I6"/>
    <mergeCell ref="F4:F6"/>
    <mergeCell ref="A133:J133"/>
    <mergeCell ref="A219:M219"/>
    <mergeCell ref="A203:M203"/>
    <mergeCell ref="A186:M186"/>
    <mergeCell ref="A169:M169"/>
    <mergeCell ref="A151:M151"/>
    <mergeCell ref="A134:M134"/>
    <mergeCell ref="A185:J185"/>
    <mergeCell ref="A29:J29"/>
    <mergeCell ref="A218:J218"/>
    <mergeCell ref="A202:J202"/>
    <mergeCell ref="A168:J168"/>
    <mergeCell ref="J4:J6"/>
    <mergeCell ref="G4:G6"/>
    <mergeCell ref="A117:M117"/>
    <mergeCell ref="A101:M101"/>
    <mergeCell ref="A82:M82"/>
    <mergeCell ref="A1:M1"/>
    <mergeCell ref="L4:L6"/>
    <mergeCell ref="A2:J2"/>
    <mergeCell ref="D4:D6"/>
    <mergeCell ref="H4:H6"/>
    <mergeCell ref="C4:C6"/>
    <mergeCell ref="M4:M6"/>
    <mergeCell ref="E4:E6"/>
    <mergeCell ref="A116:J116"/>
    <mergeCell ref="B45:J45"/>
    <mergeCell ref="K4:K6"/>
    <mergeCell ref="A81:J81"/>
    <mergeCell ref="A46:M46"/>
    <mergeCell ref="A30:M30"/>
    <mergeCell ref="A63:J63"/>
    <mergeCell ref="A100:J100"/>
    <mergeCell ref="A64:M64"/>
    <mergeCell ref="A7:M7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85" zoomScaleNormal="85" zoomScalePageLayoutView="0" workbookViewId="0" topLeftCell="A112">
      <selection activeCell="G168" sqref="G168"/>
    </sheetView>
  </sheetViews>
  <sheetFormatPr defaultColWidth="9.00390625" defaultRowHeight="12.75"/>
  <cols>
    <col min="1" max="1" width="6.25390625" style="0" customWidth="1"/>
    <col min="2" max="2" width="69.25390625" style="0" customWidth="1"/>
    <col min="3" max="3" width="13.25390625" style="0" customWidth="1"/>
    <col min="4" max="4" width="13.625" style="0" customWidth="1"/>
    <col min="6" max="6" width="13.125" style="0" customWidth="1"/>
    <col min="7" max="7" width="12.25390625" style="0" customWidth="1"/>
    <col min="9" max="9" width="13.375" style="0" hidden="1" customWidth="1"/>
    <col min="10" max="10" width="12.75390625" style="0" hidden="1" customWidth="1"/>
    <col min="11" max="11" width="13.25390625" style="0" customWidth="1"/>
    <col min="12" max="12" width="14.25390625" style="0" hidden="1" customWidth="1"/>
    <col min="13" max="13" width="12.75390625" style="0" hidden="1" customWidth="1"/>
    <col min="14" max="14" width="13.75390625" style="0" customWidth="1"/>
    <col min="15" max="15" width="12.25390625" style="0" customWidth="1"/>
  </cols>
  <sheetData>
    <row r="1" spans="1:15" ht="15.75">
      <c r="A1" s="194" t="s">
        <v>75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1:15" ht="13.5" thickBot="1">
      <c r="A2" s="73"/>
      <c r="B2" s="74"/>
      <c r="C2" s="75"/>
      <c r="D2" s="76"/>
      <c r="E2" s="77"/>
      <c r="F2" s="78"/>
      <c r="G2" s="78"/>
      <c r="H2" s="79"/>
      <c r="I2" s="79"/>
      <c r="J2" s="79"/>
      <c r="K2" s="80"/>
      <c r="L2" s="79"/>
      <c r="M2" s="80"/>
      <c r="N2" s="81"/>
      <c r="O2" s="80"/>
    </row>
    <row r="3" spans="1:15" ht="15">
      <c r="A3" s="195" t="s">
        <v>76</v>
      </c>
      <c r="B3" s="197" t="s">
        <v>77</v>
      </c>
      <c r="C3" s="199" t="s">
        <v>78</v>
      </c>
      <c r="D3" s="199"/>
      <c r="E3" s="199"/>
      <c r="F3" s="200" t="s">
        <v>79</v>
      </c>
      <c r="G3" s="200"/>
      <c r="H3" s="200"/>
      <c r="I3" s="201" t="s">
        <v>80</v>
      </c>
      <c r="J3" s="202"/>
      <c r="K3" s="202"/>
      <c r="L3" s="202"/>
      <c r="M3" s="202"/>
      <c r="N3" s="202"/>
      <c r="O3" s="203"/>
    </row>
    <row r="4" spans="1:15" ht="12.75">
      <c r="A4" s="196"/>
      <c r="B4" s="198"/>
      <c r="C4" s="189" t="s">
        <v>81</v>
      </c>
      <c r="D4" s="189" t="s">
        <v>82</v>
      </c>
      <c r="E4" s="190" t="s">
        <v>83</v>
      </c>
      <c r="F4" s="189" t="s">
        <v>81</v>
      </c>
      <c r="G4" s="189" t="s">
        <v>82</v>
      </c>
      <c r="H4" s="190" t="s">
        <v>83</v>
      </c>
      <c r="I4" s="182" t="s">
        <v>84</v>
      </c>
      <c r="J4" s="182" t="s">
        <v>85</v>
      </c>
      <c r="K4" s="192" t="s">
        <v>81</v>
      </c>
      <c r="L4" s="182" t="s">
        <v>86</v>
      </c>
      <c r="M4" s="182" t="s">
        <v>85</v>
      </c>
      <c r="N4" s="183" t="s">
        <v>87</v>
      </c>
      <c r="O4" s="184" t="s">
        <v>83</v>
      </c>
    </row>
    <row r="5" spans="1:15" ht="71.25" customHeight="1">
      <c r="A5" s="196"/>
      <c r="B5" s="198"/>
      <c r="C5" s="204"/>
      <c r="D5" s="189"/>
      <c r="E5" s="205"/>
      <c r="F5" s="204"/>
      <c r="G5" s="189"/>
      <c r="H5" s="191"/>
      <c r="I5" s="182"/>
      <c r="J5" s="182"/>
      <c r="K5" s="193"/>
      <c r="L5" s="182"/>
      <c r="M5" s="182"/>
      <c r="N5" s="183"/>
      <c r="O5" s="185"/>
    </row>
    <row r="6" spans="1:15" ht="12.75">
      <c r="A6" s="196"/>
      <c r="B6" s="186" t="s">
        <v>88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</row>
    <row r="7" spans="1:15" ht="12.75">
      <c r="A7" s="19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</row>
    <row r="8" spans="1:15" ht="12.75">
      <c r="A8" s="19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1:15" ht="15">
      <c r="A9" s="82"/>
      <c r="B9" s="87"/>
      <c r="C9" s="87"/>
      <c r="D9" s="87"/>
      <c r="E9" s="87"/>
      <c r="F9" s="87"/>
      <c r="G9" s="87"/>
      <c r="H9" s="87"/>
      <c r="I9" s="87"/>
      <c r="J9" s="87"/>
      <c r="K9" s="87"/>
      <c r="L9" s="83"/>
      <c r="M9" s="87"/>
      <c r="N9" s="87"/>
      <c r="O9" s="88"/>
    </row>
    <row r="10" spans="1:15" ht="18" customHeight="1">
      <c r="A10" s="89" t="s">
        <v>89</v>
      </c>
      <c r="B10" s="90" t="s">
        <v>90</v>
      </c>
      <c r="C10" s="91">
        <f>SUM(C11:C18)</f>
        <v>504030.10000000003</v>
      </c>
      <c r="D10" s="91">
        <f>SUM(D11:D18)</f>
        <v>252640.69999999998</v>
      </c>
      <c r="E10" s="91">
        <f>D10/C10*100</f>
        <v>50.12412949147282</v>
      </c>
      <c r="F10" s="91">
        <f>F11+F12+F13+F14+F15+F17+F18+F16</f>
        <v>267124.6</v>
      </c>
      <c r="G10" s="91">
        <f>SUM(G11:G18)</f>
        <v>192569.3</v>
      </c>
      <c r="H10" s="92">
        <f>G10/F10*100</f>
        <v>72.0896914773106</v>
      </c>
      <c r="I10" s="91">
        <f aca="true" t="shared" si="0" ref="I10:N10">SUM(I11:I18)</f>
        <v>771154.7</v>
      </c>
      <c r="J10" s="91">
        <f>SUM(J11:J18)</f>
        <v>9298.3</v>
      </c>
      <c r="K10" s="91">
        <f>SUM(K11:K18)</f>
        <v>761856.4000000001</v>
      </c>
      <c r="L10" s="91">
        <f t="shared" si="0"/>
        <v>445210.0000000001</v>
      </c>
      <c r="M10" s="91">
        <f t="shared" si="0"/>
        <v>4257.3</v>
      </c>
      <c r="N10" s="91">
        <f t="shared" si="0"/>
        <v>440952.70000000007</v>
      </c>
      <c r="O10" s="93">
        <f>N10/K10*100</f>
        <v>57.878715726480735</v>
      </c>
    </row>
    <row r="11" spans="1:15" ht="15" customHeight="1">
      <c r="A11" s="94" t="s">
        <v>91</v>
      </c>
      <c r="B11" s="95" t="s">
        <v>92</v>
      </c>
      <c r="C11" s="96">
        <v>5985.8</v>
      </c>
      <c r="D11" s="96">
        <v>3536.9</v>
      </c>
      <c r="E11" s="84">
        <f>D11/C11*100</f>
        <v>59.08817534832437</v>
      </c>
      <c r="F11" s="97">
        <v>53234.2</v>
      </c>
      <c r="G11" s="97">
        <v>42798.4</v>
      </c>
      <c r="H11" s="85">
        <f>G11/F11*100</f>
        <v>80.39643687704522</v>
      </c>
      <c r="I11" s="98">
        <f>C11+F11</f>
        <v>59220</v>
      </c>
      <c r="J11" s="99"/>
      <c r="K11" s="100">
        <f>I11-J11</f>
        <v>59220</v>
      </c>
      <c r="L11" s="98">
        <f>D11+G11</f>
        <v>46335.3</v>
      </c>
      <c r="M11" s="99"/>
      <c r="N11" s="100">
        <f>L11-M11</f>
        <v>46335.3</v>
      </c>
      <c r="O11" s="86">
        <f aca="true" t="shared" si="1" ref="O11:O123">N11/K11*100</f>
        <v>78.24265450861196</v>
      </c>
    </row>
    <row r="12" spans="1:15" ht="17.25" customHeight="1">
      <c r="A12" s="94" t="s">
        <v>93</v>
      </c>
      <c r="B12" s="95" t="s">
        <v>94</v>
      </c>
      <c r="C12" s="96">
        <v>10688.9</v>
      </c>
      <c r="D12" s="96">
        <v>8110.1</v>
      </c>
      <c r="E12" s="84">
        <f aca="true" t="shared" si="2" ref="E12:E20">D12/C12*100</f>
        <v>75.87403755297552</v>
      </c>
      <c r="F12" s="97">
        <v>0</v>
      </c>
      <c r="G12" s="97"/>
      <c r="H12" s="85">
        <v>0</v>
      </c>
      <c r="I12" s="98">
        <f aca="true" t="shared" si="3" ref="I12:I18">C12+F12</f>
        <v>10688.9</v>
      </c>
      <c r="J12" s="99"/>
      <c r="K12" s="100">
        <f aca="true" t="shared" si="4" ref="K12:K18">I12-J12</f>
        <v>10688.9</v>
      </c>
      <c r="L12" s="98">
        <f aca="true" t="shared" si="5" ref="L12:L91">D12+G12</f>
        <v>8110.1</v>
      </c>
      <c r="M12" s="99"/>
      <c r="N12" s="100">
        <f aca="true" t="shared" si="6" ref="N12:N91">L12-M12</f>
        <v>8110.1</v>
      </c>
      <c r="O12" s="86">
        <f t="shared" si="1"/>
        <v>75.87403755297552</v>
      </c>
    </row>
    <row r="13" spans="1:15" ht="12" customHeight="1">
      <c r="A13" s="94" t="s">
        <v>95</v>
      </c>
      <c r="B13" s="95" t="s">
        <v>96</v>
      </c>
      <c r="C13" s="96">
        <v>211676.9</v>
      </c>
      <c r="D13" s="96">
        <v>126310.8</v>
      </c>
      <c r="E13" s="84">
        <f t="shared" si="2"/>
        <v>59.671508794771654</v>
      </c>
      <c r="F13" s="97">
        <f>155168.1+623.3</f>
        <v>155791.4</v>
      </c>
      <c r="G13" s="97">
        <v>110147.1</v>
      </c>
      <c r="H13" s="85">
        <f>G13/F13*100</f>
        <v>70.7016561889809</v>
      </c>
      <c r="I13" s="98">
        <f t="shared" si="3"/>
        <v>367468.3</v>
      </c>
      <c r="J13" s="99">
        <v>7129.6</v>
      </c>
      <c r="K13" s="100">
        <f t="shared" si="4"/>
        <v>360338.7</v>
      </c>
      <c r="L13" s="98">
        <f>D13+G13</f>
        <v>236457.90000000002</v>
      </c>
      <c r="M13" s="99">
        <v>3564.8</v>
      </c>
      <c r="N13" s="100">
        <f>L13-M13</f>
        <v>232893.10000000003</v>
      </c>
      <c r="O13" s="86">
        <f t="shared" si="1"/>
        <v>64.63172010111599</v>
      </c>
    </row>
    <row r="14" spans="1:15" ht="14.25" customHeight="1">
      <c r="A14" s="94" t="s">
        <v>97</v>
      </c>
      <c r="B14" s="95" t="s">
        <v>98</v>
      </c>
      <c r="C14" s="96">
        <v>1.4</v>
      </c>
      <c r="D14" s="96">
        <v>0</v>
      </c>
      <c r="E14" s="84">
        <f t="shared" si="2"/>
        <v>0</v>
      </c>
      <c r="F14" s="97">
        <v>0</v>
      </c>
      <c r="G14" s="97"/>
      <c r="H14" s="85">
        <v>0</v>
      </c>
      <c r="I14" s="98">
        <f t="shared" si="3"/>
        <v>1.4</v>
      </c>
      <c r="J14" s="99"/>
      <c r="K14" s="100">
        <f t="shared" si="4"/>
        <v>1.4</v>
      </c>
      <c r="L14" s="98">
        <f>D14+G14</f>
        <v>0</v>
      </c>
      <c r="M14" s="99"/>
      <c r="N14" s="100">
        <f>L14-M14</f>
        <v>0</v>
      </c>
      <c r="O14" s="86">
        <f t="shared" si="1"/>
        <v>0</v>
      </c>
    </row>
    <row r="15" spans="1:15" ht="18" customHeight="1">
      <c r="A15" s="94" t="s">
        <v>99</v>
      </c>
      <c r="B15" s="95" t="s">
        <v>100</v>
      </c>
      <c r="C15" s="96">
        <v>39048.4</v>
      </c>
      <c r="D15" s="96">
        <v>26065.3</v>
      </c>
      <c r="E15" s="84">
        <f t="shared" si="2"/>
        <v>66.75126253572489</v>
      </c>
      <c r="F15" s="97">
        <v>296.9</v>
      </c>
      <c r="G15" s="97">
        <v>23.1</v>
      </c>
      <c r="H15" s="85">
        <v>0</v>
      </c>
      <c r="I15" s="98">
        <f t="shared" si="3"/>
        <v>39345.3</v>
      </c>
      <c r="J15" s="99">
        <v>296.9</v>
      </c>
      <c r="K15" s="100">
        <f t="shared" si="4"/>
        <v>39048.4</v>
      </c>
      <c r="L15" s="98">
        <f>D15+G15</f>
        <v>26088.399999999998</v>
      </c>
      <c r="M15" s="99">
        <v>23.1</v>
      </c>
      <c r="N15" s="100">
        <f t="shared" si="6"/>
        <v>26065.3</v>
      </c>
      <c r="O15" s="86">
        <f t="shared" si="1"/>
        <v>66.75126253572489</v>
      </c>
    </row>
    <row r="16" spans="1:15" ht="15" customHeight="1">
      <c r="A16" s="94" t="s">
        <v>101</v>
      </c>
      <c r="B16" s="95" t="s">
        <v>102</v>
      </c>
      <c r="C16" s="96"/>
      <c r="D16" s="96"/>
      <c r="E16" s="84"/>
      <c r="F16" s="97">
        <v>18509.9</v>
      </c>
      <c r="G16" s="97">
        <v>18509.9</v>
      </c>
      <c r="H16" s="85">
        <f>G16/F16*100</f>
        <v>100</v>
      </c>
      <c r="I16" s="98">
        <f t="shared" si="3"/>
        <v>18509.9</v>
      </c>
      <c r="J16" s="99"/>
      <c r="K16" s="100">
        <f t="shared" si="4"/>
        <v>18509.9</v>
      </c>
      <c r="L16" s="98">
        <f t="shared" si="5"/>
        <v>18509.9</v>
      </c>
      <c r="M16" s="99"/>
      <c r="N16" s="100">
        <f t="shared" si="6"/>
        <v>18509.9</v>
      </c>
      <c r="O16" s="86">
        <f t="shared" si="1"/>
        <v>100</v>
      </c>
    </row>
    <row r="17" spans="1:15" ht="20.25" customHeight="1">
      <c r="A17" s="82" t="s">
        <v>103</v>
      </c>
      <c r="B17" s="95" t="s">
        <v>104</v>
      </c>
      <c r="C17" s="96">
        <v>13791.5</v>
      </c>
      <c r="D17" s="96">
        <v>0</v>
      </c>
      <c r="E17" s="84">
        <f t="shared" si="2"/>
        <v>0</v>
      </c>
      <c r="F17" s="97">
        <v>1093</v>
      </c>
      <c r="G17" s="97"/>
      <c r="H17" s="85">
        <f>G17/F17*100</f>
        <v>0</v>
      </c>
      <c r="I17" s="98">
        <f t="shared" si="3"/>
        <v>14884.5</v>
      </c>
      <c r="J17" s="99"/>
      <c r="K17" s="100">
        <f t="shared" si="4"/>
        <v>14884.5</v>
      </c>
      <c r="L17" s="98">
        <f t="shared" si="5"/>
        <v>0</v>
      </c>
      <c r="M17" s="99"/>
      <c r="N17" s="100">
        <f t="shared" si="6"/>
        <v>0</v>
      </c>
      <c r="O17" s="86">
        <f t="shared" si="1"/>
        <v>0</v>
      </c>
    </row>
    <row r="18" spans="1:15" ht="18.75" customHeight="1">
      <c r="A18" s="94" t="s">
        <v>105</v>
      </c>
      <c r="B18" s="95" t="s">
        <v>106</v>
      </c>
      <c r="C18" s="96">
        <v>222837.2</v>
      </c>
      <c r="D18" s="96">
        <v>88617.6</v>
      </c>
      <c r="E18" s="84">
        <f t="shared" si="2"/>
        <v>39.767866406506634</v>
      </c>
      <c r="F18" s="97">
        <v>38199.2</v>
      </c>
      <c r="G18" s="97">
        <v>21090.8</v>
      </c>
      <c r="H18" s="85">
        <f>G18/F18*100</f>
        <v>55.212674610986625</v>
      </c>
      <c r="I18" s="98">
        <f t="shared" si="3"/>
        <v>261036.40000000002</v>
      </c>
      <c r="J18" s="99">
        <v>1871.8</v>
      </c>
      <c r="K18" s="100">
        <f t="shared" si="4"/>
        <v>259164.60000000003</v>
      </c>
      <c r="L18" s="98">
        <f>D18+G18</f>
        <v>109708.40000000001</v>
      </c>
      <c r="M18" s="101">
        <v>669.4</v>
      </c>
      <c r="N18" s="100">
        <f t="shared" si="6"/>
        <v>109039.00000000001</v>
      </c>
      <c r="O18" s="86">
        <f t="shared" si="1"/>
        <v>42.073261548838076</v>
      </c>
    </row>
    <row r="19" spans="1:15" ht="17.25" customHeight="1">
      <c r="A19" s="89" t="s">
        <v>107</v>
      </c>
      <c r="B19" s="90" t="s">
        <v>108</v>
      </c>
      <c r="C19" s="91">
        <f aca="true" t="shared" si="7" ref="C19:N19">C20</f>
        <v>4757.3</v>
      </c>
      <c r="D19" s="91">
        <f t="shared" si="7"/>
        <v>2896</v>
      </c>
      <c r="E19" s="91">
        <f t="shared" si="7"/>
        <v>60.87486599541757</v>
      </c>
      <c r="F19" s="91">
        <f t="shared" si="7"/>
        <v>4757.3</v>
      </c>
      <c r="G19" s="91">
        <f t="shared" si="7"/>
        <v>2896</v>
      </c>
      <c r="H19" s="102">
        <f t="shared" si="7"/>
        <v>60.87486599541757</v>
      </c>
      <c r="I19" s="91">
        <f>I20</f>
        <v>9514.6</v>
      </c>
      <c r="J19" s="91">
        <f>J20</f>
        <v>4757.3</v>
      </c>
      <c r="K19" s="91">
        <f>K20</f>
        <v>4757.3</v>
      </c>
      <c r="L19" s="91">
        <f t="shared" si="7"/>
        <v>5792</v>
      </c>
      <c r="M19" s="91">
        <f>M20</f>
        <v>2896</v>
      </c>
      <c r="N19" s="91">
        <f t="shared" si="7"/>
        <v>2896</v>
      </c>
      <c r="O19" s="103">
        <f t="shared" si="1"/>
        <v>60.87486599541757</v>
      </c>
    </row>
    <row r="20" spans="1:15" ht="16.5" customHeight="1">
      <c r="A20" s="104" t="s">
        <v>109</v>
      </c>
      <c r="B20" s="95" t="s">
        <v>110</v>
      </c>
      <c r="C20" s="96">
        <v>4757.3</v>
      </c>
      <c r="D20" s="96">
        <v>2896</v>
      </c>
      <c r="E20" s="84">
        <f t="shared" si="2"/>
        <v>60.87486599541757</v>
      </c>
      <c r="F20" s="97">
        <v>4757.3</v>
      </c>
      <c r="G20" s="97">
        <v>2896</v>
      </c>
      <c r="H20" s="85">
        <f aca="true" t="shared" si="8" ref="H20:H28">G20/F20*100</f>
        <v>60.87486599541757</v>
      </c>
      <c r="I20" s="98">
        <f aca="true" t="shared" si="9" ref="I20:I91">C20+F20</f>
        <v>9514.6</v>
      </c>
      <c r="J20" s="99">
        <v>4757.3</v>
      </c>
      <c r="K20" s="100">
        <f>I20-J20</f>
        <v>4757.3</v>
      </c>
      <c r="L20" s="98">
        <f>D20+G20</f>
        <v>5792</v>
      </c>
      <c r="M20" s="99">
        <v>2896</v>
      </c>
      <c r="N20" s="100">
        <f t="shared" si="6"/>
        <v>2896</v>
      </c>
      <c r="O20" s="86">
        <f t="shared" si="1"/>
        <v>60.87486599541757</v>
      </c>
    </row>
    <row r="21" spans="1:15" ht="15" customHeight="1">
      <c r="A21" s="89" t="s">
        <v>111</v>
      </c>
      <c r="B21" s="105" t="s">
        <v>112</v>
      </c>
      <c r="C21" s="91">
        <f>C23+C25+C22+C24</f>
        <v>32733.4</v>
      </c>
      <c r="D21" s="91">
        <f>D23+D25+D22+D24</f>
        <v>9859.8</v>
      </c>
      <c r="E21" s="106">
        <f>D21/C21*100</f>
        <v>30.121527247398678</v>
      </c>
      <c r="F21" s="106">
        <f>F23+F25+F22+F24</f>
        <v>6482.799999999999</v>
      </c>
      <c r="G21" s="106">
        <f>G23+G25+G22+G24</f>
        <v>3435.4</v>
      </c>
      <c r="H21" s="106">
        <f t="shared" si="8"/>
        <v>52.99253409020794</v>
      </c>
      <c r="I21" s="106">
        <f aca="true" t="shared" si="10" ref="I21:N21">SUM(I22:I25)</f>
        <v>39216.2</v>
      </c>
      <c r="J21" s="106">
        <f t="shared" si="10"/>
        <v>2860.7000000000003</v>
      </c>
      <c r="K21" s="106">
        <f t="shared" si="10"/>
        <v>36355.49999999999</v>
      </c>
      <c r="L21" s="106">
        <f t="shared" si="10"/>
        <v>13295.199999999999</v>
      </c>
      <c r="M21" s="106">
        <f t="shared" si="10"/>
        <v>1437.5</v>
      </c>
      <c r="N21" s="106">
        <f t="shared" si="10"/>
        <v>11857.7</v>
      </c>
      <c r="O21" s="107">
        <f>N21/K21*100</f>
        <v>32.61597282391936</v>
      </c>
    </row>
    <row r="22" spans="1:15" ht="15">
      <c r="A22" s="82" t="s">
        <v>113</v>
      </c>
      <c r="B22" s="95" t="s">
        <v>114</v>
      </c>
      <c r="C22" s="96">
        <v>7538</v>
      </c>
      <c r="D22" s="96">
        <v>4820.4</v>
      </c>
      <c r="E22" s="84">
        <f aca="true" t="shared" si="11" ref="E22:E136">D22/C22*100</f>
        <v>63.94799681613159</v>
      </c>
      <c r="F22" s="97">
        <v>1092.7</v>
      </c>
      <c r="G22" s="97">
        <v>527</v>
      </c>
      <c r="H22" s="85">
        <f t="shared" si="8"/>
        <v>48.2291571337055</v>
      </c>
      <c r="I22" s="98">
        <f>C22+F22</f>
        <v>8630.7</v>
      </c>
      <c r="J22" s="99">
        <v>1092.7</v>
      </c>
      <c r="K22" s="100">
        <f>I22-J22</f>
        <v>7538.000000000001</v>
      </c>
      <c r="L22" s="98">
        <f>D22+G22</f>
        <v>5347.4</v>
      </c>
      <c r="M22" s="99">
        <v>632.8</v>
      </c>
      <c r="N22" s="100">
        <f t="shared" si="6"/>
        <v>4714.599999999999</v>
      </c>
      <c r="O22" s="86">
        <f>N22/K22*100</f>
        <v>62.54444149641814</v>
      </c>
    </row>
    <row r="23" spans="1:15" ht="15" customHeight="1" hidden="1">
      <c r="A23" s="104" t="s">
        <v>115</v>
      </c>
      <c r="B23" s="95" t="s">
        <v>116</v>
      </c>
      <c r="C23" s="96">
        <v>0</v>
      </c>
      <c r="D23" s="96">
        <v>0</v>
      </c>
      <c r="E23" s="84" t="e">
        <f t="shared" si="11"/>
        <v>#DIV/0!</v>
      </c>
      <c r="F23" s="97"/>
      <c r="G23" s="97"/>
      <c r="H23" s="85" t="e">
        <f t="shared" si="8"/>
        <v>#DIV/0!</v>
      </c>
      <c r="I23" s="98">
        <f>C23+F23</f>
        <v>0</v>
      </c>
      <c r="J23" s="99"/>
      <c r="K23" s="100">
        <f>I23-J23</f>
        <v>0</v>
      </c>
      <c r="L23" s="98">
        <f>D23+G23</f>
        <v>0</v>
      </c>
      <c r="M23" s="99"/>
      <c r="N23" s="100">
        <f t="shared" si="6"/>
        <v>0</v>
      </c>
      <c r="O23" s="86" t="e">
        <f>N23/K23*100</f>
        <v>#DIV/0!</v>
      </c>
    </row>
    <row r="24" spans="1:15" ht="15">
      <c r="A24" s="104" t="s">
        <v>117</v>
      </c>
      <c r="B24" s="95" t="s">
        <v>118</v>
      </c>
      <c r="C24" s="96">
        <v>25016.8</v>
      </c>
      <c r="D24" s="96">
        <v>5009.9</v>
      </c>
      <c r="E24" s="84">
        <f t="shared" si="11"/>
        <v>20.026142432285504</v>
      </c>
      <c r="F24" s="97">
        <v>5231.4</v>
      </c>
      <c r="G24" s="97">
        <v>2866.3</v>
      </c>
      <c r="H24" s="85">
        <f t="shared" si="8"/>
        <v>54.79030469855106</v>
      </c>
      <c r="I24" s="98">
        <f>C24+F24</f>
        <v>30248.199999999997</v>
      </c>
      <c r="J24" s="99">
        <v>1656.9</v>
      </c>
      <c r="K24" s="100">
        <f>I24-J24</f>
        <v>28591.299999999996</v>
      </c>
      <c r="L24" s="98">
        <f>D24+G24</f>
        <v>7876.2</v>
      </c>
      <c r="M24" s="99">
        <v>775.3</v>
      </c>
      <c r="N24" s="100">
        <f t="shared" si="6"/>
        <v>7100.9</v>
      </c>
      <c r="O24" s="86">
        <f>N24/K24*100</f>
        <v>24.835876647791462</v>
      </c>
    </row>
    <row r="25" spans="1:15" ht="30" customHeight="1">
      <c r="A25" s="82" t="s">
        <v>119</v>
      </c>
      <c r="B25" s="95" t="s">
        <v>120</v>
      </c>
      <c r="C25" s="96">
        <v>178.6</v>
      </c>
      <c r="D25" s="96">
        <v>29.5</v>
      </c>
      <c r="E25" s="84">
        <f t="shared" si="11"/>
        <v>16.517357222844346</v>
      </c>
      <c r="F25" s="97">
        <v>158.7</v>
      </c>
      <c r="G25" s="97">
        <v>42.1</v>
      </c>
      <c r="H25" s="85">
        <f t="shared" si="8"/>
        <v>26.52804032766226</v>
      </c>
      <c r="I25" s="98">
        <f>C25+F25</f>
        <v>337.29999999999995</v>
      </c>
      <c r="J25" s="99">
        <v>111.1</v>
      </c>
      <c r="K25" s="100">
        <f>I25-J25</f>
        <v>226.19999999999996</v>
      </c>
      <c r="L25" s="98">
        <f>D25+G25</f>
        <v>71.6</v>
      </c>
      <c r="M25" s="99">
        <v>29.4</v>
      </c>
      <c r="N25" s="100">
        <f t="shared" si="6"/>
        <v>42.199999999999996</v>
      </c>
      <c r="O25" s="86">
        <f>N25/K25*100</f>
        <v>18.656056587091072</v>
      </c>
    </row>
    <row r="26" spans="1:15" ht="18" customHeight="1">
      <c r="A26" s="89" t="s">
        <v>121</v>
      </c>
      <c r="B26" s="90" t="s">
        <v>122</v>
      </c>
      <c r="C26" s="91">
        <f>SUM(C27:C58)</f>
        <v>199664.8</v>
      </c>
      <c r="D26" s="91">
        <f>SUM(D27:D58)</f>
        <v>135877.5</v>
      </c>
      <c r="E26" s="91">
        <f>D26/C26*100</f>
        <v>68.0528065037002</v>
      </c>
      <c r="F26" s="91">
        <f>SUM(F27:F58)</f>
        <v>142640.9</v>
      </c>
      <c r="G26" s="91">
        <f>SUM(G27:G58)</f>
        <v>85379.20000000001</v>
      </c>
      <c r="H26" s="92">
        <f t="shared" si="8"/>
        <v>59.856044093945016</v>
      </c>
      <c r="I26" s="91">
        <f aca="true" t="shared" si="12" ref="I26:N26">SUM(I27:I58)</f>
        <v>342305.7</v>
      </c>
      <c r="J26" s="91">
        <f t="shared" si="12"/>
        <v>48546.7</v>
      </c>
      <c r="K26" s="91">
        <f>SUM(K27:K58)</f>
        <v>293759.00000000006</v>
      </c>
      <c r="L26" s="91">
        <f t="shared" si="12"/>
        <v>221256.70000000004</v>
      </c>
      <c r="M26" s="91">
        <f t="shared" si="12"/>
        <v>33278.3</v>
      </c>
      <c r="N26" s="91">
        <f t="shared" si="12"/>
        <v>187978.4</v>
      </c>
      <c r="O26" s="93">
        <f t="shared" si="1"/>
        <v>63.990686242804465</v>
      </c>
    </row>
    <row r="27" spans="1:15" ht="27.75" customHeight="1">
      <c r="A27" s="108" t="s">
        <v>123</v>
      </c>
      <c r="B27" s="109" t="s">
        <v>124</v>
      </c>
      <c r="C27" s="96">
        <v>41379.7</v>
      </c>
      <c r="D27" s="96">
        <v>32423.3</v>
      </c>
      <c r="E27" s="84">
        <f t="shared" si="11"/>
        <v>78.3555704850446</v>
      </c>
      <c r="F27" s="96">
        <v>23367.8</v>
      </c>
      <c r="G27" s="97">
        <v>20317.9</v>
      </c>
      <c r="H27" s="85">
        <f t="shared" si="8"/>
        <v>86.94827925607032</v>
      </c>
      <c r="I27" s="98">
        <f t="shared" si="9"/>
        <v>64747.5</v>
      </c>
      <c r="J27" s="99">
        <v>23367.8</v>
      </c>
      <c r="K27" s="100">
        <f>I27-J27</f>
        <v>41379.7</v>
      </c>
      <c r="L27" s="98">
        <f>D27+G27</f>
        <v>52741.2</v>
      </c>
      <c r="M27" s="99">
        <v>21752.4</v>
      </c>
      <c r="N27" s="100">
        <f>L27-M27</f>
        <v>30988.799999999996</v>
      </c>
      <c r="O27" s="86">
        <f t="shared" si="1"/>
        <v>74.88889479624066</v>
      </c>
    </row>
    <row r="28" spans="1:15" ht="15" customHeight="1">
      <c r="A28" s="94" t="s">
        <v>125</v>
      </c>
      <c r="B28" s="95" t="s">
        <v>126</v>
      </c>
      <c r="C28" s="96">
        <v>54899.8</v>
      </c>
      <c r="D28" s="96">
        <v>42729.5</v>
      </c>
      <c r="E28" s="84">
        <f t="shared" si="11"/>
        <v>77.83179537994673</v>
      </c>
      <c r="F28" s="97">
        <v>1949.6</v>
      </c>
      <c r="G28" s="97">
        <v>1099.2</v>
      </c>
      <c r="H28" s="85">
        <f t="shared" si="8"/>
        <v>56.38079606073041</v>
      </c>
      <c r="I28" s="98">
        <f t="shared" si="9"/>
        <v>56849.4</v>
      </c>
      <c r="J28" s="99">
        <v>1949.2</v>
      </c>
      <c r="K28" s="100">
        <f aca="true" t="shared" si="13" ref="K28:K60">I28-J28</f>
        <v>54900.200000000004</v>
      </c>
      <c r="L28" s="98">
        <f t="shared" si="5"/>
        <v>43828.7</v>
      </c>
      <c r="M28" s="99">
        <v>1299.2</v>
      </c>
      <c r="N28" s="100">
        <f t="shared" si="6"/>
        <v>42529.5</v>
      </c>
      <c r="O28" s="86">
        <f t="shared" si="1"/>
        <v>77.46693090371255</v>
      </c>
    </row>
    <row r="29" spans="1:15" ht="15" customHeight="1">
      <c r="A29" s="94" t="s">
        <v>127</v>
      </c>
      <c r="B29" s="95" t="s">
        <v>128</v>
      </c>
      <c r="C29" s="96">
        <v>8044</v>
      </c>
      <c r="D29" s="96">
        <v>5061</v>
      </c>
      <c r="E29" s="84">
        <f t="shared" si="11"/>
        <v>62.91645947289906</v>
      </c>
      <c r="F29" s="97"/>
      <c r="G29" s="97">
        <v>0</v>
      </c>
      <c r="H29" s="85">
        <v>0</v>
      </c>
      <c r="I29" s="98">
        <f t="shared" si="9"/>
        <v>8044</v>
      </c>
      <c r="J29" s="99"/>
      <c r="K29" s="100">
        <f t="shared" si="13"/>
        <v>8044</v>
      </c>
      <c r="L29" s="98">
        <f t="shared" si="5"/>
        <v>5061</v>
      </c>
      <c r="M29" s="99"/>
      <c r="N29" s="100">
        <f t="shared" si="6"/>
        <v>5061</v>
      </c>
      <c r="O29" s="86">
        <f t="shared" si="1"/>
        <v>62.91645947289906</v>
      </c>
    </row>
    <row r="30" spans="1:15" ht="32.25" customHeight="1">
      <c r="A30" s="94" t="s">
        <v>127</v>
      </c>
      <c r="B30" s="95" t="s">
        <v>129</v>
      </c>
      <c r="C30" s="96">
        <v>21416.5</v>
      </c>
      <c r="D30" s="96">
        <v>15326.9</v>
      </c>
      <c r="E30" s="84">
        <f t="shared" si="11"/>
        <v>71.56584876146897</v>
      </c>
      <c r="F30" s="97">
        <v>24069.3</v>
      </c>
      <c r="G30" s="97">
        <v>13162.1</v>
      </c>
      <c r="H30" s="85">
        <f>G30/F30*100</f>
        <v>54.684182755626466</v>
      </c>
      <c r="I30" s="98">
        <f t="shared" si="9"/>
        <v>45485.8</v>
      </c>
      <c r="J30" s="99">
        <v>3161.5</v>
      </c>
      <c r="K30" s="100">
        <f t="shared" si="13"/>
        <v>42324.3</v>
      </c>
      <c r="L30" s="98">
        <f t="shared" si="5"/>
        <v>28489</v>
      </c>
      <c r="M30" s="99">
        <v>1580.8</v>
      </c>
      <c r="N30" s="100">
        <f t="shared" si="6"/>
        <v>26908.2</v>
      </c>
      <c r="O30" s="86">
        <f t="shared" si="1"/>
        <v>63.57624343462266</v>
      </c>
    </row>
    <row r="31" spans="1:15" ht="15.75" customHeight="1">
      <c r="A31" s="94" t="s">
        <v>127</v>
      </c>
      <c r="B31" s="95" t="s">
        <v>130</v>
      </c>
      <c r="C31" s="96">
        <v>30360</v>
      </c>
      <c r="D31" s="96">
        <v>21089.2</v>
      </c>
      <c r="E31" s="84">
        <f t="shared" si="11"/>
        <v>69.46376811594203</v>
      </c>
      <c r="F31" s="97">
        <v>0</v>
      </c>
      <c r="G31" s="97"/>
      <c r="H31" s="85">
        <v>0</v>
      </c>
      <c r="I31" s="98">
        <f t="shared" si="9"/>
        <v>30360</v>
      </c>
      <c r="J31" s="99"/>
      <c r="K31" s="100">
        <f t="shared" si="13"/>
        <v>30360</v>
      </c>
      <c r="L31" s="98">
        <f t="shared" si="5"/>
        <v>21089.2</v>
      </c>
      <c r="M31" s="99"/>
      <c r="N31" s="100">
        <f t="shared" si="6"/>
        <v>21089.2</v>
      </c>
      <c r="O31" s="86">
        <f t="shared" si="1"/>
        <v>69.46376811594203</v>
      </c>
    </row>
    <row r="32" spans="1:15" ht="30" hidden="1">
      <c r="A32" s="94" t="s">
        <v>131</v>
      </c>
      <c r="B32" s="110" t="s">
        <v>132</v>
      </c>
      <c r="C32" s="96"/>
      <c r="D32" s="96"/>
      <c r="E32" s="84"/>
      <c r="F32" s="97">
        <v>0</v>
      </c>
      <c r="G32" s="97"/>
      <c r="H32" s="85"/>
      <c r="I32" s="98">
        <f t="shared" si="9"/>
        <v>0</v>
      </c>
      <c r="J32" s="99"/>
      <c r="K32" s="100">
        <f t="shared" si="13"/>
        <v>0</v>
      </c>
      <c r="L32" s="98">
        <f t="shared" si="5"/>
        <v>0</v>
      </c>
      <c r="M32" s="99"/>
      <c r="N32" s="100">
        <f t="shared" si="6"/>
        <v>0</v>
      </c>
      <c r="O32" s="86"/>
    </row>
    <row r="33" spans="1:15" ht="45" hidden="1">
      <c r="A33" s="82" t="s">
        <v>131</v>
      </c>
      <c r="B33" s="110" t="s">
        <v>133</v>
      </c>
      <c r="C33" s="96"/>
      <c r="D33" s="96"/>
      <c r="E33" s="84"/>
      <c r="F33" s="97">
        <v>0</v>
      </c>
      <c r="G33" s="97"/>
      <c r="H33" s="85"/>
      <c r="I33" s="98">
        <f t="shared" si="9"/>
        <v>0</v>
      </c>
      <c r="J33" s="99"/>
      <c r="K33" s="100">
        <f t="shared" si="13"/>
        <v>0</v>
      </c>
      <c r="L33" s="98">
        <f t="shared" si="5"/>
        <v>0</v>
      </c>
      <c r="M33" s="99"/>
      <c r="N33" s="100">
        <f t="shared" si="6"/>
        <v>0</v>
      </c>
      <c r="O33" s="86"/>
    </row>
    <row r="34" spans="1:15" ht="30" hidden="1">
      <c r="A34" s="82" t="s">
        <v>131</v>
      </c>
      <c r="B34" s="95" t="s">
        <v>134</v>
      </c>
      <c r="C34" s="96"/>
      <c r="D34" s="96"/>
      <c r="E34" s="84" t="e">
        <f t="shared" si="11"/>
        <v>#DIV/0!</v>
      </c>
      <c r="F34" s="97">
        <v>0</v>
      </c>
      <c r="G34" s="97"/>
      <c r="H34" s="85" t="e">
        <f>G34/F34*100</f>
        <v>#DIV/0!</v>
      </c>
      <c r="I34" s="98">
        <f t="shared" si="9"/>
        <v>0</v>
      </c>
      <c r="J34" s="99"/>
      <c r="K34" s="100">
        <f t="shared" si="13"/>
        <v>0</v>
      </c>
      <c r="L34" s="98">
        <f t="shared" si="5"/>
        <v>0</v>
      </c>
      <c r="M34" s="99"/>
      <c r="N34" s="100">
        <f t="shared" si="6"/>
        <v>0</v>
      </c>
      <c r="O34" s="86" t="e">
        <f t="shared" si="1"/>
        <v>#DIV/0!</v>
      </c>
    </row>
    <row r="35" spans="1:15" ht="60" hidden="1">
      <c r="A35" s="82" t="s">
        <v>131</v>
      </c>
      <c r="B35" s="95" t="s">
        <v>135</v>
      </c>
      <c r="C35" s="96"/>
      <c r="D35" s="96"/>
      <c r="E35" s="84" t="e">
        <f t="shared" si="11"/>
        <v>#DIV/0!</v>
      </c>
      <c r="F35" s="97"/>
      <c r="G35" s="97"/>
      <c r="H35" s="85" t="e">
        <f>G35/F35*100</f>
        <v>#DIV/0!</v>
      </c>
      <c r="I35" s="98">
        <f t="shared" si="9"/>
        <v>0</v>
      </c>
      <c r="J35" s="99"/>
      <c r="K35" s="100">
        <f t="shared" si="13"/>
        <v>0</v>
      </c>
      <c r="L35" s="98">
        <f t="shared" si="5"/>
        <v>0</v>
      </c>
      <c r="M35" s="99"/>
      <c r="N35" s="100">
        <f t="shared" si="6"/>
        <v>0</v>
      </c>
      <c r="O35" s="86" t="e">
        <f t="shared" si="1"/>
        <v>#DIV/0!</v>
      </c>
    </row>
    <row r="36" spans="1:15" ht="45" hidden="1">
      <c r="A36" s="82" t="s">
        <v>131</v>
      </c>
      <c r="B36" s="95" t="s">
        <v>136</v>
      </c>
      <c r="C36" s="96"/>
      <c r="D36" s="96"/>
      <c r="E36" s="84" t="e">
        <f t="shared" si="11"/>
        <v>#DIV/0!</v>
      </c>
      <c r="F36" s="97"/>
      <c r="G36" s="97"/>
      <c r="H36" s="85" t="e">
        <f aca="true" t="shared" si="14" ref="H36:H58">G36/F36*100</f>
        <v>#DIV/0!</v>
      </c>
      <c r="I36" s="98">
        <f t="shared" si="9"/>
        <v>0</v>
      </c>
      <c r="J36" s="99"/>
      <c r="K36" s="100">
        <f t="shared" si="13"/>
        <v>0</v>
      </c>
      <c r="L36" s="98">
        <f t="shared" si="5"/>
        <v>0</v>
      </c>
      <c r="M36" s="99"/>
      <c r="N36" s="100">
        <f t="shared" si="6"/>
        <v>0</v>
      </c>
      <c r="O36" s="86" t="e">
        <f t="shared" si="1"/>
        <v>#DIV/0!</v>
      </c>
    </row>
    <row r="37" spans="1:15" ht="15" hidden="1">
      <c r="A37" s="82" t="s">
        <v>131</v>
      </c>
      <c r="B37" s="95" t="s">
        <v>137</v>
      </c>
      <c r="C37" s="96"/>
      <c r="D37" s="96"/>
      <c r="E37" s="84" t="e">
        <f t="shared" si="11"/>
        <v>#DIV/0!</v>
      </c>
      <c r="F37" s="97"/>
      <c r="G37" s="97"/>
      <c r="H37" s="85" t="e">
        <f t="shared" si="14"/>
        <v>#DIV/0!</v>
      </c>
      <c r="I37" s="98">
        <f t="shared" si="9"/>
        <v>0</v>
      </c>
      <c r="J37" s="99"/>
      <c r="K37" s="100">
        <f t="shared" si="13"/>
        <v>0</v>
      </c>
      <c r="L37" s="98">
        <f t="shared" si="5"/>
        <v>0</v>
      </c>
      <c r="M37" s="99"/>
      <c r="N37" s="100">
        <f t="shared" si="6"/>
        <v>0</v>
      </c>
      <c r="O37" s="86" t="e">
        <f t="shared" si="1"/>
        <v>#DIV/0!</v>
      </c>
    </row>
    <row r="38" spans="1:15" ht="45">
      <c r="A38" s="108" t="s">
        <v>131</v>
      </c>
      <c r="B38" s="95" t="s">
        <v>138</v>
      </c>
      <c r="C38" s="96">
        <v>20029.6</v>
      </c>
      <c r="D38" s="96">
        <v>8900.9</v>
      </c>
      <c r="E38" s="84">
        <f t="shared" si="11"/>
        <v>44.438730678595675</v>
      </c>
      <c r="F38" s="97">
        <v>87292.8</v>
      </c>
      <c r="G38" s="97">
        <v>47604.9</v>
      </c>
      <c r="H38" s="85">
        <f t="shared" si="14"/>
        <v>54.53473826020016</v>
      </c>
      <c r="I38" s="98">
        <f t="shared" si="9"/>
        <v>107322.4</v>
      </c>
      <c r="J38" s="99">
        <v>18887.2</v>
      </c>
      <c r="K38" s="100">
        <f t="shared" si="13"/>
        <v>88435.2</v>
      </c>
      <c r="L38" s="98">
        <f t="shared" si="5"/>
        <v>56505.8</v>
      </c>
      <c r="M38" s="99">
        <v>8565.7</v>
      </c>
      <c r="N38" s="100">
        <f t="shared" si="6"/>
        <v>47940.100000000006</v>
      </c>
      <c r="O38" s="86">
        <f t="shared" si="1"/>
        <v>54.209296750615145</v>
      </c>
    </row>
    <row r="39" spans="1:15" ht="30" hidden="1">
      <c r="A39" s="108" t="s">
        <v>131</v>
      </c>
      <c r="B39" s="95" t="s">
        <v>139</v>
      </c>
      <c r="C39" s="96"/>
      <c r="D39" s="96"/>
      <c r="E39" s="84"/>
      <c r="F39" s="97"/>
      <c r="G39" s="97"/>
      <c r="H39" s="85" t="e">
        <f t="shared" si="14"/>
        <v>#DIV/0!</v>
      </c>
      <c r="I39" s="98">
        <f t="shared" si="9"/>
        <v>0</v>
      </c>
      <c r="J39" s="99"/>
      <c r="K39" s="100">
        <f t="shared" si="13"/>
        <v>0</v>
      </c>
      <c r="L39" s="98">
        <f t="shared" si="5"/>
        <v>0</v>
      </c>
      <c r="M39" s="99"/>
      <c r="N39" s="100">
        <f t="shared" si="6"/>
        <v>0</v>
      </c>
      <c r="O39" s="86" t="e">
        <f t="shared" si="1"/>
        <v>#DIV/0!</v>
      </c>
    </row>
    <row r="40" spans="1:15" ht="30" hidden="1">
      <c r="A40" s="82" t="s">
        <v>131</v>
      </c>
      <c r="B40" s="95" t="s">
        <v>140</v>
      </c>
      <c r="C40" s="96"/>
      <c r="D40" s="96"/>
      <c r="E40" s="84" t="e">
        <f t="shared" si="11"/>
        <v>#DIV/0!</v>
      </c>
      <c r="F40" s="97">
        <v>0</v>
      </c>
      <c r="G40" s="97"/>
      <c r="H40" s="85" t="e">
        <f t="shared" si="14"/>
        <v>#DIV/0!</v>
      </c>
      <c r="I40" s="98">
        <f t="shared" si="9"/>
        <v>0</v>
      </c>
      <c r="J40" s="99"/>
      <c r="K40" s="100">
        <f t="shared" si="13"/>
        <v>0</v>
      </c>
      <c r="L40" s="98">
        <f t="shared" si="5"/>
        <v>0</v>
      </c>
      <c r="M40" s="99"/>
      <c r="N40" s="100">
        <f t="shared" si="6"/>
        <v>0</v>
      </c>
      <c r="O40" s="86" t="e">
        <f t="shared" si="1"/>
        <v>#DIV/0!</v>
      </c>
    </row>
    <row r="41" spans="1:15" ht="15" hidden="1">
      <c r="A41" s="82" t="s">
        <v>131</v>
      </c>
      <c r="B41" s="95" t="s">
        <v>141</v>
      </c>
      <c r="C41" s="96"/>
      <c r="D41" s="96"/>
      <c r="E41" s="84"/>
      <c r="F41" s="97"/>
      <c r="G41" s="97"/>
      <c r="H41" s="85" t="e">
        <f t="shared" si="14"/>
        <v>#DIV/0!</v>
      </c>
      <c r="I41" s="98">
        <f t="shared" si="9"/>
        <v>0</v>
      </c>
      <c r="J41" s="99"/>
      <c r="K41" s="100">
        <f t="shared" si="13"/>
        <v>0</v>
      </c>
      <c r="L41" s="98">
        <f t="shared" si="5"/>
        <v>0</v>
      </c>
      <c r="M41" s="99"/>
      <c r="N41" s="100">
        <f t="shared" si="6"/>
        <v>0</v>
      </c>
      <c r="O41" s="86" t="e">
        <f t="shared" si="1"/>
        <v>#DIV/0!</v>
      </c>
    </row>
    <row r="42" spans="1:15" ht="30" hidden="1">
      <c r="A42" s="82" t="s">
        <v>131</v>
      </c>
      <c r="B42" s="95" t="s">
        <v>142</v>
      </c>
      <c r="C42" s="96"/>
      <c r="D42" s="96"/>
      <c r="E42" s="84"/>
      <c r="F42" s="97"/>
      <c r="G42" s="97"/>
      <c r="H42" s="85" t="e">
        <f t="shared" si="14"/>
        <v>#DIV/0!</v>
      </c>
      <c r="I42" s="98">
        <f t="shared" si="9"/>
        <v>0</v>
      </c>
      <c r="J42" s="99"/>
      <c r="K42" s="100">
        <f t="shared" si="13"/>
        <v>0</v>
      </c>
      <c r="L42" s="98">
        <f t="shared" si="5"/>
        <v>0</v>
      </c>
      <c r="M42" s="99"/>
      <c r="N42" s="100">
        <f t="shared" si="6"/>
        <v>0</v>
      </c>
      <c r="O42" s="86" t="e">
        <f t="shared" si="1"/>
        <v>#DIV/0!</v>
      </c>
    </row>
    <row r="43" spans="1:15" ht="45" hidden="1">
      <c r="A43" s="82" t="s">
        <v>131</v>
      </c>
      <c r="B43" s="95" t="s">
        <v>143</v>
      </c>
      <c r="C43" s="96">
        <v>0</v>
      </c>
      <c r="D43" s="96"/>
      <c r="E43" s="84"/>
      <c r="F43" s="97"/>
      <c r="G43" s="97"/>
      <c r="H43" s="85" t="e">
        <f t="shared" si="14"/>
        <v>#DIV/0!</v>
      </c>
      <c r="I43" s="98">
        <f t="shared" si="9"/>
        <v>0</v>
      </c>
      <c r="J43" s="99"/>
      <c r="K43" s="100">
        <f t="shared" si="13"/>
        <v>0</v>
      </c>
      <c r="L43" s="98">
        <f t="shared" si="5"/>
        <v>0</v>
      </c>
      <c r="M43" s="99"/>
      <c r="N43" s="100">
        <f t="shared" si="6"/>
        <v>0</v>
      </c>
      <c r="O43" s="86" t="e">
        <f t="shared" si="1"/>
        <v>#DIV/0!</v>
      </c>
    </row>
    <row r="44" spans="1:15" ht="15" hidden="1">
      <c r="A44" s="82" t="s">
        <v>131</v>
      </c>
      <c r="B44" s="95" t="s">
        <v>144</v>
      </c>
      <c r="C44" s="96"/>
      <c r="D44" s="96"/>
      <c r="E44" s="96"/>
      <c r="F44" s="97"/>
      <c r="G44" s="97"/>
      <c r="H44" s="85" t="e">
        <f t="shared" si="14"/>
        <v>#DIV/0!</v>
      </c>
      <c r="I44" s="98">
        <f t="shared" si="9"/>
        <v>0</v>
      </c>
      <c r="J44" s="99"/>
      <c r="K44" s="100">
        <f t="shared" si="13"/>
        <v>0</v>
      </c>
      <c r="L44" s="98">
        <f t="shared" si="5"/>
        <v>0</v>
      </c>
      <c r="M44" s="99"/>
      <c r="N44" s="100">
        <f t="shared" si="6"/>
        <v>0</v>
      </c>
      <c r="O44" s="86" t="e">
        <f t="shared" si="1"/>
        <v>#DIV/0!</v>
      </c>
    </row>
    <row r="45" spans="1:15" ht="30" hidden="1">
      <c r="A45" s="82" t="s">
        <v>131</v>
      </c>
      <c r="B45" s="95" t="s">
        <v>145</v>
      </c>
      <c r="C45" s="96"/>
      <c r="D45" s="96"/>
      <c r="E45" s="84"/>
      <c r="F45" s="97"/>
      <c r="G45" s="97"/>
      <c r="H45" s="85" t="e">
        <f t="shared" si="14"/>
        <v>#DIV/0!</v>
      </c>
      <c r="I45" s="98">
        <f t="shared" si="9"/>
        <v>0</v>
      </c>
      <c r="J45" s="99"/>
      <c r="K45" s="100">
        <f t="shared" si="13"/>
        <v>0</v>
      </c>
      <c r="L45" s="98">
        <f t="shared" si="5"/>
        <v>0</v>
      </c>
      <c r="M45" s="99"/>
      <c r="N45" s="100">
        <f t="shared" si="6"/>
        <v>0</v>
      </c>
      <c r="O45" s="86" t="e">
        <f t="shared" si="1"/>
        <v>#DIV/0!</v>
      </c>
    </row>
    <row r="46" spans="1:15" ht="15">
      <c r="A46" s="104" t="s">
        <v>146</v>
      </c>
      <c r="B46" s="95" t="s">
        <v>147</v>
      </c>
      <c r="C46" s="96">
        <v>6066.5</v>
      </c>
      <c r="D46" s="96">
        <v>2547.3</v>
      </c>
      <c r="E46" s="84">
        <f t="shared" si="11"/>
        <v>41.98961509931592</v>
      </c>
      <c r="F46" s="97">
        <v>4685.4</v>
      </c>
      <c r="G46" s="97">
        <v>3019.8</v>
      </c>
      <c r="H46" s="97">
        <f t="shared" si="14"/>
        <v>64.45127417082854</v>
      </c>
      <c r="I46" s="98">
        <f t="shared" si="9"/>
        <v>10751.9</v>
      </c>
      <c r="J46" s="99"/>
      <c r="K46" s="100">
        <f t="shared" si="13"/>
        <v>10751.9</v>
      </c>
      <c r="L46" s="98">
        <f t="shared" si="5"/>
        <v>5567.1</v>
      </c>
      <c r="M46" s="99"/>
      <c r="N46" s="100">
        <f t="shared" si="6"/>
        <v>5567.1</v>
      </c>
      <c r="O46" s="86">
        <f t="shared" si="1"/>
        <v>51.77782531459556</v>
      </c>
    </row>
    <row r="47" spans="1:15" ht="39.75" customHeight="1">
      <c r="A47" s="94" t="s">
        <v>148</v>
      </c>
      <c r="B47" s="110" t="s">
        <v>149</v>
      </c>
      <c r="C47" s="96">
        <v>3500</v>
      </c>
      <c r="D47" s="96">
        <v>1657.3</v>
      </c>
      <c r="E47" s="96">
        <f t="shared" si="11"/>
        <v>47.35142857142857</v>
      </c>
      <c r="F47" s="97">
        <v>1276</v>
      </c>
      <c r="G47" s="97">
        <v>175.3</v>
      </c>
      <c r="H47" s="97">
        <f t="shared" si="14"/>
        <v>13.738244514106585</v>
      </c>
      <c r="I47" s="98">
        <f t="shared" si="9"/>
        <v>4776</v>
      </c>
      <c r="J47" s="99">
        <v>1181</v>
      </c>
      <c r="K47" s="100">
        <f t="shared" si="13"/>
        <v>3595</v>
      </c>
      <c r="L47" s="98">
        <f t="shared" si="5"/>
        <v>1832.6</v>
      </c>
      <c r="M47" s="99">
        <v>80.2</v>
      </c>
      <c r="N47" s="100">
        <f t="shared" si="6"/>
        <v>1752.3999999999999</v>
      </c>
      <c r="O47" s="86">
        <f t="shared" si="1"/>
        <v>48.74547983310153</v>
      </c>
    </row>
    <row r="48" spans="1:15" ht="30" hidden="1">
      <c r="A48" s="94" t="s">
        <v>148</v>
      </c>
      <c r="B48" s="110" t="s">
        <v>150</v>
      </c>
      <c r="C48" s="96"/>
      <c r="D48" s="96"/>
      <c r="E48" s="96" t="e">
        <f t="shared" si="11"/>
        <v>#DIV/0!</v>
      </c>
      <c r="F48" s="97">
        <v>0</v>
      </c>
      <c r="G48" s="97">
        <v>0</v>
      </c>
      <c r="H48" s="97" t="e">
        <f t="shared" si="14"/>
        <v>#DIV/0!</v>
      </c>
      <c r="I48" s="98">
        <f t="shared" si="9"/>
        <v>0</v>
      </c>
      <c r="J48" s="99"/>
      <c r="K48" s="100">
        <f t="shared" si="13"/>
        <v>0</v>
      </c>
      <c r="L48" s="98">
        <f t="shared" si="5"/>
        <v>0</v>
      </c>
      <c r="M48" s="99"/>
      <c r="N48" s="100">
        <f t="shared" si="6"/>
        <v>0</v>
      </c>
      <c r="O48" s="86" t="e">
        <f t="shared" si="1"/>
        <v>#DIV/0!</v>
      </c>
    </row>
    <row r="49" spans="1:15" ht="60">
      <c r="A49" s="94" t="s">
        <v>148</v>
      </c>
      <c r="B49" s="110" t="s">
        <v>151</v>
      </c>
      <c r="C49" s="96">
        <v>6235.5</v>
      </c>
      <c r="D49" s="97">
        <v>4781</v>
      </c>
      <c r="E49" s="84">
        <f t="shared" si="11"/>
        <v>76.67388340951007</v>
      </c>
      <c r="F49" s="97">
        <v>0</v>
      </c>
      <c r="G49" s="97"/>
      <c r="H49" s="97" t="e">
        <f t="shared" si="14"/>
        <v>#DIV/0!</v>
      </c>
      <c r="I49" s="98">
        <f t="shared" si="9"/>
        <v>6235.5</v>
      </c>
      <c r="J49" s="99"/>
      <c r="K49" s="100">
        <f t="shared" si="13"/>
        <v>6235.5</v>
      </c>
      <c r="L49" s="98">
        <f t="shared" si="5"/>
        <v>4781</v>
      </c>
      <c r="M49" s="99"/>
      <c r="N49" s="100">
        <f t="shared" si="6"/>
        <v>4781</v>
      </c>
      <c r="O49" s="86">
        <f t="shared" si="1"/>
        <v>76.67388340951007</v>
      </c>
    </row>
    <row r="50" spans="1:15" ht="78.75" customHeight="1" hidden="1">
      <c r="A50" s="82" t="s">
        <v>148</v>
      </c>
      <c r="B50" s="110" t="s">
        <v>152</v>
      </c>
      <c r="C50" s="96"/>
      <c r="D50" s="97">
        <v>0</v>
      </c>
      <c r="E50" s="96" t="e">
        <f t="shared" si="11"/>
        <v>#DIV/0!</v>
      </c>
      <c r="F50" s="97"/>
      <c r="G50" s="97"/>
      <c r="H50" s="97" t="e">
        <f t="shared" si="14"/>
        <v>#DIV/0!</v>
      </c>
      <c r="I50" s="98">
        <f t="shared" si="9"/>
        <v>0</v>
      </c>
      <c r="J50" s="99"/>
      <c r="K50" s="100">
        <f t="shared" si="13"/>
        <v>0</v>
      </c>
      <c r="L50" s="98">
        <f t="shared" si="5"/>
        <v>0</v>
      </c>
      <c r="M50" s="99"/>
      <c r="N50" s="100">
        <f t="shared" si="6"/>
        <v>0</v>
      </c>
      <c r="O50" s="86" t="e">
        <f t="shared" si="1"/>
        <v>#DIV/0!</v>
      </c>
    </row>
    <row r="51" spans="1:15" ht="60" hidden="1">
      <c r="A51" s="82" t="s">
        <v>148</v>
      </c>
      <c r="B51" s="110" t="s">
        <v>153</v>
      </c>
      <c r="C51" s="96"/>
      <c r="D51" s="97"/>
      <c r="E51" s="96" t="e">
        <f>D51/C51*100</f>
        <v>#DIV/0!</v>
      </c>
      <c r="F51" s="97"/>
      <c r="G51" s="97"/>
      <c r="H51" s="97" t="e">
        <f>G51/F51*100</f>
        <v>#DIV/0!</v>
      </c>
      <c r="I51" s="98">
        <f t="shared" si="9"/>
        <v>0</v>
      </c>
      <c r="J51" s="99"/>
      <c r="K51" s="100">
        <f t="shared" si="13"/>
        <v>0</v>
      </c>
      <c r="L51" s="98">
        <f t="shared" si="5"/>
        <v>0</v>
      </c>
      <c r="M51" s="99"/>
      <c r="N51" s="100">
        <f t="shared" si="6"/>
        <v>0</v>
      </c>
      <c r="O51" s="86" t="e">
        <f>N51/K51*100</f>
        <v>#DIV/0!</v>
      </c>
    </row>
    <row r="52" spans="1:15" ht="30">
      <c r="A52" s="82" t="s">
        <v>148</v>
      </c>
      <c r="B52" s="110" t="s">
        <v>154</v>
      </c>
      <c r="C52" s="96">
        <v>1952.4</v>
      </c>
      <c r="D52" s="97">
        <v>1361.1</v>
      </c>
      <c r="E52" s="96">
        <f t="shared" si="11"/>
        <v>69.71419791026429</v>
      </c>
      <c r="F52" s="97">
        <v>0</v>
      </c>
      <c r="G52" s="97"/>
      <c r="H52" s="97" t="e">
        <f t="shared" si="14"/>
        <v>#DIV/0!</v>
      </c>
      <c r="I52" s="98">
        <f t="shared" si="9"/>
        <v>1952.4</v>
      </c>
      <c r="J52" s="99"/>
      <c r="K52" s="100">
        <f t="shared" si="13"/>
        <v>1952.4</v>
      </c>
      <c r="L52" s="98">
        <f>D52+G52</f>
        <v>1361.1</v>
      </c>
      <c r="M52" s="99"/>
      <c r="N52" s="100">
        <f t="shared" si="6"/>
        <v>1361.1</v>
      </c>
      <c r="O52" s="86">
        <f t="shared" si="1"/>
        <v>69.71419791026429</v>
      </c>
    </row>
    <row r="53" spans="1:15" ht="30" hidden="1">
      <c r="A53" s="82" t="s">
        <v>148</v>
      </c>
      <c r="B53" s="110" t="s">
        <v>155</v>
      </c>
      <c r="C53" s="96"/>
      <c r="D53" s="97"/>
      <c r="E53" s="96" t="e">
        <f t="shared" si="11"/>
        <v>#DIV/0!</v>
      </c>
      <c r="F53" s="97"/>
      <c r="G53" s="97"/>
      <c r="H53" s="97" t="e">
        <f t="shared" si="14"/>
        <v>#DIV/0!</v>
      </c>
      <c r="I53" s="98">
        <f t="shared" si="9"/>
        <v>0</v>
      </c>
      <c r="J53" s="99"/>
      <c r="K53" s="100">
        <f t="shared" si="13"/>
        <v>0</v>
      </c>
      <c r="L53" s="98">
        <f t="shared" si="5"/>
        <v>0</v>
      </c>
      <c r="M53" s="99"/>
      <c r="N53" s="100">
        <f t="shared" si="6"/>
        <v>0</v>
      </c>
      <c r="O53" s="86" t="e">
        <f t="shared" si="1"/>
        <v>#DIV/0!</v>
      </c>
    </row>
    <row r="54" spans="1:15" ht="30">
      <c r="A54" s="82" t="s">
        <v>148</v>
      </c>
      <c r="B54" s="110" t="s">
        <v>156</v>
      </c>
      <c r="C54" s="96">
        <v>5780.8</v>
      </c>
      <c r="D54" s="97"/>
      <c r="E54" s="96">
        <f t="shared" si="11"/>
        <v>0</v>
      </c>
      <c r="F54" s="97"/>
      <c r="G54" s="97"/>
      <c r="H54" s="97" t="e">
        <f t="shared" si="14"/>
        <v>#DIV/0!</v>
      </c>
      <c r="I54" s="98">
        <f t="shared" si="9"/>
        <v>5780.8</v>
      </c>
      <c r="J54" s="99"/>
      <c r="K54" s="100">
        <f t="shared" si="13"/>
        <v>5780.8</v>
      </c>
      <c r="L54" s="98">
        <f t="shared" si="5"/>
        <v>0</v>
      </c>
      <c r="M54" s="99"/>
      <c r="N54" s="100">
        <f t="shared" si="6"/>
        <v>0</v>
      </c>
      <c r="O54" s="86">
        <f t="shared" si="1"/>
        <v>0</v>
      </c>
    </row>
    <row r="55" spans="1:15" ht="30" hidden="1">
      <c r="A55" s="82" t="s">
        <v>148</v>
      </c>
      <c r="B55" s="110" t="s">
        <v>157</v>
      </c>
      <c r="C55" s="96"/>
      <c r="D55" s="97"/>
      <c r="E55" s="96" t="e">
        <f>D55/C55*100</f>
        <v>#DIV/0!</v>
      </c>
      <c r="F55" s="97"/>
      <c r="G55" s="97"/>
      <c r="H55" s="97" t="e">
        <f t="shared" si="14"/>
        <v>#DIV/0!</v>
      </c>
      <c r="I55" s="98">
        <f t="shared" si="9"/>
        <v>0</v>
      </c>
      <c r="J55" s="99"/>
      <c r="K55" s="100">
        <f t="shared" si="13"/>
        <v>0</v>
      </c>
      <c r="L55" s="98">
        <f t="shared" si="5"/>
        <v>0</v>
      </c>
      <c r="M55" s="99"/>
      <c r="N55" s="100">
        <f t="shared" si="6"/>
        <v>0</v>
      </c>
      <c r="O55" s="86" t="e">
        <f t="shared" si="1"/>
        <v>#DIV/0!</v>
      </c>
    </row>
    <row r="56" spans="1:15" ht="60" hidden="1">
      <c r="A56" s="82" t="s">
        <v>148</v>
      </c>
      <c r="B56" s="110" t="s">
        <v>158</v>
      </c>
      <c r="C56" s="96"/>
      <c r="D56" s="97"/>
      <c r="E56" s="96" t="e">
        <f>D56/C56*100</f>
        <v>#DIV/0!</v>
      </c>
      <c r="F56" s="97"/>
      <c r="G56" s="97"/>
      <c r="H56" s="97"/>
      <c r="I56" s="98">
        <f t="shared" si="9"/>
        <v>0</v>
      </c>
      <c r="J56" s="99"/>
      <c r="K56" s="100">
        <f t="shared" si="13"/>
        <v>0</v>
      </c>
      <c r="L56" s="98">
        <f t="shared" si="5"/>
        <v>0</v>
      </c>
      <c r="M56" s="99"/>
      <c r="N56" s="100">
        <f t="shared" si="6"/>
        <v>0</v>
      </c>
      <c r="O56" s="86" t="e">
        <f t="shared" si="1"/>
        <v>#DIV/0!</v>
      </c>
    </row>
    <row r="57" spans="1:15" ht="30" hidden="1">
      <c r="A57" s="82" t="s">
        <v>148</v>
      </c>
      <c r="B57" s="110" t="s">
        <v>159</v>
      </c>
      <c r="C57" s="96">
        <v>0</v>
      </c>
      <c r="D57" s="97">
        <v>0</v>
      </c>
      <c r="E57" s="96"/>
      <c r="F57" s="97">
        <v>0</v>
      </c>
      <c r="G57" s="97">
        <v>0</v>
      </c>
      <c r="H57" s="97" t="e">
        <f>G57/F57*100</f>
        <v>#DIV/0!</v>
      </c>
      <c r="I57" s="98">
        <f t="shared" si="9"/>
        <v>0</v>
      </c>
      <c r="J57" s="99"/>
      <c r="K57" s="100">
        <f t="shared" si="13"/>
        <v>0</v>
      </c>
      <c r="L57" s="98">
        <f t="shared" si="5"/>
        <v>0</v>
      </c>
      <c r="M57" s="99"/>
      <c r="N57" s="100">
        <f t="shared" si="6"/>
        <v>0</v>
      </c>
      <c r="O57" s="86" t="e">
        <f t="shared" si="1"/>
        <v>#DIV/0!</v>
      </c>
    </row>
    <row r="58" spans="1:15" ht="30" hidden="1">
      <c r="A58" s="82" t="s">
        <v>148</v>
      </c>
      <c r="B58" s="110" t="s">
        <v>160</v>
      </c>
      <c r="C58" s="96">
        <v>0</v>
      </c>
      <c r="D58" s="97">
        <v>0</v>
      </c>
      <c r="E58" s="96"/>
      <c r="F58" s="97"/>
      <c r="G58" s="97"/>
      <c r="H58" s="97" t="e">
        <f t="shared" si="14"/>
        <v>#DIV/0!</v>
      </c>
      <c r="I58" s="98">
        <f t="shared" si="9"/>
        <v>0</v>
      </c>
      <c r="J58" s="99"/>
      <c r="K58" s="100">
        <f t="shared" si="13"/>
        <v>0</v>
      </c>
      <c r="L58" s="98">
        <f t="shared" si="5"/>
        <v>0</v>
      </c>
      <c r="M58" s="99"/>
      <c r="N58" s="100">
        <f t="shared" si="6"/>
        <v>0</v>
      </c>
      <c r="O58" s="86" t="e">
        <f t="shared" si="1"/>
        <v>#DIV/0!</v>
      </c>
    </row>
    <row r="59" spans="1:15" ht="14.25">
      <c r="A59" s="89" t="s">
        <v>161</v>
      </c>
      <c r="B59" s="90" t="s">
        <v>162</v>
      </c>
      <c r="C59" s="91">
        <f>SUM(C60:C108)</f>
        <v>876160.2000000001</v>
      </c>
      <c r="D59" s="91">
        <f>SUM(D60:D108)</f>
        <v>527057.7000000001</v>
      </c>
      <c r="E59" s="91">
        <f t="shared" si="11"/>
        <v>60.15540308724364</v>
      </c>
      <c r="F59" s="111">
        <f>SUM(F60:F108)</f>
        <v>145248.7</v>
      </c>
      <c r="G59" s="111">
        <f>SUM(G60:G108)</f>
        <v>71118.3</v>
      </c>
      <c r="H59" s="111">
        <f>G59/F59*100</f>
        <v>48.963123249984335</v>
      </c>
      <c r="I59" s="112">
        <f t="shared" si="9"/>
        <v>1021408.9000000001</v>
      </c>
      <c r="J59" s="91">
        <f>SUM(J60:J108)</f>
        <v>58033.3</v>
      </c>
      <c r="K59" s="91">
        <f>SUM(K60:K108)</f>
        <v>963375.6</v>
      </c>
      <c r="L59" s="91">
        <f>SUM(L60:L108)</f>
        <v>598175.9999999999</v>
      </c>
      <c r="M59" s="91">
        <f>SUM(M60:M108)</f>
        <v>33526</v>
      </c>
      <c r="N59" s="91">
        <f>SUM(N60:N108)</f>
        <v>564649.9999999998</v>
      </c>
      <c r="O59" s="93">
        <f t="shared" si="1"/>
        <v>58.611615241241296</v>
      </c>
    </row>
    <row r="60" spans="1:15" ht="45" hidden="1">
      <c r="A60" s="94" t="s">
        <v>163</v>
      </c>
      <c r="B60" s="95" t="s">
        <v>164</v>
      </c>
      <c r="C60" s="96"/>
      <c r="D60" s="96"/>
      <c r="E60" s="84" t="e">
        <f t="shared" si="11"/>
        <v>#DIV/0!</v>
      </c>
      <c r="F60" s="97">
        <v>0</v>
      </c>
      <c r="G60" s="97">
        <v>0</v>
      </c>
      <c r="H60" s="85">
        <v>0</v>
      </c>
      <c r="I60" s="98">
        <f t="shared" si="9"/>
        <v>0</v>
      </c>
      <c r="J60" s="99"/>
      <c r="K60" s="100">
        <f t="shared" si="13"/>
        <v>0</v>
      </c>
      <c r="L60" s="98">
        <f t="shared" si="5"/>
        <v>0</v>
      </c>
      <c r="M60" s="99"/>
      <c r="N60" s="100">
        <f t="shared" si="6"/>
        <v>0</v>
      </c>
      <c r="O60" s="86" t="e">
        <f t="shared" si="1"/>
        <v>#DIV/0!</v>
      </c>
    </row>
    <row r="61" spans="1:15" ht="30" hidden="1">
      <c r="A61" s="94" t="s">
        <v>163</v>
      </c>
      <c r="B61" s="95" t="s">
        <v>165</v>
      </c>
      <c r="C61" s="96"/>
      <c r="D61" s="96"/>
      <c r="E61" s="84"/>
      <c r="F61" s="97"/>
      <c r="G61" s="97"/>
      <c r="H61" s="85">
        <v>0</v>
      </c>
      <c r="I61" s="98">
        <f t="shared" si="9"/>
        <v>0</v>
      </c>
      <c r="J61" s="99"/>
      <c r="K61" s="100">
        <f>I61-J61</f>
        <v>0</v>
      </c>
      <c r="L61" s="98">
        <f>D61+G61</f>
        <v>0</v>
      </c>
      <c r="M61" s="99"/>
      <c r="N61" s="100">
        <f t="shared" si="6"/>
        <v>0</v>
      </c>
      <c r="O61" s="86" t="e">
        <f t="shared" si="1"/>
        <v>#DIV/0!</v>
      </c>
    </row>
    <row r="62" spans="1:15" ht="30" hidden="1">
      <c r="A62" s="94" t="s">
        <v>163</v>
      </c>
      <c r="B62" s="95" t="s">
        <v>166</v>
      </c>
      <c r="C62" s="96">
        <v>0</v>
      </c>
      <c r="D62" s="96">
        <v>0</v>
      </c>
      <c r="E62" s="84" t="e">
        <f t="shared" si="11"/>
        <v>#DIV/0!</v>
      </c>
      <c r="F62" s="97"/>
      <c r="G62" s="97"/>
      <c r="H62" s="85">
        <v>0</v>
      </c>
      <c r="I62" s="98">
        <f t="shared" si="9"/>
        <v>0</v>
      </c>
      <c r="J62" s="99"/>
      <c r="K62" s="100">
        <f aca="true" t="shared" si="15" ref="K62:K108">I62-J62</f>
        <v>0</v>
      </c>
      <c r="L62" s="98">
        <f t="shared" si="5"/>
        <v>0</v>
      </c>
      <c r="M62" s="99"/>
      <c r="N62" s="100">
        <f t="shared" si="6"/>
        <v>0</v>
      </c>
      <c r="O62" s="86" t="e">
        <f>N62/K62*100</f>
        <v>#DIV/0!</v>
      </c>
    </row>
    <row r="63" spans="1:15" ht="30" hidden="1">
      <c r="A63" s="94" t="s">
        <v>163</v>
      </c>
      <c r="B63" s="95" t="s">
        <v>167</v>
      </c>
      <c r="C63" s="96"/>
      <c r="D63" s="96"/>
      <c r="E63" s="84" t="e">
        <f t="shared" si="11"/>
        <v>#DIV/0!</v>
      </c>
      <c r="F63" s="97"/>
      <c r="G63" s="97"/>
      <c r="H63" s="85">
        <v>0</v>
      </c>
      <c r="I63" s="98">
        <f t="shared" si="9"/>
        <v>0</v>
      </c>
      <c r="J63" s="99"/>
      <c r="K63" s="100">
        <f t="shared" si="15"/>
        <v>0</v>
      </c>
      <c r="L63" s="98">
        <f t="shared" si="5"/>
        <v>0</v>
      </c>
      <c r="M63" s="99"/>
      <c r="N63" s="100">
        <f t="shared" si="6"/>
        <v>0</v>
      </c>
      <c r="O63" s="86"/>
    </row>
    <row r="64" spans="1:15" ht="60">
      <c r="A64" s="94" t="s">
        <v>163</v>
      </c>
      <c r="B64" s="95" t="s">
        <v>168</v>
      </c>
      <c r="C64" s="96">
        <v>165896.6</v>
      </c>
      <c r="D64" s="96">
        <v>165502.2</v>
      </c>
      <c r="E64" s="84">
        <f t="shared" si="11"/>
        <v>99.76226155328078</v>
      </c>
      <c r="F64" s="97"/>
      <c r="G64" s="97"/>
      <c r="H64" s="85">
        <v>0</v>
      </c>
      <c r="I64" s="98">
        <f t="shared" si="9"/>
        <v>165896.6</v>
      </c>
      <c r="J64" s="99"/>
      <c r="K64" s="100">
        <f t="shared" si="15"/>
        <v>165896.6</v>
      </c>
      <c r="L64" s="98">
        <f t="shared" si="5"/>
        <v>165502.2</v>
      </c>
      <c r="M64" s="99"/>
      <c r="N64" s="100">
        <f t="shared" si="6"/>
        <v>165502.2</v>
      </c>
      <c r="O64" s="86">
        <f>N64/K64*100</f>
        <v>99.76226155328078</v>
      </c>
    </row>
    <row r="65" spans="1:15" ht="75" hidden="1">
      <c r="A65" s="94" t="s">
        <v>163</v>
      </c>
      <c r="B65" s="95" t="s">
        <v>169</v>
      </c>
      <c r="C65" s="96">
        <v>3566.8</v>
      </c>
      <c r="D65" s="96"/>
      <c r="E65" s="84">
        <f t="shared" si="11"/>
        <v>0</v>
      </c>
      <c r="F65" s="97"/>
      <c r="G65" s="97"/>
      <c r="H65" s="85">
        <v>0</v>
      </c>
      <c r="I65" s="98">
        <f t="shared" si="9"/>
        <v>3566.8</v>
      </c>
      <c r="J65" s="99"/>
      <c r="K65" s="100">
        <f t="shared" si="15"/>
        <v>3566.8</v>
      </c>
      <c r="L65" s="98">
        <f t="shared" si="5"/>
        <v>0</v>
      </c>
      <c r="M65" s="99"/>
      <c r="N65" s="100">
        <f t="shared" si="6"/>
        <v>0</v>
      </c>
      <c r="O65" s="86">
        <f t="shared" si="1"/>
        <v>0</v>
      </c>
    </row>
    <row r="66" spans="1:15" ht="60" hidden="1">
      <c r="A66" s="94" t="s">
        <v>163</v>
      </c>
      <c r="B66" s="95" t="s">
        <v>170</v>
      </c>
      <c r="C66" s="96"/>
      <c r="D66" s="96"/>
      <c r="E66" s="84" t="e">
        <f t="shared" si="11"/>
        <v>#DIV/0!</v>
      </c>
      <c r="F66" s="97"/>
      <c r="G66" s="97"/>
      <c r="H66" s="85">
        <v>0</v>
      </c>
      <c r="I66" s="98">
        <f t="shared" si="9"/>
        <v>0</v>
      </c>
      <c r="J66" s="99"/>
      <c r="K66" s="100">
        <f t="shared" si="15"/>
        <v>0</v>
      </c>
      <c r="L66" s="98">
        <f t="shared" si="5"/>
        <v>0</v>
      </c>
      <c r="M66" s="99"/>
      <c r="N66" s="100">
        <f t="shared" si="6"/>
        <v>0</v>
      </c>
      <c r="O66" s="86" t="e">
        <f t="shared" si="1"/>
        <v>#DIV/0!</v>
      </c>
    </row>
    <row r="67" spans="1:15" ht="75" hidden="1">
      <c r="A67" s="94" t="s">
        <v>163</v>
      </c>
      <c r="B67" s="95" t="s">
        <v>171</v>
      </c>
      <c r="C67" s="96"/>
      <c r="D67" s="96"/>
      <c r="E67" s="84" t="e">
        <f t="shared" si="11"/>
        <v>#DIV/0!</v>
      </c>
      <c r="F67" s="97"/>
      <c r="G67" s="97"/>
      <c r="H67" s="85">
        <v>0</v>
      </c>
      <c r="I67" s="98">
        <f t="shared" si="9"/>
        <v>0</v>
      </c>
      <c r="J67" s="99"/>
      <c r="K67" s="100">
        <f t="shared" si="15"/>
        <v>0</v>
      </c>
      <c r="L67" s="98">
        <f t="shared" si="5"/>
        <v>0</v>
      </c>
      <c r="M67" s="99"/>
      <c r="N67" s="100">
        <f t="shared" si="6"/>
        <v>0</v>
      </c>
      <c r="O67" s="86" t="e">
        <f t="shared" si="1"/>
        <v>#DIV/0!</v>
      </c>
    </row>
    <row r="68" spans="1:15" ht="45">
      <c r="A68" s="94" t="s">
        <v>163</v>
      </c>
      <c r="B68" s="95" t="s">
        <v>172</v>
      </c>
      <c r="C68" s="96">
        <v>9567.4</v>
      </c>
      <c r="D68" s="96">
        <v>6532.8</v>
      </c>
      <c r="E68" s="84">
        <f>D68/C68*100</f>
        <v>68.28187386332756</v>
      </c>
      <c r="F68" s="97">
        <v>6210</v>
      </c>
      <c r="G68" s="97">
        <v>4881.7</v>
      </c>
      <c r="H68" s="85">
        <f aca="true" t="shared" si="16" ref="H68:H76">G68/F68*100</f>
        <v>78.61030595813205</v>
      </c>
      <c r="I68" s="98">
        <f t="shared" si="9"/>
        <v>15777.4</v>
      </c>
      <c r="J68" s="99">
        <v>7610</v>
      </c>
      <c r="K68" s="100">
        <f t="shared" si="15"/>
        <v>8167.4</v>
      </c>
      <c r="L68" s="98">
        <f t="shared" si="5"/>
        <v>11414.5</v>
      </c>
      <c r="M68" s="99">
        <v>5733.5</v>
      </c>
      <c r="N68" s="100">
        <f t="shared" si="6"/>
        <v>5681</v>
      </c>
      <c r="O68" s="86">
        <f>N68/K68*100</f>
        <v>69.55701936968926</v>
      </c>
    </row>
    <row r="69" spans="1:15" ht="42.75" customHeight="1">
      <c r="A69" s="94" t="s">
        <v>163</v>
      </c>
      <c r="B69" s="95" t="s">
        <v>173</v>
      </c>
      <c r="C69" s="96">
        <v>2212.8</v>
      </c>
      <c r="D69" s="96">
        <v>1375.4</v>
      </c>
      <c r="E69" s="84">
        <f>D69/C69*100</f>
        <v>62.15654374548084</v>
      </c>
      <c r="F69" s="97"/>
      <c r="G69" s="97"/>
      <c r="H69" s="85" t="e">
        <f t="shared" si="16"/>
        <v>#DIV/0!</v>
      </c>
      <c r="I69" s="98">
        <f t="shared" si="9"/>
        <v>2212.8</v>
      </c>
      <c r="J69" s="99"/>
      <c r="K69" s="100">
        <f t="shared" si="15"/>
        <v>2212.8</v>
      </c>
      <c r="L69" s="98">
        <f t="shared" si="5"/>
        <v>1375.4</v>
      </c>
      <c r="M69" s="99"/>
      <c r="N69" s="100">
        <f t="shared" si="6"/>
        <v>1375.4</v>
      </c>
      <c r="O69" s="86">
        <f t="shared" si="1"/>
        <v>62.15654374548084</v>
      </c>
    </row>
    <row r="70" spans="1:15" ht="33" customHeight="1">
      <c r="A70" s="82" t="s">
        <v>163</v>
      </c>
      <c r="B70" s="95" t="s">
        <v>174</v>
      </c>
      <c r="C70" s="96">
        <v>21696.6</v>
      </c>
      <c r="D70" s="96">
        <v>6118.4</v>
      </c>
      <c r="E70" s="84">
        <f t="shared" si="11"/>
        <v>28.199810108496266</v>
      </c>
      <c r="F70" s="97">
        <v>24208.7</v>
      </c>
      <c r="G70" s="97">
        <v>9165.1</v>
      </c>
      <c r="H70" s="85">
        <f t="shared" si="16"/>
        <v>37.8587036891696</v>
      </c>
      <c r="I70" s="98">
        <f t="shared" si="9"/>
        <v>45905.3</v>
      </c>
      <c r="J70" s="99">
        <v>13376</v>
      </c>
      <c r="K70" s="100">
        <f t="shared" si="15"/>
        <v>32529.300000000003</v>
      </c>
      <c r="L70" s="98">
        <f t="shared" si="5"/>
        <v>15283.5</v>
      </c>
      <c r="M70" s="99">
        <v>4858.4</v>
      </c>
      <c r="N70" s="100">
        <f t="shared" si="6"/>
        <v>10425.1</v>
      </c>
      <c r="O70" s="86">
        <f t="shared" si="1"/>
        <v>32.04833795993151</v>
      </c>
    </row>
    <row r="71" spans="1:15" ht="73.5" customHeight="1">
      <c r="A71" s="104" t="s">
        <v>175</v>
      </c>
      <c r="B71" s="113" t="s">
        <v>176</v>
      </c>
      <c r="C71" s="84">
        <v>105753.3</v>
      </c>
      <c r="D71" s="84">
        <v>96054</v>
      </c>
      <c r="E71" s="84">
        <f t="shared" si="11"/>
        <v>90.8283713132356</v>
      </c>
      <c r="F71" s="85">
        <v>6169.8</v>
      </c>
      <c r="G71" s="85">
        <v>6169.8</v>
      </c>
      <c r="H71" s="85">
        <f t="shared" si="16"/>
        <v>100</v>
      </c>
      <c r="I71" s="98">
        <f t="shared" si="9"/>
        <v>111923.1</v>
      </c>
      <c r="J71" s="99">
        <v>0</v>
      </c>
      <c r="K71" s="100">
        <f t="shared" si="15"/>
        <v>111923.1</v>
      </c>
      <c r="L71" s="98">
        <f t="shared" si="5"/>
        <v>102223.8</v>
      </c>
      <c r="M71" s="99">
        <v>0</v>
      </c>
      <c r="N71" s="100">
        <f t="shared" si="6"/>
        <v>102223.8</v>
      </c>
      <c r="O71" s="86">
        <f t="shared" si="1"/>
        <v>91.33396054969886</v>
      </c>
    </row>
    <row r="72" spans="1:15" ht="120" hidden="1">
      <c r="A72" s="104" t="s">
        <v>175</v>
      </c>
      <c r="B72" s="95" t="s">
        <v>177</v>
      </c>
      <c r="C72" s="96"/>
      <c r="D72" s="96"/>
      <c r="E72" s="84" t="e">
        <f t="shared" si="11"/>
        <v>#DIV/0!</v>
      </c>
      <c r="F72" s="97"/>
      <c r="G72" s="97"/>
      <c r="H72" s="85" t="e">
        <f t="shared" si="16"/>
        <v>#DIV/0!</v>
      </c>
      <c r="I72" s="98">
        <f t="shared" si="9"/>
        <v>0</v>
      </c>
      <c r="J72" s="99"/>
      <c r="K72" s="100">
        <f t="shared" si="15"/>
        <v>0</v>
      </c>
      <c r="L72" s="98">
        <f t="shared" si="5"/>
        <v>0</v>
      </c>
      <c r="M72" s="99"/>
      <c r="N72" s="100">
        <f t="shared" si="6"/>
        <v>0</v>
      </c>
      <c r="O72" s="86" t="e">
        <f t="shared" si="1"/>
        <v>#DIV/0!</v>
      </c>
    </row>
    <row r="73" spans="1:15" ht="90" hidden="1">
      <c r="A73" s="94" t="s">
        <v>175</v>
      </c>
      <c r="B73" s="95" t="s">
        <v>178</v>
      </c>
      <c r="C73" s="96"/>
      <c r="D73" s="96"/>
      <c r="E73" s="84" t="e">
        <f t="shared" si="11"/>
        <v>#DIV/0!</v>
      </c>
      <c r="F73" s="97"/>
      <c r="G73" s="97"/>
      <c r="H73" s="85" t="e">
        <f t="shared" si="16"/>
        <v>#DIV/0!</v>
      </c>
      <c r="I73" s="98">
        <f t="shared" si="9"/>
        <v>0</v>
      </c>
      <c r="J73" s="99"/>
      <c r="K73" s="100">
        <f t="shared" si="15"/>
        <v>0</v>
      </c>
      <c r="L73" s="98">
        <f t="shared" si="5"/>
        <v>0</v>
      </c>
      <c r="M73" s="99"/>
      <c r="N73" s="100">
        <f t="shared" si="6"/>
        <v>0</v>
      </c>
      <c r="O73" s="86" t="e">
        <f t="shared" si="1"/>
        <v>#DIV/0!</v>
      </c>
    </row>
    <row r="74" spans="1:15" ht="75" hidden="1">
      <c r="A74" s="82" t="s">
        <v>175</v>
      </c>
      <c r="B74" s="95" t="s">
        <v>179</v>
      </c>
      <c r="C74" s="96"/>
      <c r="D74" s="96"/>
      <c r="E74" s="84" t="e">
        <f t="shared" si="11"/>
        <v>#DIV/0!</v>
      </c>
      <c r="F74" s="97"/>
      <c r="G74" s="97"/>
      <c r="H74" s="85" t="e">
        <f t="shared" si="16"/>
        <v>#DIV/0!</v>
      </c>
      <c r="I74" s="98">
        <f t="shared" si="9"/>
        <v>0</v>
      </c>
      <c r="J74" s="99"/>
      <c r="K74" s="100">
        <f t="shared" si="15"/>
        <v>0</v>
      </c>
      <c r="L74" s="98">
        <f t="shared" si="5"/>
        <v>0</v>
      </c>
      <c r="M74" s="99"/>
      <c r="N74" s="100">
        <f t="shared" si="6"/>
        <v>0</v>
      </c>
      <c r="O74" s="86" t="e">
        <f t="shared" si="1"/>
        <v>#DIV/0!</v>
      </c>
    </row>
    <row r="75" spans="1:15" ht="75" hidden="1">
      <c r="A75" s="82" t="s">
        <v>175</v>
      </c>
      <c r="B75" s="95" t="s">
        <v>180</v>
      </c>
      <c r="C75" s="96"/>
      <c r="D75" s="96"/>
      <c r="E75" s="84" t="e">
        <f t="shared" si="11"/>
        <v>#DIV/0!</v>
      </c>
      <c r="F75" s="97"/>
      <c r="G75" s="97"/>
      <c r="H75" s="85" t="e">
        <f t="shared" si="16"/>
        <v>#DIV/0!</v>
      </c>
      <c r="I75" s="98">
        <f t="shared" si="9"/>
        <v>0</v>
      </c>
      <c r="J75" s="99"/>
      <c r="K75" s="100">
        <f t="shared" si="15"/>
        <v>0</v>
      </c>
      <c r="L75" s="98">
        <f t="shared" si="5"/>
        <v>0</v>
      </c>
      <c r="M75" s="99"/>
      <c r="N75" s="100">
        <f t="shared" si="6"/>
        <v>0</v>
      </c>
      <c r="O75" s="86" t="e">
        <f t="shared" si="1"/>
        <v>#DIV/0!</v>
      </c>
    </row>
    <row r="76" spans="1:15" ht="30" hidden="1">
      <c r="A76" s="94" t="s">
        <v>175</v>
      </c>
      <c r="B76" s="95" t="s">
        <v>181</v>
      </c>
      <c r="C76" s="96"/>
      <c r="D76" s="96"/>
      <c r="E76" s="84" t="e">
        <f>D76/C76*100</f>
        <v>#DIV/0!</v>
      </c>
      <c r="F76" s="97">
        <v>0</v>
      </c>
      <c r="G76" s="97">
        <v>0</v>
      </c>
      <c r="H76" s="85" t="e">
        <f t="shared" si="16"/>
        <v>#DIV/0!</v>
      </c>
      <c r="I76" s="98">
        <f t="shared" si="9"/>
        <v>0</v>
      </c>
      <c r="J76" s="99"/>
      <c r="K76" s="100">
        <f t="shared" si="15"/>
        <v>0</v>
      </c>
      <c r="L76" s="98">
        <f t="shared" si="5"/>
        <v>0</v>
      </c>
      <c r="M76" s="99"/>
      <c r="N76" s="100">
        <f t="shared" si="6"/>
        <v>0</v>
      </c>
      <c r="O76" s="86" t="e">
        <f>N76/K76*100</f>
        <v>#DIV/0!</v>
      </c>
    </row>
    <row r="77" spans="1:15" ht="15" hidden="1">
      <c r="A77" s="94" t="s">
        <v>175</v>
      </c>
      <c r="B77" s="114"/>
      <c r="C77" s="96"/>
      <c r="D77" s="96"/>
      <c r="E77" s="84"/>
      <c r="F77" s="97"/>
      <c r="G77" s="97"/>
      <c r="H77" s="85"/>
      <c r="I77" s="98"/>
      <c r="J77" s="99"/>
      <c r="K77" s="100">
        <f t="shared" si="15"/>
        <v>0</v>
      </c>
      <c r="L77" s="98"/>
      <c r="M77" s="99"/>
      <c r="N77" s="100"/>
      <c r="O77" s="86"/>
    </row>
    <row r="78" spans="1:15" ht="25.5" hidden="1">
      <c r="A78" s="94" t="s">
        <v>175</v>
      </c>
      <c r="B78" s="114" t="s">
        <v>182</v>
      </c>
      <c r="C78" s="96"/>
      <c r="D78" s="96"/>
      <c r="E78" s="84" t="e">
        <f>D78/C78*100</f>
        <v>#DIV/0!</v>
      </c>
      <c r="F78" s="97"/>
      <c r="G78" s="97"/>
      <c r="H78" s="85" t="e">
        <f>G78/F78*100</f>
        <v>#DIV/0!</v>
      </c>
      <c r="I78" s="98">
        <f>C78+F78</f>
        <v>0</v>
      </c>
      <c r="J78" s="99"/>
      <c r="K78" s="100">
        <f t="shared" si="15"/>
        <v>0</v>
      </c>
      <c r="L78" s="98">
        <f>D78+G78</f>
        <v>0</v>
      </c>
      <c r="M78" s="99"/>
      <c r="N78" s="100">
        <f>L78-M78</f>
        <v>0</v>
      </c>
      <c r="O78" s="86"/>
    </row>
    <row r="79" spans="1:15" ht="45">
      <c r="A79" s="82" t="s">
        <v>175</v>
      </c>
      <c r="B79" s="110" t="s">
        <v>183</v>
      </c>
      <c r="C79" s="96">
        <v>3198.4</v>
      </c>
      <c r="D79" s="96">
        <v>2898.4</v>
      </c>
      <c r="E79" s="84">
        <f aca="true" t="shared" si="17" ref="E79:E91">D79/C79*100</f>
        <v>90.62031015507755</v>
      </c>
      <c r="F79" s="97">
        <v>5122</v>
      </c>
      <c r="G79" s="97">
        <v>5022</v>
      </c>
      <c r="H79" s="85">
        <f>G79/F79*100</f>
        <v>98.04763764154627</v>
      </c>
      <c r="I79" s="98">
        <f t="shared" si="9"/>
        <v>8320.4</v>
      </c>
      <c r="J79" s="99"/>
      <c r="K79" s="100">
        <f t="shared" si="15"/>
        <v>8320.4</v>
      </c>
      <c r="L79" s="98">
        <f>D79+G79</f>
        <v>7920.4</v>
      </c>
      <c r="M79" s="99">
        <v>0</v>
      </c>
      <c r="N79" s="100">
        <f>L79-M79</f>
        <v>7920.4</v>
      </c>
      <c r="O79" s="86">
        <f t="shared" si="1"/>
        <v>95.19253882024903</v>
      </c>
    </row>
    <row r="80" spans="1:15" ht="40.5" customHeight="1">
      <c r="A80" s="82" t="s">
        <v>175</v>
      </c>
      <c r="B80" s="110" t="s">
        <v>184</v>
      </c>
      <c r="C80" s="96">
        <v>28667.6</v>
      </c>
      <c r="D80" s="96"/>
      <c r="E80" s="84">
        <f t="shared" si="17"/>
        <v>0</v>
      </c>
      <c r="F80" s="97">
        <v>0</v>
      </c>
      <c r="G80" s="97">
        <v>0</v>
      </c>
      <c r="H80" s="85" t="e">
        <f>G80/F80*100</f>
        <v>#DIV/0!</v>
      </c>
      <c r="I80" s="98">
        <f t="shared" si="9"/>
        <v>28667.6</v>
      </c>
      <c r="J80" s="99"/>
      <c r="K80" s="100">
        <f t="shared" si="15"/>
        <v>28667.6</v>
      </c>
      <c r="L80" s="98">
        <f t="shared" si="5"/>
        <v>0</v>
      </c>
      <c r="M80" s="99"/>
      <c r="N80" s="100">
        <f t="shared" si="6"/>
        <v>0</v>
      </c>
      <c r="O80" s="86"/>
    </row>
    <row r="81" spans="1:15" ht="15" hidden="1">
      <c r="A81" s="82" t="s">
        <v>175</v>
      </c>
      <c r="B81" s="110" t="s">
        <v>185</v>
      </c>
      <c r="C81" s="96">
        <v>0</v>
      </c>
      <c r="D81" s="96">
        <v>0</v>
      </c>
      <c r="E81" s="84" t="e">
        <f t="shared" si="17"/>
        <v>#DIV/0!</v>
      </c>
      <c r="F81" s="97"/>
      <c r="G81" s="97"/>
      <c r="H81" s="85"/>
      <c r="I81" s="98">
        <f t="shared" si="9"/>
        <v>0</v>
      </c>
      <c r="J81" s="99"/>
      <c r="K81" s="100">
        <f t="shared" si="15"/>
        <v>0</v>
      </c>
      <c r="L81" s="98">
        <f t="shared" si="5"/>
        <v>0</v>
      </c>
      <c r="M81" s="99"/>
      <c r="N81" s="100">
        <f t="shared" si="6"/>
        <v>0</v>
      </c>
      <c r="O81" s="86"/>
    </row>
    <row r="82" spans="1:15" ht="60" hidden="1">
      <c r="A82" s="82" t="s">
        <v>175</v>
      </c>
      <c r="B82" s="115" t="s">
        <v>186</v>
      </c>
      <c r="C82" s="96">
        <v>0</v>
      </c>
      <c r="D82" s="96">
        <v>0</v>
      </c>
      <c r="E82" s="84" t="e">
        <f t="shared" si="17"/>
        <v>#DIV/0!</v>
      </c>
      <c r="F82" s="97"/>
      <c r="G82" s="97"/>
      <c r="H82" s="85" t="e">
        <f aca="true" t="shared" si="18" ref="H82:H91">G82/F82*100</f>
        <v>#DIV/0!</v>
      </c>
      <c r="I82" s="98">
        <f t="shared" si="9"/>
        <v>0</v>
      </c>
      <c r="J82" s="99"/>
      <c r="K82" s="100">
        <f t="shared" si="15"/>
        <v>0</v>
      </c>
      <c r="L82" s="98">
        <f t="shared" si="5"/>
        <v>0</v>
      </c>
      <c r="M82" s="99"/>
      <c r="N82" s="100">
        <f t="shared" si="6"/>
        <v>0</v>
      </c>
      <c r="O82" s="86" t="e">
        <f>N82/K82*100</f>
        <v>#DIV/0!</v>
      </c>
    </row>
    <row r="83" spans="1:15" ht="30">
      <c r="A83" s="82" t="s">
        <v>175</v>
      </c>
      <c r="B83" s="110" t="s">
        <v>187</v>
      </c>
      <c r="C83" s="96">
        <v>655.4</v>
      </c>
      <c r="D83" s="96">
        <v>393.9</v>
      </c>
      <c r="E83" s="84">
        <f t="shared" si="17"/>
        <v>60.10070186145865</v>
      </c>
      <c r="F83" s="97">
        <v>655.4</v>
      </c>
      <c r="G83" s="97">
        <v>394</v>
      </c>
      <c r="H83" s="85">
        <f t="shared" si="18"/>
        <v>60.11595971925542</v>
      </c>
      <c r="I83" s="98">
        <f t="shared" si="9"/>
        <v>1310.8</v>
      </c>
      <c r="J83" s="99">
        <v>655.4</v>
      </c>
      <c r="K83" s="100">
        <f t="shared" si="15"/>
        <v>655.4</v>
      </c>
      <c r="L83" s="98">
        <f t="shared" si="5"/>
        <v>787.9</v>
      </c>
      <c r="M83" s="99">
        <v>393.8</v>
      </c>
      <c r="N83" s="100">
        <f t="shared" si="6"/>
        <v>394.09999999999997</v>
      </c>
      <c r="O83" s="86">
        <f>N83/K83*100</f>
        <v>60.131217577052176</v>
      </c>
    </row>
    <row r="84" spans="1:15" ht="43.5" customHeight="1">
      <c r="A84" s="82" t="s">
        <v>175</v>
      </c>
      <c r="B84" s="116" t="s">
        <v>188</v>
      </c>
      <c r="C84" s="96">
        <v>409597.6</v>
      </c>
      <c r="D84" s="96">
        <v>194659.1</v>
      </c>
      <c r="E84" s="84">
        <f t="shared" si="17"/>
        <v>47.52447279964531</v>
      </c>
      <c r="F84" s="97"/>
      <c r="G84" s="97"/>
      <c r="H84" s="85" t="e">
        <f t="shared" si="18"/>
        <v>#DIV/0!</v>
      </c>
      <c r="I84" s="98">
        <f>C84+F84</f>
        <v>409597.6</v>
      </c>
      <c r="J84" s="99"/>
      <c r="K84" s="100">
        <f t="shared" si="15"/>
        <v>409597.6</v>
      </c>
      <c r="L84" s="98">
        <f>D84+G84</f>
        <v>194659.1</v>
      </c>
      <c r="M84" s="99"/>
      <c r="N84" s="100">
        <f>L84-M84</f>
        <v>194659.1</v>
      </c>
      <c r="O84" s="86">
        <f>N84/K84*100</f>
        <v>47.52447279964531</v>
      </c>
    </row>
    <row r="85" spans="1:15" ht="64.5" customHeight="1">
      <c r="A85" s="82" t="s">
        <v>175</v>
      </c>
      <c r="B85" s="110" t="s">
        <v>189</v>
      </c>
      <c r="C85" s="96"/>
      <c r="D85" s="96"/>
      <c r="E85" s="84" t="e">
        <f t="shared" si="17"/>
        <v>#DIV/0!</v>
      </c>
      <c r="F85" s="97">
        <v>16299.5</v>
      </c>
      <c r="G85" s="97">
        <v>10649.7</v>
      </c>
      <c r="H85" s="85">
        <f t="shared" si="18"/>
        <v>65.33758704254731</v>
      </c>
      <c r="I85" s="98">
        <f t="shared" si="9"/>
        <v>16299.5</v>
      </c>
      <c r="J85" s="99">
        <v>16299.5</v>
      </c>
      <c r="K85" s="100">
        <f t="shared" si="15"/>
        <v>0</v>
      </c>
      <c r="L85" s="98">
        <f t="shared" si="5"/>
        <v>10649.7</v>
      </c>
      <c r="M85" s="99">
        <v>10649.7</v>
      </c>
      <c r="N85" s="100">
        <f>L85-M85</f>
        <v>0</v>
      </c>
      <c r="O85" s="86" t="e">
        <f>N85/K85*100</f>
        <v>#DIV/0!</v>
      </c>
    </row>
    <row r="86" spans="1:15" ht="30" hidden="1">
      <c r="A86" s="82" t="s">
        <v>175</v>
      </c>
      <c r="B86" s="110" t="s">
        <v>190</v>
      </c>
      <c r="C86" s="96"/>
      <c r="D86" s="96"/>
      <c r="E86" s="84" t="e">
        <f t="shared" si="17"/>
        <v>#DIV/0!</v>
      </c>
      <c r="F86" s="97"/>
      <c r="G86" s="97"/>
      <c r="H86" s="85" t="e">
        <f t="shared" si="18"/>
        <v>#DIV/0!</v>
      </c>
      <c r="I86" s="98">
        <f t="shared" si="9"/>
        <v>0</v>
      </c>
      <c r="J86" s="99"/>
      <c r="K86" s="100">
        <f t="shared" si="15"/>
        <v>0</v>
      </c>
      <c r="L86" s="98">
        <f t="shared" si="5"/>
        <v>0</v>
      </c>
      <c r="M86" s="99"/>
      <c r="N86" s="100">
        <f t="shared" si="6"/>
        <v>0</v>
      </c>
      <c r="O86" s="86" t="e">
        <f>N86/K86*100</f>
        <v>#DIV/0!</v>
      </c>
    </row>
    <row r="87" spans="1:15" ht="30">
      <c r="A87" s="82" t="s">
        <v>175</v>
      </c>
      <c r="B87" s="110" t="s">
        <v>191</v>
      </c>
      <c r="C87" s="96">
        <v>102557.9</v>
      </c>
      <c r="D87" s="96">
        <v>40441.2</v>
      </c>
      <c r="E87" s="84">
        <f t="shared" si="17"/>
        <v>39.4325546837445</v>
      </c>
      <c r="F87" s="97"/>
      <c r="G87" s="97"/>
      <c r="H87" s="85" t="e">
        <f t="shared" si="18"/>
        <v>#DIV/0!</v>
      </c>
      <c r="I87" s="98">
        <f t="shared" si="9"/>
        <v>102557.9</v>
      </c>
      <c r="J87" s="99"/>
      <c r="K87" s="100">
        <f t="shared" si="15"/>
        <v>102557.9</v>
      </c>
      <c r="L87" s="98">
        <f t="shared" si="5"/>
        <v>40441.2</v>
      </c>
      <c r="M87" s="99"/>
      <c r="N87" s="100">
        <f t="shared" si="6"/>
        <v>40441.2</v>
      </c>
      <c r="O87" s="117">
        <f t="shared" si="1"/>
        <v>39.4325546837445</v>
      </c>
    </row>
    <row r="88" spans="1:15" ht="30" hidden="1">
      <c r="A88" s="82" t="s">
        <v>175</v>
      </c>
      <c r="B88" s="110" t="s">
        <v>192</v>
      </c>
      <c r="C88" s="96">
        <v>0</v>
      </c>
      <c r="D88" s="96">
        <v>0</v>
      </c>
      <c r="E88" s="84" t="e">
        <f t="shared" si="17"/>
        <v>#DIV/0!</v>
      </c>
      <c r="F88" s="97">
        <v>0</v>
      </c>
      <c r="G88" s="97">
        <v>0</v>
      </c>
      <c r="H88" s="85" t="e">
        <f t="shared" si="18"/>
        <v>#DIV/0!</v>
      </c>
      <c r="I88" s="98">
        <f t="shared" si="9"/>
        <v>0</v>
      </c>
      <c r="J88" s="99"/>
      <c r="K88" s="100">
        <f t="shared" si="15"/>
        <v>0</v>
      </c>
      <c r="L88" s="98">
        <f t="shared" si="5"/>
        <v>0</v>
      </c>
      <c r="M88" s="99"/>
      <c r="N88" s="100">
        <f t="shared" si="6"/>
        <v>0</v>
      </c>
      <c r="O88" s="86" t="e">
        <f t="shared" si="1"/>
        <v>#DIV/0!</v>
      </c>
    </row>
    <row r="89" spans="1:15" ht="30" hidden="1">
      <c r="A89" s="82" t="s">
        <v>175</v>
      </c>
      <c r="B89" s="110" t="s">
        <v>193</v>
      </c>
      <c r="C89" s="96">
        <v>0</v>
      </c>
      <c r="D89" s="96">
        <v>0</v>
      </c>
      <c r="E89" s="84" t="e">
        <f t="shared" si="17"/>
        <v>#DIV/0!</v>
      </c>
      <c r="F89" s="97">
        <v>0</v>
      </c>
      <c r="G89" s="97">
        <v>0</v>
      </c>
      <c r="H89" s="85" t="e">
        <f t="shared" si="18"/>
        <v>#DIV/0!</v>
      </c>
      <c r="I89" s="98">
        <f t="shared" si="9"/>
        <v>0</v>
      </c>
      <c r="J89" s="99"/>
      <c r="K89" s="100">
        <f t="shared" si="15"/>
        <v>0</v>
      </c>
      <c r="L89" s="98">
        <f t="shared" si="5"/>
        <v>0</v>
      </c>
      <c r="M89" s="99"/>
      <c r="N89" s="100">
        <f t="shared" si="6"/>
        <v>0</v>
      </c>
      <c r="O89" s="86" t="e">
        <f t="shared" si="1"/>
        <v>#DIV/0!</v>
      </c>
    </row>
    <row r="90" spans="1:15" ht="30">
      <c r="A90" s="82" t="s">
        <v>175</v>
      </c>
      <c r="B90" s="110" t="s">
        <v>194</v>
      </c>
      <c r="C90" s="96">
        <v>2639.2</v>
      </c>
      <c r="D90" s="96">
        <v>1163.7</v>
      </c>
      <c r="E90" s="84">
        <f t="shared" si="17"/>
        <v>44.092906941497425</v>
      </c>
      <c r="F90" s="97"/>
      <c r="G90" s="97"/>
      <c r="H90" s="85" t="e">
        <f t="shared" si="18"/>
        <v>#DIV/0!</v>
      </c>
      <c r="I90" s="98">
        <f t="shared" si="9"/>
        <v>2639.2</v>
      </c>
      <c r="J90" s="99"/>
      <c r="K90" s="100">
        <f t="shared" si="15"/>
        <v>2639.2</v>
      </c>
      <c r="L90" s="98">
        <f t="shared" si="5"/>
        <v>1163.7</v>
      </c>
      <c r="M90" s="99"/>
      <c r="N90" s="100">
        <f t="shared" si="6"/>
        <v>1163.7</v>
      </c>
      <c r="O90" s="86">
        <f t="shared" si="1"/>
        <v>44.092906941497425</v>
      </c>
    </row>
    <row r="91" spans="1:15" ht="78" customHeight="1">
      <c r="A91" s="82" t="s">
        <v>195</v>
      </c>
      <c r="B91" s="110" t="s">
        <v>196</v>
      </c>
      <c r="C91" s="96">
        <v>11287.3</v>
      </c>
      <c r="D91" s="96">
        <v>8352.6</v>
      </c>
      <c r="E91" s="84">
        <f t="shared" si="17"/>
        <v>73.99998228097066</v>
      </c>
      <c r="F91" s="96">
        <v>11287.3</v>
      </c>
      <c r="G91" s="97">
        <v>8352.6</v>
      </c>
      <c r="H91" s="85">
        <f t="shared" si="18"/>
        <v>73.99998228097066</v>
      </c>
      <c r="I91" s="98">
        <f t="shared" si="9"/>
        <v>22574.6</v>
      </c>
      <c r="J91" s="99">
        <v>11287.4</v>
      </c>
      <c r="K91" s="100">
        <f t="shared" si="15"/>
        <v>11287.199999999999</v>
      </c>
      <c r="L91" s="98">
        <f t="shared" si="5"/>
        <v>16705.2</v>
      </c>
      <c r="M91" s="99">
        <v>8352.5</v>
      </c>
      <c r="N91" s="100">
        <f t="shared" si="6"/>
        <v>8352.7</v>
      </c>
      <c r="O91" s="86">
        <f t="shared" si="1"/>
        <v>74.00152385002482</v>
      </c>
    </row>
    <row r="92" spans="1:15" ht="63" customHeight="1">
      <c r="A92" s="108" t="s">
        <v>195</v>
      </c>
      <c r="B92" s="95" t="s">
        <v>197</v>
      </c>
      <c r="C92" s="96">
        <v>4500</v>
      </c>
      <c r="D92" s="96">
        <v>3039.4</v>
      </c>
      <c r="E92" s="84">
        <f t="shared" si="11"/>
        <v>67.54222222222222</v>
      </c>
      <c r="F92" s="96">
        <v>801.3</v>
      </c>
      <c r="G92" s="97">
        <v>220.7</v>
      </c>
      <c r="H92" s="85">
        <f>G92/F92*100</f>
        <v>27.542743042555845</v>
      </c>
      <c r="I92" s="98">
        <f aca="true" t="shared" si="19" ref="I92:I108">C92+F92</f>
        <v>5301.3</v>
      </c>
      <c r="J92" s="99">
        <v>4500</v>
      </c>
      <c r="K92" s="100">
        <f t="shared" si="15"/>
        <v>801.3000000000002</v>
      </c>
      <c r="L92" s="98">
        <f aca="true" t="shared" si="20" ref="L92:L154">D92+G92</f>
        <v>3260.1</v>
      </c>
      <c r="M92" s="99">
        <v>3039.4</v>
      </c>
      <c r="N92" s="100">
        <f aca="true" t="shared" si="21" ref="N92:N154">L92-M92</f>
        <v>220.69999999999982</v>
      </c>
      <c r="O92" s="86">
        <f t="shared" si="1"/>
        <v>27.542743042555816</v>
      </c>
    </row>
    <row r="93" spans="1:15" ht="42" customHeight="1">
      <c r="A93" s="82" t="s">
        <v>195</v>
      </c>
      <c r="B93" s="95" t="s">
        <v>198</v>
      </c>
      <c r="C93" s="96">
        <v>4305</v>
      </c>
      <c r="D93" s="96">
        <v>498.7</v>
      </c>
      <c r="E93" s="84">
        <f t="shared" si="11"/>
        <v>11.584204413472705</v>
      </c>
      <c r="F93" s="96">
        <v>3825</v>
      </c>
      <c r="G93" s="97">
        <v>465</v>
      </c>
      <c r="H93" s="85">
        <f>G93/F93*100</f>
        <v>12.156862745098039</v>
      </c>
      <c r="I93" s="98">
        <f t="shared" si="19"/>
        <v>8130</v>
      </c>
      <c r="J93" s="99">
        <v>4305</v>
      </c>
      <c r="K93" s="100">
        <f t="shared" si="15"/>
        <v>3825</v>
      </c>
      <c r="L93" s="98">
        <f t="shared" si="20"/>
        <v>963.7</v>
      </c>
      <c r="M93" s="99">
        <v>498.7</v>
      </c>
      <c r="N93" s="100">
        <f t="shared" si="21"/>
        <v>465.00000000000006</v>
      </c>
      <c r="O93" s="86">
        <f>N93/K93*100</f>
        <v>12.15686274509804</v>
      </c>
    </row>
    <row r="94" spans="1:15" ht="30" hidden="1">
      <c r="A94" s="82" t="s">
        <v>195</v>
      </c>
      <c r="B94" s="95" t="s">
        <v>199</v>
      </c>
      <c r="C94" s="96"/>
      <c r="D94" s="96"/>
      <c r="E94" s="84" t="e">
        <f t="shared" si="11"/>
        <v>#DIV/0!</v>
      </c>
      <c r="F94" s="96"/>
      <c r="G94" s="97"/>
      <c r="H94" s="85"/>
      <c r="I94" s="98">
        <f t="shared" si="19"/>
        <v>0</v>
      </c>
      <c r="J94" s="99"/>
      <c r="K94" s="100">
        <f t="shared" si="15"/>
        <v>0</v>
      </c>
      <c r="L94" s="98">
        <f t="shared" si="20"/>
        <v>0</v>
      </c>
      <c r="M94" s="99"/>
      <c r="N94" s="100">
        <f t="shared" si="21"/>
        <v>0</v>
      </c>
      <c r="O94" s="86"/>
    </row>
    <row r="95" spans="1:15" ht="30" hidden="1">
      <c r="A95" s="82" t="s">
        <v>195</v>
      </c>
      <c r="B95" s="118" t="s">
        <v>200</v>
      </c>
      <c r="C95" s="96"/>
      <c r="D95" s="96"/>
      <c r="E95" s="84" t="e">
        <f>D95/C95*100</f>
        <v>#DIV/0!</v>
      </c>
      <c r="F95" s="119">
        <v>0</v>
      </c>
      <c r="G95" s="97">
        <v>0</v>
      </c>
      <c r="H95" s="85" t="e">
        <f aca="true" t="shared" si="22" ref="H95:H103">G95/F95*100</f>
        <v>#DIV/0!</v>
      </c>
      <c r="I95" s="98">
        <f>C95+F95</f>
        <v>0</v>
      </c>
      <c r="J95" s="99"/>
      <c r="K95" s="100">
        <f t="shared" si="15"/>
        <v>0</v>
      </c>
      <c r="L95" s="98">
        <f>D95+G95</f>
        <v>0</v>
      </c>
      <c r="M95" s="99"/>
      <c r="N95" s="100">
        <f t="shared" si="21"/>
        <v>0</v>
      </c>
      <c r="O95" s="86" t="e">
        <f>N95/K95*100</f>
        <v>#DIV/0!</v>
      </c>
    </row>
    <row r="96" spans="1:15" ht="45" hidden="1">
      <c r="A96" s="82" t="s">
        <v>195</v>
      </c>
      <c r="B96" s="118" t="s">
        <v>201</v>
      </c>
      <c r="C96" s="96"/>
      <c r="D96" s="96">
        <v>0</v>
      </c>
      <c r="E96" s="84" t="e">
        <f>D96/C96*100</f>
        <v>#DIV/0!</v>
      </c>
      <c r="F96" s="96">
        <v>0</v>
      </c>
      <c r="G96" s="97">
        <v>0</v>
      </c>
      <c r="H96" s="85" t="e">
        <f t="shared" si="22"/>
        <v>#DIV/0!</v>
      </c>
      <c r="I96" s="98">
        <f>C96+F96</f>
        <v>0</v>
      </c>
      <c r="J96" s="99"/>
      <c r="K96" s="100">
        <f t="shared" si="15"/>
        <v>0</v>
      </c>
      <c r="L96" s="98">
        <f>D96+G96</f>
        <v>0</v>
      </c>
      <c r="M96" s="99"/>
      <c r="N96" s="100">
        <f>L96-M96</f>
        <v>0</v>
      </c>
      <c r="O96" s="86" t="e">
        <f>N96/K96*100</f>
        <v>#DIV/0!</v>
      </c>
    </row>
    <row r="97" spans="1:15" ht="45" hidden="1">
      <c r="A97" s="82" t="s">
        <v>195</v>
      </c>
      <c r="B97" s="95" t="s">
        <v>202</v>
      </c>
      <c r="C97" s="96">
        <v>0</v>
      </c>
      <c r="D97" s="96">
        <v>0</v>
      </c>
      <c r="E97" s="84" t="e">
        <f t="shared" si="11"/>
        <v>#DIV/0!</v>
      </c>
      <c r="F97" s="96">
        <v>0</v>
      </c>
      <c r="G97" s="97">
        <v>0</v>
      </c>
      <c r="H97" s="85" t="e">
        <f t="shared" si="22"/>
        <v>#DIV/0!</v>
      </c>
      <c r="I97" s="98">
        <f t="shared" si="19"/>
        <v>0</v>
      </c>
      <c r="J97" s="99">
        <v>0</v>
      </c>
      <c r="K97" s="100">
        <f t="shared" si="15"/>
        <v>0</v>
      </c>
      <c r="L97" s="98">
        <f t="shared" si="20"/>
        <v>0</v>
      </c>
      <c r="M97" s="99">
        <v>0</v>
      </c>
      <c r="N97" s="100">
        <f>L97-M97</f>
        <v>0</v>
      </c>
      <c r="O97" s="86" t="e">
        <f t="shared" si="1"/>
        <v>#DIV/0!</v>
      </c>
    </row>
    <row r="98" spans="1:15" ht="60" hidden="1">
      <c r="A98" s="120" t="s">
        <v>195</v>
      </c>
      <c r="B98" s="121" t="s">
        <v>203</v>
      </c>
      <c r="C98" s="96">
        <v>0</v>
      </c>
      <c r="D98" s="96">
        <v>0</v>
      </c>
      <c r="E98" s="84" t="e">
        <f t="shared" si="11"/>
        <v>#DIV/0!</v>
      </c>
      <c r="F98" s="96">
        <v>0</v>
      </c>
      <c r="G98" s="97">
        <v>0</v>
      </c>
      <c r="H98" s="85" t="e">
        <f t="shared" si="22"/>
        <v>#DIV/0!</v>
      </c>
      <c r="I98" s="98">
        <f t="shared" si="19"/>
        <v>0</v>
      </c>
      <c r="J98" s="99"/>
      <c r="K98" s="100">
        <f t="shared" si="15"/>
        <v>0</v>
      </c>
      <c r="L98" s="98">
        <f t="shared" si="20"/>
        <v>0</v>
      </c>
      <c r="M98" s="99"/>
      <c r="N98" s="100">
        <f t="shared" si="21"/>
        <v>0</v>
      </c>
      <c r="O98" s="86" t="e">
        <f t="shared" si="1"/>
        <v>#DIV/0!</v>
      </c>
    </row>
    <row r="99" spans="1:15" ht="45" hidden="1">
      <c r="A99" s="82" t="s">
        <v>195</v>
      </c>
      <c r="B99" s="95" t="s">
        <v>204</v>
      </c>
      <c r="C99" s="96"/>
      <c r="D99" s="96"/>
      <c r="E99" s="84"/>
      <c r="F99" s="96"/>
      <c r="G99" s="97"/>
      <c r="H99" s="85" t="e">
        <f t="shared" si="22"/>
        <v>#DIV/0!</v>
      </c>
      <c r="I99" s="98">
        <f t="shared" si="19"/>
        <v>0</v>
      </c>
      <c r="J99" s="99"/>
      <c r="K99" s="100">
        <f t="shared" si="15"/>
        <v>0</v>
      </c>
      <c r="L99" s="98">
        <f t="shared" si="20"/>
        <v>0</v>
      </c>
      <c r="M99" s="99"/>
      <c r="N99" s="100">
        <f t="shared" si="21"/>
        <v>0</v>
      </c>
      <c r="O99" s="86"/>
    </row>
    <row r="100" spans="1:15" ht="30" hidden="1">
      <c r="A100" s="82" t="s">
        <v>195</v>
      </c>
      <c r="B100" s="95" t="s">
        <v>205</v>
      </c>
      <c r="C100" s="96"/>
      <c r="D100" s="96"/>
      <c r="E100" s="84" t="e">
        <f t="shared" si="11"/>
        <v>#DIV/0!</v>
      </c>
      <c r="F100" s="96"/>
      <c r="G100" s="97"/>
      <c r="H100" s="85" t="e">
        <f t="shared" si="22"/>
        <v>#DIV/0!</v>
      </c>
      <c r="I100" s="98">
        <f t="shared" si="19"/>
        <v>0</v>
      </c>
      <c r="J100" s="99"/>
      <c r="K100" s="100">
        <f t="shared" si="15"/>
        <v>0</v>
      </c>
      <c r="L100" s="98">
        <f t="shared" si="20"/>
        <v>0</v>
      </c>
      <c r="M100" s="99"/>
      <c r="N100" s="100">
        <f t="shared" si="21"/>
        <v>0</v>
      </c>
      <c r="O100" s="86" t="e">
        <f t="shared" si="1"/>
        <v>#DIV/0!</v>
      </c>
    </row>
    <row r="101" spans="1:15" ht="30" hidden="1">
      <c r="A101" s="82" t="s">
        <v>195</v>
      </c>
      <c r="B101" s="95" t="s">
        <v>206</v>
      </c>
      <c r="C101" s="96"/>
      <c r="D101" s="96"/>
      <c r="E101" s="84"/>
      <c r="F101" s="96">
        <v>0</v>
      </c>
      <c r="G101" s="97">
        <v>0</v>
      </c>
      <c r="H101" s="85" t="e">
        <f t="shared" si="22"/>
        <v>#DIV/0!</v>
      </c>
      <c r="I101" s="98">
        <f>C101+F101</f>
        <v>0</v>
      </c>
      <c r="J101" s="99"/>
      <c r="K101" s="100">
        <f t="shared" si="15"/>
        <v>0</v>
      </c>
      <c r="L101" s="98">
        <f>D101+G101</f>
        <v>0</v>
      </c>
      <c r="M101" s="99"/>
      <c r="N101" s="100">
        <f t="shared" si="21"/>
        <v>0</v>
      </c>
      <c r="O101" s="86" t="e">
        <f>N101/K101*100</f>
        <v>#DIV/0!</v>
      </c>
    </row>
    <row r="102" spans="1:15" ht="60" hidden="1">
      <c r="A102" s="82" t="s">
        <v>195</v>
      </c>
      <c r="B102" s="113" t="s">
        <v>207</v>
      </c>
      <c r="C102" s="96"/>
      <c r="D102" s="96"/>
      <c r="E102" s="84"/>
      <c r="F102" s="96"/>
      <c r="G102" s="97"/>
      <c r="H102" s="85" t="e">
        <f t="shared" si="22"/>
        <v>#DIV/0!</v>
      </c>
      <c r="I102" s="98">
        <f t="shared" si="19"/>
        <v>0</v>
      </c>
      <c r="J102" s="99"/>
      <c r="K102" s="100">
        <f t="shared" si="15"/>
        <v>0</v>
      </c>
      <c r="L102" s="98">
        <f t="shared" si="20"/>
        <v>0</v>
      </c>
      <c r="M102" s="99"/>
      <c r="N102" s="100">
        <f t="shared" si="21"/>
        <v>0</v>
      </c>
      <c r="O102" s="86" t="e">
        <f t="shared" si="1"/>
        <v>#DIV/0!</v>
      </c>
    </row>
    <row r="103" spans="1:15" ht="15" hidden="1">
      <c r="A103" s="82" t="s">
        <v>195</v>
      </c>
      <c r="B103" s="95" t="s">
        <v>208</v>
      </c>
      <c r="C103" s="96"/>
      <c r="D103" s="96"/>
      <c r="E103" s="84" t="e">
        <f t="shared" si="11"/>
        <v>#DIV/0!</v>
      </c>
      <c r="F103" s="96"/>
      <c r="G103" s="97"/>
      <c r="H103" s="85" t="e">
        <f t="shared" si="22"/>
        <v>#DIV/0!</v>
      </c>
      <c r="I103" s="98">
        <f t="shared" si="19"/>
        <v>0</v>
      </c>
      <c r="J103" s="99"/>
      <c r="K103" s="100">
        <f t="shared" si="15"/>
        <v>0</v>
      </c>
      <c r="L103" s="98">
        <f t="shared" si="20"/>
        <v>0</v>
      </c>
      <c r="M103" s="99"/>
      <c r="N103" s="100">
        <f t="shared" si="21"/>
        <v>0</v>
      </c>
      <c r="O103" s="86" t="e">
        <f t="shared" si="1"/>
        <v>#DIV/0!</v>
      </c>
    </row>
    <row r="104" spans="1:15" ht="30" hidden="1">
      <c r="A104" s="82" t="s">
        <v>195</v>
      </c>
      <c r="B104" s="95" t="s">
        <v>209</v>
      </c>
      <c r="C104" s="96"/>
      <c r="D104" s="96"/>
      <c r="E104" s="84"/>
      <c r="F104" s="96"/>
      <c r="G104" s="97"/>
      <c r="H104" s="85"/>
      <c r="I104" s="98">
        <f t="shared" si="19"/>
        <v>0</v>
      </c>
      <c r="J104" s="99"/>
      <c r="K104" s="100">
        <f t="shared" si="15"/>
        <v>0</v>
      </c>
      <c r="L104" s="98">
        <f t="shared" si="20"/>
        <v>0</v>
      </c>
      <c r="M104" s="99"/>
      <c r="N104" s="100">
        <f t="shared" si="21"/>
        <v>0</v>
      </c>
      <c r="O104" s="86" t="e">
        <f t="shared" si="1"/>
        <v>#DIV/0!</v>
      </c>
    </row>
    <row r="105" spans="1:15" ht="30" hidden="1">
      <c r="A105" s="82" t="s">
        <v>195</v>
      </c>
      <c r="B105" s="95" t="s">
        <v>210</v>
      </c>
      <c r="C105" s="96"/>
      <c r="D105" s="96"/>
      <c r="E105" s="84"/>
      <c r="F105" s="96"/>
      <c r="G105" s="97"/>
      <c r="H105" s="85"/>
      <c r="I105" s="98">
        <f t="shared" si="19"/>
        <v>0</v>
      </c>
      <c r="J105" s="99"/>
      <c r="K105" s="100">
        <f t="shared" si="15"/>
        <v>0</v>
      </c>
      <c r="L105" s="98">
        <f t="shared" si="20"/>
        <v>0</v>
      </c>
      <c r="M105" s="99"/>
      <c r="N105" s="100">
        <f t="shared" si="21"/>
        <v>0</v>
      </c>
      <c r="O105" s="86" t="e">
        <f t="shared" si="1"/>
        <v>#DIV/0!</v>
      </c>
    </row>
    <row r="106" spans="1:15" ht="15">
      <c r="A106" s="82" t="s">
        <v>195</v>
      </c>
      <c r="B106" s="122" t="s">
        <v>211</v>
      </c>
      <c r="C106" s="96"/>
      <c r="D106" s="96"/>
      <c r="E106" s="84"/>
      <c r="F106" s="96">
        <v>800</v>
      </c>
      <c r="G106" s="97">
        <v>800</v>
      </c>
      <c r="H106" s="85"/>
      <c r="I106" s="98">
        <f t="shared" si="19"/>
        <v>800</v>
      </c>
      <c r="J106" s="99"/>
      <c r="K106" s="100">
        <f t="shared" si="15"/>
        <v>800</v>
      </c>
      <c r="L106" s="98">
        <f t="shared" si="20"/>
        <v>800</v>
      </c>
      <c r="M106" s="99"/>
      <c r="N106" s="100">
        <f t="shared" si="21"/>
        <v>800</v>
      </c>
      <c r="O106" s="86">
        <f t="shared" si="1"/>
        <v>100</v>
      </c>
    </row>
    <row r="107" spans="1:15" ht="25.5" customHeight="1">
      <c r="A107" s="94" t="s">
        <v>195</v>
      </c>
      <c r="B107" s="95" t="s">
        <v>212</v>
      </c>
      <c r="C107" s="96"/>
      <c r="D107" s="96"/>
      <c r="E107" s="84"/>
      <c r="F107" s="96">
        <v>69869.7</v>
      </c>
      <c r="G107" s="97">
        <v>24997.7</v>
      </c>
      <c r="H107" s="85">
        <f>G107/F107*100</f>
        <v>35.77759744209579</v>
      </c>
      <c r="I107" s="98">
        <f t="shared" si="19"/>
        <v>69869.7</v>
      </c>
      <c r="J107" s="99"/>
      <c r="K107" s="100">
        <f t="shared" si="15"/>
        <v>69869.7</v>
      </c>
      <c r="L107" s="98">
        <f t="shared" si="20"/>
        <v>24997.7</v>
      </c>
      <c r="M107" s="99"/>
      <c r="N107" s="100">
        <f t="shared" si="21"/>
        <v>24997.7</v>
      </c>
      <c r="O107" s="86">
        <f t="shared" si="1"/>
        <v>35.77759744209579</v>
      </c>
    </row>
    <row r="108" spans="1:15" ht="16.5" customHeight="1">
      <c r="A108" s="82" t="s">
        <v>213</v>
      </c>
      <c r="B108" s="95" t="s">
        <v>214</v>
      </c>
      <c r="C108" s="96">
        <v>58.3</v>
      </c>
      <c r="D108" s="96">
        <v>27.9</v>
      </c>
      <c r="E108" s="84">
        <f>D108/C108*100</f>
        <v>47.85591766723842</v>
      </c>
      <c r="F108" s="96">
        <v>0</v>
      </c>
      <c r="G108" s="97"/>
      <c r="H108" s="85">
        <v>0</v>
      </c>
      <c r="I108" s="98">
        <f t="shared" si="19"/>
        <v>58.3</v>
      </c>
      <c r="J108" s="99"/>
      <c r="K108" s="100">
        <f t="shared" si="15"/>
        <v>58.3</v>
      </c>
      <c r="L108" s="98">
        <f t="shared" si="20"/>
        <v>27.9</v>
      </c>
      <c r="M108" s="99"/>
      <c r="N108" s="100">
        <f t="shared" si="21"/>
        <v>27.9</v>
      </c>
      <c r="O108" s="123">
        <f t="shared" si="1"/>
        <v>47.85591766723842</v>
      </c>
    </row>
    <row r="109" spans="1:15" ht="15" customHeight="1">
      <c r="A109" s="124" t="s">
        <v>215</v>
      </c>
      <c r="B109" s="125" t="s">
        <v>216</v>
      </c>
      <c r="C109" s="111">
        <f>C110</f>
        <v>151992.3</v>
      </c>
      <c r="D109" s="111">
        <f aca="true" t="shared" si="23" ref="D109:N109">D110</f>
        <v>1039.4</v>
      </c>
      <c r="E109" s="102">
        <f t="shared" si="11"/>
        <v>0.6838504318968791</v>
      </c>
      <c r="F109" s="111">
        <f t="shared" si="23"/>
        <v>9878.2</v>
      </c>
      <c r="G109" s="111">
        <f t="shared" si="23"/>
        <v>860.1</v>
      </c>
      <c r="H109" s="92">
        <f t="shared" si="23"/>
        <v>8.70705189204511</v>
      </c>
      <c r="I109" s="111">
        <f t="shared" si="23"/>
        <v>161870.5</v>
      </c>
      <c r="J109" s="111">
        <f t="shared" si="23"/>
        <v>9237</v>
      </c>
      <c r="K109" s="111">
        <f>K110</f>
        <v>152633.5</v>
      </c>
      <c r="L109" s="111">
        <f t="shared" si="23"/>
        <v>1899.5</v>
      </c>
      <c r="M109" s="111">
        <f t="shared" si="23"/>
        <v>585.1</v>
      </c>
      <c r="N109" s="111">
        <f t="shared" si="23"/>
        <v>1314.4</v>
      </c>
      <c r="O109" s="126">
        <f t="shared" si="1"/>
        <v>0.8611477821055011</v>
      </c>
    </row>
    <row r="110" spans="1:15" ht="22.5" customHeight="1">
      <c r="A110" s="82" t="s">
        <v>217</v>
      </c>
      <c r="B110" s="127" t="s">
        <v>218</v>
      </c>
      <c r="C110" s="97">
        <v>151992.3</v>
      </c>
      <c r="D110" s="97">
        <v>1039.4</v>
      </c>
      <c r="E110" s="84">
        <f t="shared" si="11"/>
        <v>0.6838504318968791</v>
      </c>
      <c r="F110" s="97">
        <v>9878.2</v>
      </c>
      <c r="G110" s="97">
        <v>860.1</v>
      </c>
      <c r="H110" s="85">
        <f>G110/F110*100</f>
        <v>8.70705189204511</v>
      </c>
      <c r="I110" s="98">
        <f aca="true" t="shared" si="24" ref="I110:I154">C110+F110</f>
        <v>161870.5</v>
      </c>
      <c r="J110" s="99">
        <v>9237</v>
      </c>
      <c r="K110" s="100">
        <f>I110-J110</f>
        <v>152633.5</v>
      </c>
      <c r="L110" s="98">
        <f t="shared" si="20"/>
        <v>1899.5</v>
      </c>
      <c r="M110" s="99">
        <v>585.1</v>
      </c>
      <c r="N110" s="100">
        <f t="shared" si="21"/>
        <v>1314.4</v>
      </c>
      <c r="O110" s="86">
        <f t="shared" si="1"/>
        <v>0.8611477821055011</v>
      </c>
    </row>
    <row r="111" spans="1:15" ht="15">
      <c r="A111" s="89" t="s">
        <v>219</v>
      </c>
      <c r="B111" s="90" t="s">
        <v>220</v>
      </c>
      <c r="C111" s="91">
        <f>SUM(C112:C121)</f>
        <v>3185439</v>
      </c>
      <c r="D111" s="91">
        <f>SUM(D112:D121)</f>
        <v>1645258.7</v>
      </c>
      <c r="E111" s="91">
        <f>D111/C111*100</f>
        <v>51.6493550810422</v>
      </c>
      <c r="F111" s="111">
        <f>F112+F114+F115+F120+F121+F119</f>
        <v>9.5</v>
      </c>
      <c r="G111" s="111">
        <f>SUM(G112:G121)</f>
        <v>0</v>
      </c>
      <c r="H111" s="92">
        <v>0</v>
      </c>
      <c r="I111" s="91">
        <f aca="true" t="shared" si="25" ref="I111:N111">SUM(I112:I121)</f>
        <v>3185448.5</v>
      </c>
      <c r="J111" s="91">
        <f t="shared" si="25"/>
        <v>0</v>
      </c>
      <c r="K111" s="91">
        <f>SUM(K112:K121)</f>
        <v>3185448.5</v>
      </c>
      <c r="L111" s="91">
        <f t="shared" si="25"/>
        <v>1645258.7</v>
      </c>
      <c r="M111" s="91">
        <f t="shared" si="25"/>
        <v>0</v>
      </c>
      <c r="N111" s="91">
        <f t="shared" si="25"/>
        <v>1645258.7</v>
      </c>
      <c r="O111" s="93">
        <f t="shared" si="1"/>
        <v>51.649201046571626</v>
      </c>
    </row>
    <row r="112" spans="1:15" ht="21" customHeight="1">
      <c r="A112" s="94" t="s">
        <v>221</v>
      </c>
      <c r="B112" s="95" t="s">
        <v>222</v>
      </c>
      <c r="C112" s="96">
        <v>438894.2</v>
      </c>
      <c r="D112" s="96">
        <v>271216.3</v>
      </c>
      <c r="E112" s="84">
        <f t="shared" si="11"/>
        <v>61.79537118512843</v>
      </c>
      <c r="F112" s="97">
        <v>0</v>
      </c>
      <c r="G112" s="97">
        <v>0</v>
      </c>
      <c r="H112" s="85">
        <v>0</v>
      </c>
      <c r="I112" s="98">
        <f t="shared" si="24"/>
        <v>438894.2</v>
      </c>
      <c r="J112" s="99"/>
      <c r="K112" s="100">
        <f aca="true" t="shared" si="26" ref="K112:K150">I112-J112</f>
        <v>438894.2</v>
      </c>
      <c r="L112" s="98">
        <f t="shared" si="20"/>
        <v>271216.3</v>
      </c>
      <c r="M112" s="99"/>
      <c r="N112" s="100">
        <f t="shared" si="21"/>
        <v>271216.3</v>
      </c>
      <c r="O112" s="86">
        <f t="shared" si="1"/>
        <v>61.79537118512843</v>
      </c>
    </row>
    <row r="113" spans="1:15" ht="30" hidden="1">
      <c r="A113" s="104" t="s">
        <v>221</v>
      </c>
      <c r="B113" s="95" t="s">
        <v>223</v>
      </c>
      <c r="C113" s="96"/>
      <c r="D113" s="96"/>
      <c r="E113" s="84" t="e">
        <f t="shared" si="11"/>
        <v>#DIV/0!</v>
      </c>
      <c r="F113" s="97">
        <v>0</v>
      </c>
      <c r="G113" s="97">
        <v>0</v>
      </c>
      <c r="H113" s="85">
        <v>0</v>
      </c>
      <c r="I113" s="98">
        <f t="shared" si="24"/>
        <v>0</v>
      </c>
      <c r="J113" s="99"/>
      <c r="K113" s="100">
        <f t="shared" si="26"/>
        <v>0</v>
      </c>
      <c r="L113" s="98">
        <f t="shared" si="20"/>
        <v>0</v>
      </c>
      <c r="M113" s="99"/>
      <c r="N113" s="100">
        <f t="shared" si="21"/>
        <v>0</v>
      </c>
      <c r="O113" s="86" t="e">
        <f t="shared" si="1"/>
        <v>#DIV/0!</v>
      </c>
    </row>
    <row r="114" spans="1:15" ht="15">
      <c r="A114" s="94" t="s">
        <v>224</v>
      </c>
      <c r="B114" s="113" t="s">
        <v>225</v>
      </c>
      <c r="C114" s="96">
        <f>2468975.7-C115-C116-C117</f>
        <v>2342253.6</v>
      </c>
      <c r="D114" s="96">
        <f>1167762-D115-D116-D117</f>
        <v>1103751.3</v>
      </c>
      <c r="E114" s="96">
        <f t="shared" si="11"/>
        <v>47.123475442625</v>
      </c>
      <c r="F114" s="97">
        <v>0</v>
      </c>
      <c r="G114" s="97">
        <v>0</v>
      </c>
      <c r="H114" s="97">
        <v>0</v>
      </c>
      <c r="I114" s="98">
        <f t="shared" si="24"/>
        <v>2342253.6</v>
      </c>
      <c r="J114" s="99"/>
      <c r="K114" s="100">
        <f t="shared" si="26"/>
        <v>2342253.6</v>
      </c>
      <c r="L114" s="98">
        <f t="shared" si="20"/>
        <v>1103751.3</v>
      </c>
      <c r="M114" s="99"/>
      <c r="N114" s="100">
        <f t="shared" si="21"/>
        <v>1103751.3</v>
      </c>
      <c r="O114" s="128">
        <f t="shared" si="1"/>
        <v>47.123475442625</v>
      </c>
    </row>
    <row r="115" spans="1:15" ht="68.25" customHeight="1">
      <c r="A115" s="94" t="s">
        <v>224</v>
      </c>
      <c r="B115" s="95" t="s">
        <v>226</v>
      </c>
      <c r="C115" s="96">
        <v>101687.1</v>
      </c>
      <c r="D115" s="96">
        <v>55597.9</v>
      </c>
      <c r="E115" s="84">
        <f t="shared" si="11"/>
        <v>54.675470143213836</v>
      </c>
      <c r="F115" s="97">
        <v>0</v>
      </c>
      <c r="G115" s="97">
        <v>0</v>
      </c>
      <c r="H115" s="85">
        <v>0</v>
      </c>
      <c r="I115" s="98">
        <f t="shared" si="24"/>
        <v>101687.1</v>
      </c>
      <c r="J115" s="99"/>
      <c r="K115" s="100">
        <f t="shared" si="26"/>
        <v>101687.1</v>
      </c>
      <c r="L115" s="98">
        <f t="shared" si="20"/>
        <v>55597.9</v>
      </c>
      <c r="M115" s="99"/>
      <c r="N115" s="100">
        <f t="shared" si="21"/>
        <v>55597.9</v>
      </c>
      <c r="O115" s="86">
        <f t="shared" si="1"/>
        <v>54.675470143213836</v>
      </c>
    </row>
    <row r="116" spans="1:15" ht="51" customHeight="1">
      <c r="A116" s="94" t="s">
        <v>224</v>
      </c>
      <c r="B116" s="95" t="s">
        <v>227</v>
      </c>
      <c r="C116" s="96">
        <v>25035</v>
      </c>
      <c r="D116" s="96">
        <v>8412.8</v>
      </c>
      <c r="E116" s="84">
        <f t="shared" si="11"/>
        <v>33.604154184142196</v>
      </c>
      <c r="F116" s="97"/>
      <c r="G116" s="97"/>
      <c r="H116" s="85" t="e">
        <f>G116/F116*100</f>
        <v>#DIV/0!</v>
      </c>
      <c r="I116" s="98">
        <f t="shared" si="24"/>
        <v>25035</v>
      </c>
      <c r="J116" s="99"/>
      <c r="K116" s="100">
        <f t="shared" si="26"/>
        <v>25035</v>
      </c>
      <c r="L116" s="98">
        <f t="shared" si="20"/>
        <v>8412.8</v>
      </c>
      <c r="M116" s="99"/>
      <c r="N116" s="100">
        <f t="shared" si="21"/>
        <v>8412.8</v>
      </c>
      <c r="O116" s="86">
        <f t="shared" si="1"/>
        <v>33.604154184142196</v>
      </c>
    </row>
    <row r="117" spans="1:15" ht="45" hidden="1">
      <c r="A117" s="94" t="s">
        <v>224</v>
      </c>
      <c r="B117" s="95" t="s">
        <v>228</v>
      </c>
      <c r="C117" s="96">
        <v>0</v>
      </c>
      <c r="D117" s="96">
        <v>0</v>
      </c>
      <c r="E117" s="84" t="e">
        <f t="shared" si="11"/>
        <v>#DIV/0!</v>
      </c>
      <c r="F117" s="97"/>
      <c r="G117" s="97"/>
      <c r="H117" s="85"/>
      <c r="I117" s="98">
        <f t="shared" si="24"/>
        <v>0</v>
      </c>
      <c r="J117" s="99"/>
      <c r="K117" s="100">
        <f t="shared" si="26"/>
        <v>0</v>
      </c>
      <c r="L117" s="98">
        <f t="shared" si="20"/>
        <v>0</v>
      </c>
      <c r="M117" s="99"/>
      <c r="N117" s="100">
        <f t="shared" si="21"/>
        <v>0</v>
      </c>
      <c r="O117" s="86" t="e">
        <f t="shared" si="1"/>
        <v>#DIV/0!</v>
      </c>
    </row>
    <row r="118" spans="1:15" ht="15">
      <c r="A118" s="94" t="s">
        <v>229</v>
      </c>
      <c r="B118" s="95" t="s">
        <v>230</v>
      </c>
      <c r="C118" s="96">
        <v>163808.8</v>
      </c>
      <c r="D118" s="96">
        <v>112891.8</v>
      </c>
      <c r="E118" s="84">
        <f t="shared" si="11"/>
        <v>68.91681033009216</v>
      </c>
      <c r="F118" s="97">
        <v>0</v>
      </c>
      <c r="G118" s="97">
        <v>0</v>
      </c>
      <c r="H118" s="85">
        <v>0</v>
      </c>
      <c r="I118" s="98">
        <f t="shared" si="24"/>
        <v>163808.8</v>
      </c>
      <c r="J118" s="99"/>
      <c r="K118" s="100">
        <f t="shared" si="26"/>
        <v>163808.8</v>
      </c>
      <c r="L118" s="98">
        <f t="shared" si="20"/>
        <v>112891.8</v>
      </c>
      <c r="M118" s="99"/>
      <c r="N118" s="100">
        <f t="shared" si="21"/>
        <v>112891.8</v>
      </c>
      <c r="O118" s="86"/>
    </row>
    <row r="119" spans="1:15" ht="18.75" customHeight="1">
      <c r="A119" s="94" t="s">
        <v>231</v>
      </c>
      <c r="B119" s="95" t="s">
        <v>232</v>
      </c>
      <c r="C119" s="96"/>
      <c r="D119" s="96"/>
      <c r="E119" s="84" t="e">
        <f t="shared" si="11"/>
        <v>#DIV/0!</v>
      </c>
      <c r="F119" s="97">
        <v>9.5</v>
      </c>
      <c r="G119" s="97"/>
      <c r="H119" s="85">
        <f>G119/F119*100</f>
        <v>0</v>
      </c>
      <c r="I119" s="98">
        <f t="shared" si="24"/>
        <v>9.5</v>
      </c>
      <c r="J119" s="99"/>
      <c r="K119" s="100">
        <f t="shared" si="26"/>
        <v>9.5</v>
      </c>
      <c r="L119" s="98">
        <f t="shared" si="20"/>
        <v>0</v>
      </c>
      <c r="M119" s="99"/>
      <c r="N119" s="100">
        <f t="shared" si="21"/>
        <v>0</v>
      </c>
      <c r="O119" s="86">
        <f t="shared" si="1"/>
        <v>0</v>
      </c>
    </row>
    <row r="120" spans="1:15" ht="20.25" customHeight="1">
      <c r="A120" s="94" t="s">
        <v>233</v>
      </c>
      <c r="B120" s="95" t="s">
        <v>234</v>
      </c>
      <c r="C120" s="96">
        <v>2024.8</v>
      </c>
      <c r="D120" s="96">
        <v>1699.7</v>
      </c>
      <c r="E120" s="84">
        <f t="shared" si="11"/>
        <v>83.94409324377716</v>
      </c>
      <c r="F120" s="97"/>
      <c r="G120" s="97"/>
      <c r="H120" s="85"/>
      <c r="I120" s="98">
        <f t="shared" si="24"/>
        <v>2024.8</v>
      </c>
      <c r="J120" s="99"/>
      <c r="K120" s="100">
        <f t="shared" si="26"/>
        <v>2024.8</v>
      </c>
      <c r="L120" s="98">
        <f t="shared" si="20"/>
        <v>1699.7</v>
      </c>
      <c r="M120" s="99"/>
      <c r="N120" s="100">
        <f t="shared" si="21"/>
        <v>1699.7</v>
      </c>
      <c r="O120" s="86">
        <f t="shared" si="1"/>
        <v>83.94409324377716</v>
      </c>
    </row>
    <row r="121" spans="1:15" ht="20.25" customHeight="1">
      <c r="A121" s="94" t="s">
        <v>235</v>
      </c>
      <c r="B121" s="95" t="s">
        <v>236</v>
      </c>
      <c r="C121" s="96">
        <v>111735.5</v>
      </c>
      <c r="D121" s="96">
        <v>91688.9</v>
      </c>
      <c r="E121" s="84">
        <f t="shared" si="11"/>
        <v>82.05888012314797</v>
      </c>
      <c r="F121" s="97">
        <v>0</v>
      </c>
      <c r="G121" s="97"/>
      <c r="H121" s="85">
        <v>0</v>
      </c>
      <c r="I121" s="98">
        <f t="shared" si="24"/>
        <v>111735.5</v>
      </c>
      <c r="J121" s="99"/>
      <c r="K121" s="100">
        <f t="shared" si="26"/>
        <v>111735.5</v>
      </c>
      <c r="L121" s="98">
        <f t="shared" si="20"/>
        <v>91688.9</v>
      </c>
      <c r="M121" s="99"/>
      <c r="N121" s="100">
        <f t="shared" si="21"/>
        <v>91688.9</v>
      </c>
      <c r="O121" s="86">
        <f t="shared" si="1"/>
        <v>82.05888012314797</v>
      </c>
    </row>
    <row r="122" spans="1:15" ht="17.25" customHeight="1">
      <c r="A122" s="89" t="s">
        <v>237</v>
      </c>
      <c r="B122" s="90" t="s">
        <v>238</v>
      </c>
      <c r="C122" s="91">
        <f>SUM(C123:C126)</f>
        <v>89031.3</v>
      </c>
      <c r="D122" s="91">
        <f>SUM(D123:D126)</f>
        <v>59201.7</v>
      </c>
      <c r="E122" s="91">
        <f>D122/C122*100</f>
        <v>66.49537859157397</v>
      </c>
      <c r="F122" s="111">
        <f>SUM(F123:F126)</f>
        <v>138874.9</v>
      </c>
      <c r="G122" s="111">
        <f>SUM(G123:G126)</f>
        <v>88872.3</v>
      </c>
      <c r="H122" s="92">
        <f>G122/F122*100</f>
        <v>63.99450152619372</v>
      </c>
      <c r="I122" s="111">
        <f aca="true" t="shared" si="27" ref="I122:N122">SUM(I123:I126)</f>
        <v>227906.2</v>
      </c>
      <c r="J122" s="111">
        <f t="shared" si="27"/>
        <v>16668.4</v>
      </c>
      <c r="K122" s="111">
        <f>SUM(K123:K126)</f>
        <v>211237.80000000002</v>
      </c>
      <c r="L122" s="111">
        <f t="shared" si="27"/>
        <v>148074</v>
      </c>
      <c r="M122" s="111">
        <f t="shared" si="27"/>
        <v>9476.6</v>
      </c>
      <c r="N122" s="111">
        <f t="shared" si="27"/>
        <v>138597.40000000002</v>
      </c>
      <c r="O122" s="93">
        <f t="shared" si="1"/>
        <v>65.6120258779442</v>
      </c>
    </row>
    <row r="123" spans="1:15" ht="15">
      <c r="A123" s="94" t="s">
        <v>239</v>
      </c>
      <c r="B123" s="95" t="s">
        <v>240</v>
      </c>
      <c r="C123" s="96">
        <f>79823.2-C124</f>
        <v>79112.4</v>
      </c>
      <c r="D123" s="96">
        <f>51880.1-D124</f>
        <v>51307.5</v>
      </c>
      <c r="E123" s="84">
        <f t="shared" si="11"/>
        <v>64.85392934609493</v>
      </c>
      <c r="F123" s="129">
        <f>133332.9-F124</f>
        <v>133191.5</v>
      </c>
      <c r="G123" s="97">
        <f>84771.8-G124</f>
        <v>84666.6</v>
      </c>
      <c r="H123" s="85">
        <f>G123/F123*100</f>
        <v>63.56757000259026</v>
      </c>
      <c r="I123" s="98">
        <f t="shared" si="24"/>
        <v>212303.9</v>
      </c>
      <c r="J123" s="99">
        <f>13057.5-J124</f>
        <v>12933</v>
      </c>
      <c r="K123" s="100">
        <f>I123-J123</f>
        <v>199370.9</v>
      </c>
      <c r="L123" s="98">
        <f t="shared" si="20"/>
        <v>135974.1</v>
      </c>
      <c r="M123" s="99">
        <f>6947.5-M124</f>
        <v>6823</v>
      </c>
      <c r="N123" s="100">
        <f t="shared" si="21"/>
        <v>129151.1</v>
      </c>
      <c r="O123" s="86">
        <f t="shared" si="1"/>
        <v>64.77931333007977</v>
      </c>
    </row>
    <row r="124" spans="1:15" ht="27" customHeight="1">
      <c r="A124" s="120" t="s">
        <v>239</v>
      </c>
      <c r="B124" s="121" t="s">
        <v>241</v>
      </c>
      <c r="C124" s="96">
        <v>710.8</v>
      </c>
      <c r="D124" s="96">
        <v>572.6</v>
      </c>
      <c r="E124" s="84">
        <f t="shared" si="11"/>
        <v>80.55711873944851</v>
      </c>
      <c r="F124" s="97">
        <v>141.4</v>
      </c>
      <c r="G124" s="97">
        <v>105.2</v>
      </c>
      <c r="H124" s="85">
        <f>G124/F124*100</f>
        <v>74.3988684582744</v>
      </c>
      <c r="I124" s="98">
        <f t="shared" si="24"/>
        <v>852.1999999999999</v>
      </c>
      <c r="J124" s="99">
        <v>124.5</v>
      </c>
      <c r="K124" s="100">
        <f>I124-J124</f>
        <v>727.6999999999999</v>
      </c>
      <c r="L124" s="98">
        <f t="shared" si="20"/>
        <v>677.8000000000001</v>
      </c>
      <c r="M124" s="99">
        <v>124.5</v>
      </c>
      <c r="N124" s="100">
        <f t="shared" si="21"/>
        <v>553.3000000000001</v>
      </c>
      <c r="O124" s="86">
        <f>N124/K124*100</f>
        <v>76.03407997801294</v>
      </c>
    </row>
    <row r="125" spans="1:15" ht="18.75" customHeight="1">
      <c r="A125" s="94" t="s">
        <v>242</v>
      </c>
      <c r="B125" s="95" t="s">
        <v>243</v>
      </c>
      <c r="C125" s="96">
        <v>100</v>
      </c>
      <c r="D125" s="96">
        <v>0</v>
      </c>
      <c r="E125" s="84">
        <f t="shared" si="11"/>
        <v>0</v>
      </c>
      <c r="F125" s="97"/>
      <c r="G125" s="97"/>
      <c r="H125" s="85" t="e">
        <f>G125/F125*100</f>
        <v>#DIV/0!</v>
      </c>
      <c r="I125" s="98">
        <f t="shared" si="24"/>
        <v>100</v>
      </c>
      <c r="J125" s="99"/>
      <c r="K125" s="100">
        <f>I125-J125</f>
        <v>100</v>
      </c>
      <c r="L125" s="98">
        <f t="shared" si="20"/>
        <v>0</v>
      </c>
      <c r="M125" s="99"/>
      <c r="N125" s="100">
        <f t="shared" si="21"/>
        <v>0</v>
      </c>
      <c r="O125" s="86">
        <f aca="true" t="shared" si="28" ref="O125:O155">N125/K125*100</f>
        <v>0</v>
      </c>
    </row>
    <row r="126" spans="1:15" ht="25.5" customHeight="1">
      <c r="A126" s="94" t="s">
        <v>244</v>
      </c>
      <c r="B126" s="95" t="s">
        <v>245</v>
      </c>
      <c r="C126" s="96">
        <v>9108.1</v>
      </c>
      <c r="D126" s="96">
        <v>7321.6</v>
      </c>
      <c r="E126" s="84">
        <f t="shared" si="11"/>
        <v>80.385590847707</v>
      </c>
      <c r="F126" s="97">
        <v>5542</v>
      </c>
      <c r="G126" s="97">
        <v>4100.5</v>
      </c>
      <c r="H126" s="85">
        <f>G126/F126*100</f>
        <v>73.98953446409239</v>
      </c>
      <c r="I126" s="98">
        <f t="shared" si="24"/>
        <v>14650.1</v>
      </c>
      <c r="J126" s="99">
        <v>3610.9</v>
      </c>
      <c r="K126" s="100">
        <f>I126-J126</f>
        <v>11039.2</v>
      </c>
      <c r="L126" s="98">
        <f t="shared" si="20"/>
        <v>11422.1</v>
      </c>
      <c r="M126" s="99">
        <v>2529.1</v>
      </c>
      <c r="N126" s="100">
        <f t="shared" si="21"/>
        <v>8893</v>
      </c>
      <c r="O126" s="86">
        <f t="shared" si="28"/>
        <v>80.55837379520254</v>
      </c>
    </row>
    <row r="127" spans="1:15" ht="19.5" customHeight="1">
      <c r="A127" s="89" t="s">
        <v>246</v>
      </c>
      <c r="B127" s="90" t="s">
        <v>247</v>
      </c>
      <c r="C127" s="91">
        <f>SUM(C128:C130)</f>
        <v>2307.7</v>
      </c>
      <c r="D127" s="91">
        <f>SUM(D128:D130)</f>
        <v>1229.3</v>
      </c>
      <c r="E127" s="91">
        <f>SUM(E130:E130)</f>
        <v>53.269489101702995</v>
      </c>
      <c r="F127" s="111">
        <f>F128+F129+F130</f>
        <v>480</v>
      </c>
      <c r="G127" s="111">
        <f>G128+G129+G130</f>
        <v>0</v>
      </c>
      <c r="H127" s="111"/>
      <c r="I127" s="111">
        <f aca="true" t="shared" si="29" ref="I127:N127">I128+I129+I130</f>
        <v>2787.7</v>
      </c>
      <c r="J127" s="111">
        <f t="shared" si="29"/>
        <v>0</v>
      </c>
      <c r="K127" s="111">
        <f>K128+K129+K130</f>
        <v>2787.7</v>
      </c>
      <c r="L127" s="111">
        <f t="shared" si="29"/>
        <v>1229.3</v>
      </c>
      <c r="M127" s="111">
        <f t="shared" si="29"/>
        <v>0</v>
      </c>
      <c r="N127" s="111">
        <f t="shared" si="29"/>
        <v>1229.3</v>
      </c>
      <c r="O127" s="93">
        <f t="shared" si="28"/>
        <v>44.097284499766836</v>
      </c>
    </row>
    <row r="128" spans="1:15" ht="45" hidden="1">
      <c r="A128" s="104" t="s">
        <v>248</v>
      </c>
      <c r="B128" s="113" t="s">
        <v>249</v>
      </c>
      <c r="C128" s="96"/>
      <c r="D128" s="96"/>
      <c r="E128" s="84" t="e">
        <f t="shared" si="11"/>
        <v>#DIV/0!</v>
      </c>
      <c r="F128" s="97"/>
      <c r="G128" s="97"/>
      <c r="H128" s="85" t="e">
        <f>G128/F128*100</f>
        <v>#DIV/0!</v>
      </c>
      <c r="I128" s="98">
        <f t="shared" si="24"/>
        <v>0</v>
      </c>
      <c r="J128" s="99"/>
      <c r="K128" s="100">
        <f>I128-J128</f>
        <v>0</v>
      </c>
      <c r="L128" s="98">
        <f t="shared" si="20"/>
        <v>0</v>
      </c>
      <c r="M128" s="99"/>
      <c r="N128" s="100">
        <f t="shared" si="21"/>
        <v>0</v>
      </c>
      <c r="O128" s="86" t="e">
        <f t="shared" si="28"/>
        <v>#DIV/0!</v>
      </c>
    </row>
    <row r="129" spans="1:15" ht="30" hidden="1">
      <c r="A129" s="82" t="s">
        <v>250</v>
      </c>
      <c r="B129" s="121" t="s">
        <v>251</v>
      </c>
      <c r="C129" s="96"/>
      <c r="D129" s="96"/>
      <c r="E129" s="84" t="e">
        <f t="shared" si="11"/>
        <v>#DIV/0!</v>
      </c>
      <c r="F129" s="100"/>
      <c r="G129" s="100"/>
      <c r="H129" s="97"/>
      <c r="I129" s="98">
        <f t="shared" si="24"/>
        <v>0</v>
      </c>
      <c r="J129" s="99"/>
      <c r="K129" s="100">
        <f t="shared" si="26"/>
        <v>0</v>
      </c>
      <c r="L129" s="98">
        <f t="shared" si="20"/>
        <v>0</v>
      </c>
      <c r="M129" s="99"/>
      <c r="N129" s="100">
        <f>L129-M129</f>
        <v>0</v>
      </c>
      <c r="O129" s="86" t="e">
        <f t="shared" si="28"/>
        <v>#DIV/0!</v>
      </c>
    </row>
    <row r="130" spans="1:15" ht="30">
      <c r="A130" s="82" t="s">
        <v>248</v>
      </c>
      <c r="B130" s="121" t="s">
        <v>252</v>
      </c>
      <c r="C130" s="96">
        <v>2307.7</v>
      </c>
      <c r="D130" s="97">
        <v>1229.3</v>
      </c>
      <c r="E130" s="84">
        <f t="shared" si="11"/>
        <v>53.269489101702995</v>
      </c>
      <c r="F130" s="97">
        <v>480</v>
      </c>
      <c r="G130" s="97"/>
      <c r="H130" s="85"/>
      <c r="I130" s="98">
        <f t="shared" si="24"/>
        <v>2787.7</v>
      </c>
      <c r="J130" s="99"/>
      <c r="K130" s="100">
        <f t="shared" si="26"/>
        <v>2787.7</v>
      </c>
      <c r="L130" s="98">
        <f t="shared" si="20"/>
        <v>1229.3</v>
      </c>
      <c r="M130" s="99"/>
      <c r="N130" s="100">
        <f t="shared" si="21"/>
        <v>1229.3</v>
      </c>
      <c r="O130" s="86">
        <f t="shared" si="28"/>
        <v>44.097284499766836</v>
      </c>
    </row>
    <row r="131" spans="1:15" ht="13.5" customHeight="1">
      <c r="A131" s="89">
        <v>10</v>
      </c>
      <c r="B131" s="90" t="s">
        <v>253</v>
      </c>
      <c r="C131" s="91">
        <f>SUM(C132:C141)</f>
        <v>30886.5</v>
      </c>
      <c r="D131" s="91">
        <f>SUM(D132:D141)</f>
        <v>15380.2</v>
      </c>
      <c r="E131" s="91">
        <f>D131/C131*100</f>
        <v>49.79586550758422</v>
      </c>
      <c r="F131" s="91">
        <f>SUM(F132:F141)</f>
        <v>850.8</v>
      </c>
      <c r="G131" s="91">
        <f>SUM(G132:G141)</f>
        <v>559.1</v>
      </c>
      <c r="H131" s="92">
        <f>G131/F131*100</f>
        <v>65.71462153267514</v>
      </c>
      <c r="I131" s="91">
        <f aca="true" t="shared" si="30" ref="I131:N131">SUM(I132:I141)</f>
        <v>31737.300000000003</v>
      </c>
      <c r="J131" s="91">
        <f t="shared" si="30"/>
        <v>0</v>
      </c>
      <c r="K131" s="91">
        <f t="shared" si="30"/>
        <v>31737.300000000003</v>
      </c>
      <c r="L131" s="91">
        <f t="shared" si="30"/>
        <v>15939.300000000001</v>
      </c>
      <c r="M131" s="91">
        <f t="shared" si="30"/>
        <v>0</v>
      </c>
      <c r="N131" s="91">
        <f t="shared" si="30"/>
        <v>15939.300000000001</v>
      </c>
      <c r="O131" s="93">
        <f t="shared" si="28"/>
        <v>50.22260872853078</v>
      </c>
    </row>
    <row r="132" spans="1:15" ht="30" customHeight="1">
      <c r="A132" s="82">
        <v>1001</v>
      </c>
      <c r="B132" s="95" t="s">
        <v>254</v>
      </c>
      <c r="C132" s="96">
        <v>4841.5</v>
      </c>
      <c r="D132" s="96">
        <v>2723.3</v>
      </c>
      <c r="E132" s="84">
        <f t="shared" si="11"/>
        <v>56.249096354435615</v>
      </c>
      <c r="F132" s="97">
        <v>850.8</v>
      </c>
      <c r="G132" s="97">
        <v>559.1</v>
      </c>
      <c r="H132" s="85">
        <f>G132/F132*100</f>
        <v>65.71462153267514</v>
      </c>
      <c r="I132" s="98">
        <f t="shared" si="24"/>
        <v>5692.3</v>
      </c>
      <c r="J132" s="99"/>
      <c r="K132" s="100">
        <f t="shared" si="26"/>
        <v>5692.3</v>
      </c>
      <c r="L132" s="98">
        <f t="shared" si="20"/>
        <v>3282.4</v>
      </c>
      <c r="M132" s="99"/>
      <c r="N132" s="100">
        <f t="shared" si="21"/>
        <v>3282.4</v>
      </c>
      <c r="O132" s="86">
        <f t="shared" si="28"/>
        <v>57.66386170792123</v>
      </c>
    </row>
    <row r="133" spans="1:15" ht="60" hidden="1">
      <c r="A133" s="82">
        <v>1003</v>
      </c>
      <c r="B133" s="121" t="s">
        <v>255</v>
      </c>
      <c r="C133" s="96"/>
      <c r="D133" s="96"/>
      <c r="E133" s="84" t="e">
        <f t="shared" si="11"/>
        <v>#DIV/0!</v>
      </c>
      <c r="F133" s="97">
        <v>0</v>
      </c>
      <c r="G133" s="97">
        <v>0</v>
      </c>
      <c r="H133" s="85"/>
      <c r="I133" s="98">
        <f t="shared" si="24"/>
        <v>0</v>
      </c>
      <c r="J133" s="99"/>
      <c r="K133" s="100">
        <f t="shared" si="26"/>
        <v>0</v>
      </c>
      <c r="L133" s="98">
        <f t="shared" si="20"/>
        <v>0</v>
      </c>
      <c r="M133" s="99"/>
      <c r="N133" s="100">
        <f t="shared" si="21"/>
        <v>0</v>
      </c>
      <c r="O133" s="86" t="e">
        <f t="shared" si="28"/>
        <v>#DIV/0!</v>
      </c>
    </row>
    <row r="134" spans="1:15" ht="45">
      <c r="A134" s="82" t="s">
        <v>256</v>
      </c>
      <c r="B134" s="121" t="s">
        <v>257</v>
      </c>
      <c r="C134" s="96">
        <v>7459.6</v>
      </c>
      <c r="D134" s="96">
        <v>2311.2</v>
      </c>
      <c r="E134" s="84">
        <f t="shared" si="11"/>
        <v>30.98289452517561</v>
      </c>
      <c r="F134" s="97"/>
      <c r="G134" s="97"/>
      <c r="H134" s="85"/>
      <c r="I134" s="98">
        <f t="shared" si="24"/>
        <v>7459.6</v>
      </c>
      <c r="J134" s="99"/>
      <c r="K134" s="100">
        <f t="shared" si="26"/>
        <v>7459.6</v>
      </c>
      <c r="L134" s="98">
        <f t="shared" si="20"/>
        <v>2311.2</v>
      </c>
      <c r="M134" s="99"/>
      <c r="N134" s="100">
        <f t="shared" si="21"/>
        <v>2311.2</v>
      </c>
      <c r="O134" s="86">
        <f t="shared" si="28"/>
        <v>30.98289452517561</v>
      </c>
    </row>
    <row r="135" spans="1:15" ht="45">
      <c r="A135" s="82" t="s">
        <v>256</v>
      </c>
      <c r="B135" s="95" t="s">
        <v>258</v>
      </c>
      <c r="C135" s="96">
        <v>3030.4</v>
      </c>
      <c r="D135" s="96"/>
      <c r="E135" s="84"/>
      <c r="F135" s="97"/>
      <c r="G135" s="97"/>
      <c r="H135" s="85"/>
      <c r="I135" s="98">
        <f t="shared" si="24"/>
        <v>3030.4</v>
      </c>
      <c r="J135" s="99"/>
      <c r="K135" s="100">
        <f t="shared" si="26"/>
        <v>3030.4</v>
      </c>
      <c r="L135" s="98">
        <f t="shared" si="20"/>
        <v>0</v>
      </c>
      <c r="M135" s="99"/>
      <c r="N135" s="100">
        <f t="shared" si="21"/>
        <v>0</v>
      </c>
      <c r="O135" s="86"/>
    </row>
    <row r="136" spans="1:15" ht="60">
      <c r="A136" s="108">
        <v>1004</v>
      </c>
      <c r="B136" s="95" t="s">
        <v>259</v>
      </c>
      <c r="C136" s="96">
        <v>15555</v>
      </c>
      <c r="D136" s="96">
        <v>10345.7</v>
      </c>
      <c r="E136" s="84">
        <f t="shared" si="11"/>
        <v>66.51044680167149</v>
      </c>
      <c r="F136" s="97">
        <v>0</v>
      </c>
      <c r="G136" s="97">
        <v>0</v>
      </c>
      <c r="H136" s="85"/>
      <c r="I136" s="98">
        <f t="shared" si="24"/>
        <v>15555</v>
      </c>
      <c r="J136" s="99"/>
      <c r="K136" s="100">
        <f t="shared" si="26"/>
        <v>15555</v>
      </c>
      <c r="L136" s="98">
        <f t="shared" si="20"/>
        <v>10345.7</v>
      </c>
      <c r="M136" s="99"/>
      <c r="N136" s="100">
        <f t="shared" si="21"/>
        <v>10345.7</v>
      </c>
      <c r="O136" s="86">
        <f t="shared" si="28"/>
        <v>66.51044680167149</v>
      </c>
    </row>
    <row r="137" spans="1:15" ht="105" hidden="1">
      <c r="A137" s="82">
        <v>1004</v>
      </c>
      <c r="B137" s="95" t="s">
        <v>260</v>
      </c>
      <c r="C137" s="96">
        <v>0</v>
      </c>
      <c r="D137" s="96">
        <v>0</v>
      </c>
      <c r="E137" s="84" t="e">
        <f aca="true" t="shared" si="31" ref="E137:E154">D137/C137*100</f>
        <v>#DIV/0!</v>
      </c>
      <c r="F137" s="97">
        <v>0</v>
      </c>
      <c r="G137" s="97">
        <v>0</v>
      </c>
      <c r="H137" s="85"/>
      <c r="I137" s="98">
        <f t="shared" si="24"/>
        <v>0</v>
      </c>
      <c r="J137" s="99"/>
      <c r="K137" s="100">
        <f t="shared" si="26"/>
        <v>0</v>
      </c>
      <c r="L137" s="98">
        <f t="shared" si="20"/>
        <v>0</v>
      </c>
      <c r="M137" s="99"/>
      <c r="N137" s="100">
        <f t="shared" si="21"/>
        <v>0</v>
      </c>
      <c r="O137" s="86" t="e">
        <f t="shared" si="28"/>
        <v>#DIV/0!</v>
      </c>
    </row>
    <row r="138" spans="1:15" ht="105" hidden="1">
      <c r="A138" s="82" t="s">
        <v>261</v>
      </c>
      <c r="B138" s="95" t="s">
        <v>262</v>
      </c>
      <c r="C138" s="96">
        <v>0</v>
      </c>
      <c r="D138" s="96">
        <v>0</v>
      </c>
      <c r="E138" s="84" t="e">
        <f>D138/C138*100</f>
        <v>#DIV/0!</v>
      </c>
      <c r="F138" s="97">
        <v>0</v>
      </c>
      <c r="G138" s="97">
        <v>0</v>
      </c>
      <c r="H138" s="85"/>
      <c r="I138" s="98">
        <f t="shared" si="24"/>
        <v>0</v>
      </c>
      <c r="J138" s="99"/>
      <c r="K138" s="100">
        <f t="shared" si="26"/>
        <v>0</v>
      </c>
      <c r="L138" s="98">
        <f t="shared" si="20"/>
        <v>0</v>
      </c>
      <c r="M138" s="99"/>
      <c r="N138" s="100">
        <f t="shared" si="21"/>
        <v>0</v>
      </c>
      <c r="O138" s="86" t="e">
        <f>N138/K138*100</f>
        <v>#DIV/0!</v>
      </c>
    </row>
    <row r="139" spans="1:15" ht="30" hidden="1">
      <c r="A139" s="82" t="s">
        <v>261</v>
      </c>
      <c r="B139" s="95" t="s">
        <v>263</v>
      </c>
      <c r="C139" s="96">
        <v>0</v>
      </c>
      <c r="D139" s="96">
        <v>0</v>
      </c>
      <c r="E139" s="84" t="e">
        <f>D139/C139*100</f>
        <v>#DIV/0!</v>
      </c>
      <c r="F139" s="97"/>
      <c r="G139" s="97"/>
      <c r="H139" s="85"/>
      <c r="I139" s="98">
        <f t="shared" si="24"/>
        <v>0</v>
      </c>
      <c r="J139" s="99"/>
      <c r="K139" s="100">
        <f t="shared" si="26"/>
        <v>0</v>
      </c>
      <c r="L139" s="98">
        <f t="shared" si="20"/>
        <v>0</v>
      </c>
      <c r="M139" s="99"/>
      <c r="N139" s="100">
        <f t="shared" si="21"/>
        <v>0</v>
      </c>
      <c r="O139" s="86" t="e">
        <f>N139/K139*100</f>
        <v>#DIV/0!</v>
      </c>
    </row>
    <row r="140" spans="1:15" ht="45" hidden="1">
      <c r="A140" s="82" t="s">
        <v>264</v>
      </c>
      <c r="B140" s="95" t="s">
        <v>265</v>
      </c>
      <c r="C140" s="96"/>
      <c r="D140" s="96"/>
      <c r="E140" s="84"/>
      <c r="F140" s="97"/>
      <c r="G140" s="97"/>
      <c r="H140" s="85" t="e">
        <f>G140/F140*100</f>
        <v>#DIV/0!</v>
      </c>
      <c r="I140" s="98">
        <f t="shared" si="24"/>
        <v>0</v>
      </c>
      <c r="J140" s="99"/>
      <c r="K140" s="100">
        <f t="shared" si="26"/>
        <v>0</v>
      </c>
      <c r="L140" s="98">
        <f t="shared" si="20"/>
        <v>0</v>
      </c>
      <c r="M140" s="99"/>
      <c r="N140" s="100">
        <f t="shared" si="21"/>
        <v>0</v>
      </c>
      <c r="O140" s="86" t="e">
        <f>N140/K140*100</f>
        <v>#DIV/0!</v>
      </c>
    </row>
    <row r="141" spans="1:15" ht="15" hidden="1">
      <c r="A141" s="82">
        <v>1006</v>
      </c>
      <c r="B141" s="95" t="s">
        <v>266</v>
      </c>
      <c r="C141" s="96"/>
      <c r="D141" s="96"/>
      <c r="E141" s="84" t="e">
        <f t="shared" si="31"/>
        <v>#DIV/0!</v>
      </c>
      <c r="F141" s="97">
        <v>0</v>
      </c>
      <c r="G141" s="97">
        <v>0</v>
      </c>
      <c r="H141" s="85"/>
      <c r="I141" s="98">
        <f t="shared" si="24"/>
        <v>0</v>
      </c>
      <c r="J141" s="99"/>
      <c r="K141" s="100">
        <f t="shared" si="26"/>
        <v>0</v>
      </c>
      <c r="L141" s="98">
        <f t="shared" si="20"/>
        <v>0</v>
      </c>
      <c r="M141" s="99"/>
      <c r="N141" s="100">
        <f t="shared" si="21"/>
        <v>0</v>
      </c>
      <c r="O141" s="86" t="e">
        <f t="shared" si="28"/>
        <v>#DIV/0!</v>
      </c>
    </row>
    <row r="142" spans="1:15" ht="15">
      <c r="A142" s="124">
        <v>1100</v>
      </c>
      <c r="B142" s="90" t="s">
        <v>267</v>
      </c>
      <c r="C142" s="91">
        <f>SUM(C143:C145)</f>
        <v>166784.2</v>
      </c>
      <c r="D142" s="91">
        <f>SUM(D143:D145)</f>
        <v>91246.8</v>
      </c>
      <c r="E142" s="91">
        <f>D142/C142*100</f>
        <v>54.70949886140294</v>
      </c>
      <c r="F142" s="111">
        <f>F143+F144+F145</f>
        <v>63319.2</v>
      </c>
      <c r="G142" s="111">
        <f>G143+G144</f>
        <v>20748.6</v>
      </c>
      <c r="H142" s="92">
        <f>G142/F142*100</f>
        <v>32.76825986430656</v>
      </c>
      <c r="I142" s="111">
        <f aca="true" t="shared" si="32" ref="I142:N142">I143+I144+I145</f>
        <v>230103.40000000002</v>
      </c>
      <c r="J142" s="111">
        <f t="shared" si="32"/>
        <v>20583.1</v>
      </c>
      <c r="K142" s="111">
        <f>K143+K144+K145</f>
        <v>209520.30000000002</v>
      </c>
      <c r="L142" s="111">
        <f t="shared" si="32"/>
        <v>111995.4</v>
      </c>
      <c r="M142" s="111">
        <f t="shared" si="32"/>
        <v>41.5</v>
      </c>
      <c r="N142" s="111">
        <f t="shared" si="32"/>
        <v>111953.9</v>
      </c>
      <c r="O142" s="93">
        <f t="shared" si="28"/>
        <v>53.43343819190789</v>
      </c>
    </row>
    <row r="143" spans="1:15" ht="15">
      <c r="A143" s="82">
        <v>1101</v>
      </c>
      <c r="B143" s="95" t="s">
        <v>268</v>
      </c>
      <c r="C143" s="96">
        <v>161486.7</v>
      </c>
      <c r="D143" s="96">
        <v>85949.3</v>
      </c>
      <c r="E143" s="84">
        <f t="shared" si="31"/>
        <v>53.22376393845437</v>
      </c>
      <c r="F143" s="97">
        <v>36925.6</v>
      </c>
      <c r="G143" s="97">
        <v>17681.1</v>
      </c>
      <c r="H143" s="85">
        <f>G143/F143*100</f>
        <v>47.88304049223303</v>
      </c>
      <c r="I143" s="98">
        <f t="shared" si="24"/>
        <v>198412.30000000002</v>
      </c>
      <c r="J143" s="99">
        <v>20583.1</v>
      </c>
      <c r="K143" s="100">
        <f>I143-J143</f>
        <v>177829.2</v>
      </c>
      <c r="L143" s="98">
        <f t="shared" si="20"/>
        <v>103630.4</v>
      </c>
      <c r="M143" s="99">
        <v>41.5</v>
      </c>
      <c r="N143" s="100">
        <f t="shared" si="21"/>
        <v>103588.9</v>
      </c>
      <c r="O143" s="86">
        <f t="shared" si="28"/>
        <v>58.25190688593324</v>
      </c>
    </row>
    <row r="144" spans="1:15" ht="15">
      <c r="A144" s="82">
        <v>1102</v>
      </c>
      <c r="B144" s="95" t="s">
        <v>269</v>
      </c>
      <c r="C144" s="96">
        <v>0</v>
      </c>
      <c r="D144" s="96">
        <v>0</v>
      </c>
      <c r="E144" s="84" t="e">
        <f t="shared" si="31"/>
        <v>#DIV/0!</v>
      </c>
      <c r="F144" s="97">
        <v>26393.6</v>
      </c>
      <c r="G144" s="97">
        <v>3067.5</v>
      </c>
      <c r="H144" s="85">
        <f>G144/F144*100</f>
        <v>11.622135669253153</v>
      </c>
      <c r="I144" s="98">
        <f t="shared" si="24"/>
        <v>26393.6</v>
      </c>
      <c r="J144" s="99"/>
      <c r="K144" s="100">
        <f>I144-J144</f>
        <v>26393.6</v>
      </c>
      <c r="L144" s="98">
        <f t="shared" si="20"/>
        <v>3067.5</v>
      </c>
      <c r="M144" s="99"/>
      <c r="N144" s="100">
        <f t="shared" si="21"/>
        <v>3067.5</v>
      </c>
      <c r="O144" s="86">
        <f t="shared" si="28"/>
        <v>11.622135669253153</v>
      </c>
    </row>
    <row r="145" spans="1:15" ht="15">
      <c r="A145" s="82" t="s">
        <v>270</v>
      </c>
      <c r="B145" s="95" t="s">
        <v>269</v>
      </c>
      <c r="C145" s="96">
        <v>5297.5</v>
      </c>
      <c r="D145" s="96">
        <v>5297.5</v>
      </c>
      <c r="E145" s="84">
        <f t="shared" si="31"/>
        <v>100</v>
      </c>
      <c r="F145" s="97"/>
      <c r="G145" s="97"/>
      <c r="H145" s="85"/>
      <c r="I145" s="98">
        <f t="shared" si="24"/>
        <v>5297.5</v>
      </c>
      <c r="J145" s="99"/>
      <c r="K145" s="100">
        <f>I145-J145</f>
        <v>5297.5</v>
      </c>
      <c r="L145" s="98">
        <f t="shared" si="20"/>
        <v>5297.5</v>
      </c>
      <c r="M145" s="99"/>
      <c r="N145" s="100">
        <f t="shared" si="21"/>
        <v>5297.5</v>
      </c>
      <c r="O145" s="86">
        <f t="shared" si="28"/>
        <v>100</v>
      </c>
    </row>
    <row r="146" spans="1:15" ht="16.5" customHeight="1">
      <c r="A146" s="124">
        <v>1200</v>
      </c>
      <c r="B146" s="90" t="s">
        <v>271</v>
      </c>
      <c r="C146" s="91">
        <f>SUM(C147:C148)</f>
        <v>11414.3</v>
      </c>
      <c r="D146" s="91">
        <f>SUM(D147:D148)</f>
        <v>8189.5</v>
      </c>
      <c r="E146" s="102">
        <f>D146/C146*100</f>
        <v>71.74771996530667</v>
      </c>
      <c r="F146" s="91"/>
      <c r="G146" s="91"/>
      <c r="H146" s="92"/>
      <c r="I146" s="91">
        <f aca="true" t="shared" si="33" ref="I146:N146">I147</f>
        <v>11414.3</v>
      </c>
      <c r="J146" s="91">
        <f>J147+J148</f>
        <v>0</v>
      </c>
      <c r="K146" s="91">
        <f>K147+K148</f>
        <v>11414.3</v>
      </c>
      <c r="L146" s="91">
        <f t="shared" si="33"/>
        <v>8189.5</v>
      </c>
      <c r="M146" s="91">
        <f>M147+M148</f>
        <v>0</v>
      </c>
      <c r="N146" s="91">
        <f t="shared" si="33"/>
        <v>8189.5</v>
      </c>
      <c r="O146" s="103">
        <f t="shared" si="28"/>
        <v>71.74771996530667</v>
      </c>
    </row>
    <row r="147" spans="1:15" ht="15">
      <c r="A147" s="82" t="s">
        <v>272</v>
      </c>
      <c r="B147" s="95" t="s">
        <v>273</v>
      </c>
      <c r="C147" s="96">
        <v>11414.3</v>
      </c>
      <c r="D147" s="96">
        <v>8189.5</v>
      </c>
      <c r="E147" s="84">
        <f>D147/C147*100</f>
        <v>71.74771996530667</v>
      </c>
      <c r="F147" s="97"/>
      <c r="G147" s="97"/>
      <c r="H147" s="85"/>
      <c r="I147" s="98">
        <f>C147+F147</f>
        <v>11414.3</v>
      </c>
      <c r="J147" s="99">
        <v>0</v>
      </c>
      <c r="K147" s="100">
        <f>I147-J147</f>
        <v>11414.3</v>
      </c>
      <c r="L147" s="98">
        <f t="shared" si="20"/>
        <v>8189.5</v>
      </c>
      <c r="M147" s="99"/>
      <c r="N147" s="100">
        <f t="shared" si="21"/>
        <v>8189.5</v>
      </c>
      <c r="O147" s="86">
        <f>N147/K147*100</f>
        <v>71.74771996530667</v>
      </c>
    </row>
    <row r="148" spans="1:15" ht="15" hidden="1">
      <c r="A148" s="82" t="s">
        <v>274</v>
      </c>
      <c r="B148" s="95" t="s">
        <v>275</v>
      </c>
      <c r="C148" s="96"/>
      <c r="D148" s="96">
        <v>0</v>
      </c>
      <c r="E148" s="84" t="e">
        <f>D148/C148*100</f>
        <v>#DIV/0!</v>
      </c>
      <c r="F148" s="97"/>
      <c r="G148" s="97"/>
      <c r="H148" s="85"/>
      <c r="I148" s="98">
        <f>C148+F148</f>
        <v>0</v>
      </c>
      <c r="J148" s="99"/>
      <c r="K148" s="100">
        <f>I148-J148</f>
        <v>0</v>
      </c>
      <c r="L148" s="98">
        <f t="shared" si="20"/>
        <v>0</v>
      </c>
      <c r="M148" s="99">
        <v>0</v>
      </c>
      <c r="N148" s="100">
        <f t="shared" si="21"/>
        <v>0</v>
      </c>
      <c r="O148" s="86" t="e">
        <f>N148/K148*100</f>
        <v>#DIV/0!</v>
      </c>
    </row>
    <row r="149" spans="1:15" ht="15">
      <c r="A149" s="124">
        <v>1300</v>
      </c>
      <c r="B149" s="90" t="s">
        <v>276</v>
      </c>
      <c r="C149" s="91">
        <f aca="true" t="shared" si="34" ref="C149:N149">C150</f>
        <v>30</v>
      </c>
      <c r="D149" s="91">
        <f t="shared" si="34"/>
        <v>5.5</v>
      </c>
      <c r="E149" s="91">
        <f t="shared" si="34"/>
        <v>18.333333333333332</v>
      </c>
      <c r="F149" s="91">
        <f t="shared" si="34"/>
        <v>0</v>
      </c>
      <c r="G149" s="91">
        <f t="shared" si="34"/>
        <v>0</v>
      </c>
      <c r="H149" s="102">
        <f t="shared" si="34"/>
        <v>0</v>
      </c>
      <c r="I149" s="91">
        <f t="shared" si="34"/>
        <v>30</v>
      </c>
      <c r="J149" s="91">
        <f t="shared" si="34"/>
        <v>0</v>
      </c>
      <c r="K149" s="91">
        <f t="shared" si="34"/>
        <v>30</v>
      </c>
      <c r="L149" s="91">
        <f t="shared" si="34"/>
        <v>5.5</v>
      </c>
      <c r="M149" s="91">
        <f t="shared" si="34"/>
        <v>0</v>
      </c>
      <c r="N149" s="91">
        <f t="shared" si="34"/>
        <v>5.5</v>
      </c>
      <c r="O149" s="103">
        <f t="shared" si="28"/>
        <v>18.333333333333332</v>
      </c>
    </row>
    <row r="150" spans="1:15" ht="24" customHeight="1">
      <c r="A150" s="82">
        <v>1301</v>
      </c>
      <c r="B150" s="95" t="s">
        <v>277</v>
      </c>
      <c r="C150" s="96">
        <v>30</v>
      </c>
      <c r="D150" s="96">
        <v>5.5</v>
      </c>
      <c r="E150" s="84">
        <f t="shared" si="31"/>
        <v>18.333333333333332</v>
      </c>
      <c r="F150" s="97"/>
      <c r="G150" s="97">
        <v>0</v>
      </c>
      <c r="H150" s="85">
        <v>0</v>
      </c>
      <c r="I150" s="98">
        <f t="shared" si="24"/>
        <v>30</v>
      </c>
      <c r="J150" s="99"/>
      <c r="K150" s="100">
        <f t="shared" si="26"/>
        <v>30</v>
      </c>
      <c r="L150" s="98">
        <f t="shared" si="20"/>
        <v>5.5</v>
      </c>
      <c r="M150" s="130"/>
      <c r="N150" s="100">
        <f t="shared" si="21"/>
        <v>5.5</v>
      </c>
      <c r="O150" s="86">
        <f t="shared" si="28"/>
        <v>18.333333333333332</v>
      </c>
    </row>
    <row r="151" spans="1:15" ht="18.75" customHeight="1">
      <c r="A151" s="124">
        <v>1400</v>
      </c>
      <c r="B151" s="90" t="s">
        <v>278</v>
      </c>
      <c r="C151" s="91">
        <f>SUM(C152:C154)</f>
        <v>357358.30000000005</v>
      </c>
      <c r="D151" s="91">
        <f>SUM(D152:D154)</f>
        <v>258857.2</v>
      </c>
      <c r="E151" s="91">
        <f>D151/C151*100</f>
        <v>72.436319514616</v>
      </c>
      <c r="F151" s="111">
        <f>F152+F153+F154</f>
        <v>0</v>
      </c>
      <c r="G151" s="111">
        <f>SUM(G152:G154)</f>
        <v>0</v>
      </c>
      <c r="H151" s="111"/>
      <c r="I151" s="111">
        <f aca="true" t="shared" si="35" ref="I151:N151">I152+I153+I154</f>
        <v>357358.30000000005</v>
      </c>
      <c r="J151" s="111">
        <f t="shared" si="35"/>
        <v>357358.30000000005</v>
      </c>
      <c r="K151" s="111">
        <f>K152+K153+K154</f>
        <v>0</v>
      </c>
      <c r="L151" s="111">
        <f t="shared" si="35"/>
        <v>258857.2</v>
      </c>
      <c r="M151" s="111">
        <f t="shared" si="35"/>
        <v>258857.2</v>
      </c>
      <c r="N151" s="111">
        <f t="shared" si="35"/>
        <v>0</v>
      </c>
      <c r="O151" s="93">
        <v>0</v>
      </c>
    </row>
    <row r="152" spans="1:15" ht="29.25" customHeight="1">
      <c r="A152" s="82">
        <v>1401</v>
      </c>
      <c r="B152" s="95" t="s">
        <v>279</v>
      </c>
      <c r="C152" s="96">
        <v>158548.7</v>
      </c>
      <c r="D152" s="96">
        <v>110984.1</v>
      </c>
      <c r="E152" s="84">
        <f t="shared" si="31"/>
        <v>70.00000630721034</v>
      </c>
      <c r="F152" s="97">
        <v>0</v>
      </c>
      <c r="G152" s="97">
        <v>0</v>
      </c>
      <c r="H152" s="85">
        <v>0</v>
      </c>
      <c r="I152" s="98">
        <f t="shared" si="24"/>
        <v>158548.7</v>
      </c>
      <c r="J152" s="99">
        <v>158548.7</v>
      </c>
      <c r="K152" s="100">
        <f>I152-J152</f>
        <v>0</v>
      </c>
      <c r="L152" s="98">
        <f t="shared" si="20"/>
        <v>110984.1</v>
      </c>
      <c r="M152" s="130">
        <v>110984.1</v>
      </c>
      <c r="N152" s="100">
        <f t="shared" si="21"/>
        <v>0</v>
      </c>
      <c r="O152" s="86">
        <v>0</v>
      </c>
    </row>
    <row r="153" spans="1:15" ht="17.25" customHeight="1" hidden="1">
      <c r="A153" s="82">
        <v>1402</v>
      </c>
      <c r="B153" s="95" t="s">
        <v>280</v>
      </c>
      <c r="C153" s="96"/>
      <c r="D153" s="96"/>
      <c r="E153" s="84" t="e">
        <f t="shared" si="31"/>
        <v>#DIV/0!</v>
      </c>
      <c r="F153" s="97">
        <v>0</v>
      </c>
      <c r="G153" s="97">
        <v>0</v>
      </c>
      <c r="H153" s="85">
        <v>0</v>
      </c>
      <c r="I153" s="98">
        <f t="shared" si="24"/>
        <v>0</v>
      </c>
      <c r="J153" s="99"/>
      <c r="K153" s="100">
        <f>I153-J153</f>
        <v>0</v>
      </c>
      <c r="L153" s="98">
        <f t="shared" si="20"/>
        <v>0</v>
      </c>
      <c r="M153" s="130"/>
      <c r="N153" s="100">
        <f t="shared" si="21"/>
        <v>0</v>
      </c>
      <c r="O153" s="86">
        <v>0</v>
      </c>
    </row>
    <row r="154" spans="1:15" ht="17.25" customHeight="1">
      <c r="A154" s="82">
        <v>1403</v>
      </c>
      <c r="B154" s="95" t="s">
        <v>281</v>
      </c>
      <c r="C154" s="96">
        <v>198809.6</v>
      </c>
      <c r="D154" s="96">
        <v>147873.1</v>
      </c>
      <c r="E154" s="84">
        <f t="shared" si="31"/>
        <v>74.37925532771054</v>
      </c>
      <c r="F154" s="97">
        <v>0</v>
      </c>
      <c r="G154" s="97">
        <v>0</v>
      </c>
      <c r="H154" s="85">
        <v>0</v>
      </c>
      <c r="I154" s="98">
        <f t="shared" si="24"/>
        <v>198809.6</v>
      </c>
      <c r="J154" s="99">
        <v>198809.6</v>
      </c>
      <c r="K154" s="100">
        <f>I154-J154</f>
        <v>0</v>
      </c>
      <c r="L154" s="98">
        <f t="shared" si="20"/>
        <v>147873.1</v>
      </c>
      <c r="M154" s="99">
        <v>147873.1</v>
      </c>
      <c r="N154" s="100">
        <f t="shared" si="21"/>
        <v>0</v>
      </c>
      <c r="O154" s="86">
        <v>0</v>
      </c>
    </row>
    <row r="155" spans="1:15" ht="15.75" thickBot="1">
      <c r="A155" s="187" t="s">
        <v>282</v>
      </c>
      <c r="B155" s="188"/>
      <c r="C155" s="131">
        <f>C10+C19+C21+C26+C59+C109+C111+C122+C127+C131+C142+C146+C149+C151</f>
        <v>5612589.4</v>
      </c>
      <c r="D155" s="131">
        <f>D151+D149+D146+D142+D131+D127+D122+D111+D109+D59+D26+D21+D19+D10</f>
        <v>3008740</v>
      </c>
      <c r="E155" s="131">
        <f>D155/C155*100</f>
        <v>53.60698575242293</v>
      </c>
      <c r="F155" s="131">
        <f>F10+F19+F21+F26+F59+F109+F111+F122+F127+F131+F142+F146+F149+F151</f>
        <v>779666.9</v>
      </c>
      <c r="G155" s="131">
        <f>G10+G19+G21+G26+G59+G109+G111+G122+G127+G131+G142+G146+G149+G151</f>
        <v>466438.29999999993</v>
      </c>
      <c r="H155" s="132">
        <f>G155/F155*100</f>
        <v>59.82533053538632</v>
      </c>
      <c r="I155" s="131"/>
      <c r="J155" s="131">
        <f>J10+J19+J21+J26+J59+J109+J111+J122+J127+J131+J142+J146+J149+J151</f>
        <v>527343.1000000001</v>
      </c>
      <c r="K155" s="131">
        <f>K151+K149+K146+K142+K131+K127+K122+K111+K109+K59+K26+K21+K19+K10</f>
        <v>5864913.2</v>
      </c>
      <c r="L155" s="133"/>
      <c r="M155" s="131">
        <f>M10+M19+M21+M26+M59+M109+M111+M122+M127+M131+M142+M146+M149+M151</f>
        <v>344355.5</v>
      </c>
      <c r="N155" s="131">
        <f>N151+N149+N146+N142+N131+N127+N122+N111+N109+N59+N26+N21+N19+N10</f>
        <v>3130822.8000000003</v>
      </c>
      <c r="O155" s="134">
        <f t="shared" si="28"/>
        <v>53.38225295474109</v>
      </c>
    </row>
    <row r="156" spans="1:15" ht="12.75" hidden="1">
      <c r="A156" s="73"/>
      <c r="B156" s="74"/>
      <c r="C156" s="135"/>
      <c r="D156" s="76"/>
      <c r="E156" s="136"/>
      <c r="F156" s="78"/>
      <c r="G156" s="78"/>
      <c r="H156" s="79"/>
      <c r="I156" s="79"/>
      <c r="J156" s="79"/>
      <c r="K156" s="81"/>
      <c r="L156" s="78"/>
      <c r="M156" s="81"/>
      <c r="N156" s="81"/>
      <c r="O156" s="80"/>
    </row>
    <row r="157" spans="1:15" ht="12.75" hidden="1">
      <c r="A157" s="137"/>
      <c r="B157" s="138"/>
      <c r="C157" s="139">
        <v>5612589.4</v>
      </c>
      <c r="D157" s="139">
        <v>3008740</v>
      </c>
      <c r="E157" s="139"/>
      <c r="F157" s="139">
        <v>779666.9</v>
      </c>
      <c r="G157" s="139">
        <v>466438.3</v>
      </c>
      <c r="H157" s="139"/>
      <c r="I157" s="139"/>
      <c r="J157" s="139">
        <v>527343.1</v>
      </c>
      <c r="K157" s="140">
        <v>5864913.2</v>
      </c>
      <c r="L157" s="139"/>
      <c r="M157" s="139">
        <v>344355.5</v>
      </c>
      <c r="N157" s="139">
        <v>3130822.8</v>
      </c>
      <c r="O157" s="139"/>
    </row>
    <row r="158" spans="1:15" ht="12.75" hidden="1">
      <c r="A158" s="137"/>
      <c r="B158" s="138"/>
      <c r="C158" s="141">
        <f>C157-C155</f>
        <v>0</v>
      </c>
      <c r="D158" s="141">
        <f>D157-D155</f>
        <v>0</v>
      </c>
      <c r="E158" s="142"/>
      <c r="F158" s="141">
        <f>F155-F157</f>
        <v>0</v>
      </c>
      <c r="G158" s="143">
        <f>G155-G157</f>
        <v>0</v>
      </c>
      <c r="H158" s="143"/>
      <c r="I158" s="143"/>
      <c r="J158" s="144">
        <f>J155-J157</f>
        <v>0</v>
      </c>
      <c r="K158" s="144">
        <f>K155-K157</f>
        <v>0</v>
      </c>
      <c r="L158" s="144">
        <f>L155-L157</f>
        <v>0</v>
      </c>
      <c r="M158" s="144">
        <f>M155-M157</f>
        <v>0</v>
      </c>
      <c r="N158" s="144">
        <f>N155-N157</f>
        <v>0</v>
      </c>
      <c r="O158" s="144"/>
    </row>
    <row r="159" spans="1:15" ht="12.75">
      <c r="A159" s="180" t="s">
        <v>283</v>
      </c>
      <c r="B159" s="180"/>
      <c r="C159" s="180"/>
      <c r="D159" s="145"/>
      <c r="E159" s="146"/>
      <c r="F159" s="145"/>
      <c r="G159" s="78"/>
      <c r="H159" s="79"/>
      <c r="I159" s="79"/>
      <c r="J159" s="79"/>
      <c r="K159" s="80"/>
      <c r="L159" s="79"/>
      <c r="M159" s="80"/>
      <c r="N159" s="81"/>
      <c r="O159" s="80"/>
    </row>
    <row r="160" spans="1:15" ht="12.75">
      <c r="A160" s="180" t="s">
        <v>284</v>
      </c>
      <c r="B160" s="180"/>
      <c r="C160" s="180"/>
      <c r="D160" s="147"/>
      <c r="E160" s="181" t="s">
        <v>285</v>
      </c>
      <c r="F160" s="181"/>
      <c r="G160" s="78"/>
      <c r="H160" s="79"/>
      <c r="I160" s="79"/>
      <c r="J160" s="79"/>
      <c r="K160" s="80"/>
      <c r="L160" s="79"/>
      <c r="M160" s="80"/>
      <c r="N160" s="81"/>
      <c r="O160" s="80"/>
    </row>
    <row r="161" spans="1:15" ht="12.75">
      <c r="A161" s="148"/>
      <c r="B161" s="149"/>
      <c r="C161" s="150"/>
      <c r="D161" s="151"/>
      <c r="E161" s="152"/>
      <c r="F161" s="153"/>
      <c r="G161" s="78"/>
      <c r="H161" s="79"/>
      <c r="I161" s="79"/>
      <c r="J161" s="79"/>
      <c r="K161" s="80"/>
      <c r="L161" s="79"/>
      <c r="M161" s="80"/>
      <c r="N161" s="81"/>
      <c r="O161" s="80"/>
    </row>
    <row r="162" spans="1:15" ht="12.75">
      <c r="A162" s="180" t="s">
        <v>286</v>
      </c>
      <c r="B162" s="180"/>
      <c r="C162" s="180"/>
      <c r="D162" s="154"/>
      <c r="E162" s="181" t="s">
        <v>287</v>
      </c>
      <c r="F162" s="181"/>
      <c r="G162" s="78"/>
      <c r="H162" s="79"/>
      <c r="I162" s="79"/>
      <c r="J162" s="79"/>
      <c r="K162" s="80"/>
      <c r="L162" s="79"/>
      <c r="M162" s="80"/>
      <c r="N162" s="81"/>
      <c r="O162" s="80"/>
    </row>
    <row r="163" spans="1:15" ht="12.75">
      <c r="A163" s="148"/>
      <c r="B163" s="155"/>
      <c r="C163" s="156"/>
      <c r="D163" s="145"/>
      <c r="E163" s="152"/>
      <c r="F163" s="153"/>
      <c r="G163" s="78"/>
      <c r="H163" s="79"/>
      <c r="I163" s="79"/>
      <c r="J163" s="79"/>
      <c r="K163" s="80"/>
      <c r="L163" s="79"/>
      <c r="M163" s="80"/>
      <c r="N163" s="81"/>
      <c r="O163" s="80"/>
    </row>
    <row r="164" spans="1:15" ht="12.75">
      <c r="A164" s="180" t="s">
        <v>288</v>
      </c>
      <c r="B164" s="180"/>
      <c r="C164" s="180"/>
      <c r="D164" s="154"/>
      <c r="E164" s="181" t="s">
        <v>289</v>
      </c>
      <c r="F164" s="181"/>
      <c r="G164" s="78"/>
      <c r="H164" s="79"/>
      <c r="I164" s="79"/>
      <c r="J164" s="79"/>
      <c r="K164" s="80"/>
      <c r="L164" s="79"/>
      <c r="M164" s="80"/>
      <c r="N164" s="81"/>
      <c r="O164" s="80"/>
    </row>
    <row r="165" spans="1:15" ht="12.75">
      <c r="A165" s="157"/>
      <c r="B165" s="158"/>
      <c r="C165" s="156"/>
      <c r="D165" s="145"/>
      <c r="E165" s="146"/>
      <c r="F165" s="145"/>
      <c r="G165" s="78"/>
      <c r="H165" s="79"/>
      <c r="I165" s="79"/>
      <c r="J165" s="79"/>
      <c r="K165" s="80"/>
      <c r="L165" s="79"/>
      <c r="M165" s="80"/>
      <c r="N165" s="81" t="s">
        <v>39</v>
      </c>
      <c r="O165" s="80"/>
    </row>
    <row r="166" spans="1:14" ht="12.75">
      <c r="A166" s="159"/>
      <c r="B166" s="159"/>
      <c r="C166" s="160" t="s">
        <v>290</v>
      </c>
      <c r="D166" s="161"/>
      <c r="E166" s="162" t="s">
        <v>291</v>
      </c>
      <c r="F166" s="163"/>
      <c r="G166" s="164"/>
      <c r="K166" t="s">
        <v>292</v>
      </c>
      <c r="N166" s="164"/>
    </row>
  </sheetData>
  <sheetProtection/>
  <mergeCells count="28">
    <mergeCell ref="E4:E5"/>
    <mergeCell ref="F4:F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A160:C160"/>
    <mergeCell ref="E160:F160"/>
    <mergeCell ref="A162:C162"/>
    <mergeCell ref="E162:F162"/>
    <mergeCell ref="A164:C164"/>
    <mergeCell ref="E164:F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Бучельникова</cp:lastModifiedBy>
  <cp:lastPrinted>2023-09-12T12:55:19Z</cp:lastPrinted>
  <dcterms:created xsi:type="dcterms:W3CDTF">2006-05-12T06:58:42Z</dcterms:created>
  <dcterms:modified xsi:type="dcterms:W3CDTF">2023-09-20T05:13:55Z</dcterms:modified>
  <cp:category/>
  <cp:version/>
  <cp:contentType/>
  <cp:contentStatus/>
</cp:coreProperties>
</file>