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1"/>
  </bookViews>
  <sheets>
    <sheet name="доходы" sheetId="1" r:id="rId1"/>
    <sheet name="расходы" sheetId="2" r:id="rId2"/>
  </sheets>
  <definedNames>
    <definedName name="_xlfn.ANCHORARRAY" hidden="1">#NAME?</definedName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<sst xmlns="http://schemas.openxmlformats.org/spreadsheetml/2006/main" count="745" uniqueCount="294">
  <si>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</si>
  <si>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</si>
  <si>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</si>
  <si>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</si>
  <si>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</si>
  <si>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</si>
  <si>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</si>
  <si>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</si>
  <si>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</si>
  <si>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</si>
  <si>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</si>
  <si>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</si>
  <si>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</si>
  <si>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</si>
  <si>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</si>
  <si>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</si>
  <si>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</si>
  <si>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</si>
  <si>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</si>
  <si>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</si>
  <si>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</si>
  <si>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</si>
  <si>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</si>
  <si>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</si>
  <si>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</si>
  <si>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</si>
  <si>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</si>
  <si>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</si>
  <si>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</si>
  <si>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</si>
  <si>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</si>
  <si>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</si>
  <si>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</si>
  <si>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</si>
  <si>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</si>
  <si>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</si>
  <si>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</si>
  <si>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</si>
  <si>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</si>
  <si>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</si>
  <si>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</si>
  <si>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</si>
  <si>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</si>
  <si>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</si>
  <si>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</si>
  <si>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контроль</t>
  </si>
  <si>
    <t>00011500000000000000</t>
  </si>
  <si>
    <t>Административные платежи и сборы</t>
  </si>
  <si>
    <t>=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</si>
  <si>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</si>
  <si>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</si>
  <si>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</si>
  <si>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00020200000000000000</t>
  </si>
  <si>
    <t>НАЛОГОВЫЕ И НЕНАЛОГОВЫЕ ДОХОДЫ</t>
  </si>
  <si>
    <t>(тыс.руб.)</t>
  </si>
  <si>
    <t>1 квартал</t>
  </si>
  <si>
    <t>2 квартал</t>
  </si>
  <si>
    <t>3 квартал</t>
  </si>
  <si>
    <t>4 квартал</t>
  </si>
  <si>
    <t>00021800000000000000</t>
  </si>
  <si>
    <t>00020700000000000000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</si>
  <si>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</si>
  <si>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</si>
  <si>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00010102000010000110</t>
  </si>
  <si>
    <t>Налог на доходы физических лиц</t>
  </si>
  <si>
    <t>Первонач. план на 2023 год</t>
  </si>
  <si>
    <t xml:space="preserve">% исп-ия к уточн. плану на 2023 год </t>
  </si>
  <si>
    <t xml:space="preserve">% исп-ия к первонач. плану на 2023 год </t>
  </si>
  <si>
    <t>00020300000000000000</t>
  </si>
  <si>
    <t xml:space="preserve">Безвозмездные поступления от государственных (муниципальных) организаций </t>
  </si>
  <si>
    <t>План                 на 9 месяцев 2023 года</t>
  </si>
  <si>
    <t xml:space="preserve">% исп-ия к плану за 9 месяцев 2023 года </t>
  </si>
  <si>
    <t>Исполнение за 2022 год</t>
  </si>
  <si>
    <t xml:space="preserve">Уточн. план на 2023 год </t>
  </si>
  <si>
    <t>Отчет об исполнении консолидированного бюджета Октябрьского района по состоянию на 01.10.2023</t>
  </si>
  <si>
    <t>Исполнение на 01.10.2023</t>
  </si>
  <si>
    <t>Отчет  об  исполнении  консолидированного  бюджета  района  по  расходам на 1 октября 2023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</si>
  <si>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</si>
  <si>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</si>
  <si>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</si>
  <si>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</si>
  <si>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</si>
  <si>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</si>
  <si>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01.10.2023</t>
  </si>
  <si>
    <t>% исполнения</t>
  </si>
  <si>
    <t>суммы подлежащие исключению</t>
  </si>
  <si>
    <t>исполнения на 01.10.2023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</si>
  <si>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</si>
  <si>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</si>
  <si>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</si>
  <si>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</si>
  <si>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</si>
  <si>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</si>
  <si>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</si>
  <si>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</si>
  <si>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</si>
  <si>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</si>
  <si>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</si>
  <si>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</si>
  <si>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</si>
  <si>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</si>
  <si>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</si>
  <si>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</si>
  <si>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</si>
  <si>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</si>
  <si>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</si>
  <si>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</si>
  <si>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</si>
  <si>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</si>
  <si>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</si>
  <si>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</si>
  <si>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</si>
  <si>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</si>
  <si>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</si>
  <si>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</si>
  <si>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</si>
  <si>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</si>
  <si>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</si>
  <si>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</si>
  <si>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</si>
  <si>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</si>
  <si>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</si>
  <si>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</si>
  <si>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</si>
  <si>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</si>
  <si>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</si>
  <si>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</si>
  <si>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(1120161400)</t>
  </si>
  <si>
    <t>Автомобильный транспорт (1140199990 - район, 4030099990, 4110089020, ****99990 - поселения)</t>
  </si>
  <si>
    <t>Водный транспорт (1130161400)</t>
  </si>
  <si>
    <t>0409</t>
  </si>
  <si>
    <t>Муниципальная  программа" Развитие транспортной  системы муниципального  образования Октябрьский  район" (11101S2390)</t>
  </si>
  <si>
    <t>Муниципальная  программа" Развитие транспортной  системы муниципального  образования Октябрьский  район"  (1110182390) окружные средства</t>
  </si>
  <si>
    <t>Содержание автомобильных дорог общего пользования (1110199990)  (дорожный фонд)</t>
  </si>
  <si>
    <t>Основное мероприятие "Капитальный ремонт и ремонт автомобильных дорог местного значения городского поселения Талинка". (0300189111, 0300289112, 0300199990, 0300399990)</t>
  </si>
  <si>
    <t>Основное мероприятие "Содержание автомобильных дорог" (0400299990)</t>
  </si>
  <si>
    <t xml:space="preserve"> (0100199990, 0100189111, 0100489112, 0100189113, ,0100189152, 4030089111,0100190105, 0100189112)</t>
  </si>
  <si>
    <t>Основное мероприятие "Проведение диагностики автомобильных дорог" ( 0100490106)</t>
  </si>
  <si>
    <t>Основное мероприятие "Содержание автомобильных дорог" (0100299990)</t>
  </si>
  <si>
    <t>Основное мероприятие "Приобретение дорожных знаков и краски для разметки" (0100399990)</t>
  </si>
  <si>
    <t>Основное мероприятие "Закупка товаров, работ и услуг для обеспечения  государственных (муниципальных) нужд" (0100199990, 0100189111, 0100189112)</t>
  </si>
  <si>
    <t>Расходы на реализацию мероприятий (2560199990, 2570199990)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</si>
  <si>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</si>
  <si>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</si>
  <si>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</si>
  <si>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</si>
  <si>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Иные межбюджетные трансферты на межевание земельных участков (1800289182, 1800299990)(4030089182, 1800299990, 4010089182, 4050089182 поселения)</t>
  </si>
  <si>
    <t>Реализация мероприятий по градостроительной деятельностиа (0910282761, 09102S2761)</t>
  </si>
  <si>
    <t>Реализация мероприятий муниципальной программы "Поддержка малого и среднего предпринимательства в Октябрьском районе" ( 0810199990,0820199990,  ****82380, ****S2380, 0810161200, 0820161200, 082I4S2330, 082I482330)</t>
  </si>
  <si>
    <t>Расходы на развитие деятельности по заготовке и переработке дикоросов (0500284190 )</t>
  </si>
  <si>
    <t>Расходы на финансовую поддержку впервые зарегистрированным и действующим менее одного года субъектам малого и среднего предпринимательства в органах местного самоуправления ( 082I4S2320, 082I482320)</t>
  </si>
  <si>
    <t>Осуществление полномочий по государственному управлению охраной труда (1910184120, 1910199990) тс. 01.30.39</t>
  </si>
  <si>
    <t>Субсидии по развитию малого и среднего предпринимательства (0810161200, 0820161200, 082I4S2330, 082I482330)</t>
  </si>
  <si>
    <t xml:space="preserve">Подпрограмма "Градостроительное обеспечение и комплексное развитие территории Октябрьского района" (13100S2911, 1310082911) </t>
  </si>
  <si>
    <t>Осуществление полномочий по государственному управлению охраной труда (1910199990) местный бюджет</t>
  </si>
  <si>
    <t>Реализация мероприятий муниципальной программы "Развитие агропромышленного комплекса в муниципальном образовании Октябрьский район" Расходы на развитие  системы заготовки и переработки дикиросов (0500284190)</t>
  </si>
  <si>
    <t>Реализация мероприятий в области жилищно-коммунального хозяйтсва(4060099990)</t>
  </si>
  <si>
    <t>Реализация мероприятий в рамках непрограммного направления деятельности (4030099990)</t>
  </si>
  <si>
    <t>05</t>
  </si>
  <si>
    <t>Жилищно-коммунальное хозяйство</t>
  </si>
  <si>
    <t>0501</t>
  </si>
  <si>
    <t>Развитие жилищной сферы в муниципальном образовании Октябрьский район" (0910182661, 0910199990, 09101S2661, 091F382661, 091F3S2661, 0910342110) 01.40.04, 01.02.00, 01.00.00, 01.40.01</t>
  </si>
  <si>
    <t xml:space="preserve"> "Управление и распоряжение  муниципальным  имуществом муниципального  образования Октябрьский  район" (1800199990)</t>
  </si>
  <si>
    <t>Укрепление материально-технической базы объектов муниципальной собственности (1800742110)</t>
  </si>
  <si>
    <t>Строительство и реконструкция  объектов  муниципальной  собственности (0910342110)</t>
  </si>
  <si>
    <t>Основное мероприятие "Приобретение жилых помещений в целях предоставления гражданам, формирование муниципального маневренного жилищного фонда" (0910182762, 09101S2762, 09101S2901, 0910182901, 0910199990)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</si>
  <si>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бюджета автономного округа (091F367484, 091F36748S)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</si>
  <si>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местного бюджета  (091F36748S)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</si>
  <si>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поступивших от гос.корпорации - Фонда содействия реформированию ЖКХ. (091F367483)</t>
  </si>
  <si>
    <t>Основное мероприятие "Признание объектов недвижимости аварийными и проведение мероприятий по их сносу" 1030289107,01030289108, 1030299108</t>
  </si>
  <si>
    <t>Основное мероприятие "Управление и аспоряжение муниципальным имуществом муниципального образования Октябрьский район" (1800199990)</t>
  </si>
  <si>
    <t>Капитальный ремонт жилого фонда 1030189102, 1030142120, 1030199990 (4060099990,4060089102, 4010089102, 4010099990  средства поселений)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</si>
  <si>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</si>
  <si>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 (1020161100, ****61110,****61120,***61130, 1020189103, 1020184340,1020182830, 10201S2830 )  (0220161100, 4060061100, 4060089103 поселения)</t>
  </si>
  <si>
    <t xml:space="preserve"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(расходы на финансовое обеспечение затрат в целях оплаты задолженности организаций коммунального компдлекса за потребление топливо-энергетические ресурсы перед гарантирующими поставщиками) 1020185150 т.с. 01.51.22 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</si>
  <si>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в городских поселениях Талинка, Октябрьское) (1020161100 т.с. 01.00)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</si>
  <si>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</si>
  <si>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(электроснабжение) (1020182240) окружной бюджет</t>
  </si>
  <si>
    <t>Реализация мероприятий по  разработке, обследованию объектов водоснабжения(1010189109)(Талинка)</t>
  </si>
  <si>
    <t>Основное  мероприятие " Реализация мероприятий обеспечения  качественными  коммунальными  услугами"  1010189104</t>
  </si>
  <si>
    <t>Расходы на реализацию полномочий в сфере ЖКХ (1010182591, 10101S2591, 1010199990,1010189105)(4060082591, 40600S2591 , 0210182591, 02101S2591, поселения)</t>
  </si>
  <si>
    <t>модернизация систем коммунальной инфраструктуры за счет средств бюджета Ханты-Мансийского автономного округа,Югры (*****9605, 1010109505)</t>
  </si>
  <si>
    <t>Региональный проект "Чистая вода" (101F5S2190)</t>
  </si>
  <si>
    <t>Основное мероприятие "Реализация мероприятий обеспечения качественными коммунальными услугами". Расходы на реконструкцию, расширение, модернизацию, строительство коммунальных объектов (101F582190)</t>
  </si>
  <si>
    <t>Иные межбюджетные трансферты на аварийно-технический запас(1010189101,) (0210189101, 4060089101 поселения)</t>
  </si>
  <si>
    <t xml:space="preserve">Расходы на реализацию мероприятий по строительству и реконструкции (модернизации) объектов питьевого водоснабжения 101F5S2140, 101F582140
</t>
  </si>
  <si>
    <t>Межбюджетные трансферты, передаваемые бюджетным муниципальным образованиям на осуществление части полномочий по решению вопросов местного значения в соответствии с заключенными соглашениями (4110089020 поселения)</t>
  </si>
  <si>
    <t>Основное мероприятие "Расходы на аварийно-технический запас в сфере ЖКХ"(0210199990 , 4060099990 поселения)</t>
  </si>
  <si>
    <t>Капитальные вложения в объекты государственной (муниципально) собственности (1010242110,)</t>
  </si>
  <si>
    <t>Разработка проектно-сметной документации (1010142130, 1010189104, )(4060089104,  поселения)</t>
  </si>
  <si>
    <t>Иные межбюджетные трансферты на реализацию полномочий в сфере жкк (подготовка к осенне-зимнему периоду(1010189105)</t>
  </si>
  <si>
    <t>Содержание резервов материальных ресурсов для предупреждения, ликвидации чрезвычайных ситуаций. (1010120030)</t>
  </si>
  <si>
    <t>0503</t>
  </si>
  <si>
    <t>Основное мероприятие "Реализация мероприятий обеспечения качественными коммунальными услугами". Подпрограмма "Формирование комфортной городской среды". (105F255550, 105F2S2600, 105F282600), (025F255550, 406F255550, 105F255550, 406F282600, 406F2S2600 поселения)</t>
  </si>
  <si>
    <t>Реализация  мероприятий  муниципальной  программы "Обеспечение и организация мероприятий по благоустройству улиц, тротуаров, сохранение объектов внешнего благоустройства (зеленое хозяйство), содержание, ремонт объектов уличного освещения(1500189151, 4060089151 поселения)</t>
  </si>
  <si>
    <t>Основное мероприятие "Капитальный ремонт и ремонт автомобильных дорог общего пользования местного значения" (4060089130)</t>
  </si>
  <si>
    <t>Расходы на создание площадок временного накопления твердых коммунальных отходов (0100189061)</t>
  </si>
  <si>
    <t>Расходы на конкурсный отбор инициативных проектов (0200182751, 0200182753, 0200182754), ****2751, ***2753, ****2754</t>
  </si>
  <si>
    <t xml:space="preserve">Иные межбюджетные трансферты на благоустройство территорий муниципальных образований 1050189106, 1320189130
</t>
  </si>
  <si>
    <t>"Улучшение экологической ситуации на территории Октябрьского района" расходы на создание площадок временного накопления твердых коммунальных отходов(0600289061)(4060089061 поселения)</t>
  </si>
  <si>
    <t>Реализация мероприятий муниципальной программы "Развитие гражданского общества в муниципальном образовании Октябрьский район" (2200282751, 2200282753) (0500182751, 05001S2751, 02000S2753,  0200082753 поселения)</t>
  </si>
  <si>
    <t>"Улучшение экологической ситуации на территории Октябрьского района"  за счет средств резервного фонда Правительства Ханты-Мансийского автономного округа -Югры(0600285150)</t>
  </si>
  <si>
    <t>Основное мероприятие "Увеличение количества благоустроенных дворовых территорий и мест общего пользования" (1050199990)</t>
  </si>
  <si>
    <t>Расходы на признание объектов аварийными (4060089108, 0250189108, 0100189108)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</si>
  <si>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</si>
  <si>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(105F255550)</t>
  </si>
  <si>
    <t>Расходы на капитальный ремонт муниципального жилищного фонда (10501S2600, 105F282600)</t>
  </si>
  <si>
    <t>Расходы на организацию мероприятий при осуществлении деятельности по обращению с животными без владельцев 4060089051</t>
  </si>
  <si>
    <t>Расходы на снос объектов, признанных аварийными( хх.ххх.89108)</t>
  </si>
  <si>
    <t xml:space="preserve"> Реализация мероприятий (0100199990, 4060099990, 0250199990, 0500199991)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</si>
  <si>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</si>
  <si>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</si>
  <si>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</si>
  <si>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</si>
  <si>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</si>
  <si>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</si>
  <si>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</si>
  <si>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</si>
  <si>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</si>
  <si>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</si>
  <si>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 xml:space="preserve">Субсидии на строительство и реконструкцию объектов муниципальной собственности (0140442110) </t>
  </si>
  <si>
    <t>0702</t>
  </si>
  <si>
    <t>Общее образование</t>
  </si>
  <si>
    <t>Расходы на соц.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гос. аккредитацию  основным общеобразовательным программам (140284030)</t>
  </si>
  <si>
    <t>Расходы на организацию бесплатного горячего питания обучающихся, получающих начальное общее образование в гоосударственных и муниципальных образовательных организациях (01402L3040)</t>
  </si>
  <si>
    <t>Региональный проект "Современная школа" Расходы на строительство и  реконструкцию общеобразовательных организаций (014E182680, 014Е1S2680)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</si>
  <si>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</si>
  <si>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</si>
  <si>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</si>
  <si>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</si>
  <si>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</si>
  <si>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</si>
  <si>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</si>
  <si>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</si>
  <si>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</si>
  <si>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</si>
  <si>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</si>
  <si>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</si>
  <si>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03101S2520, 4070082520, 40700S2520 поселения)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</si>
  <si>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</si>
  <si>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</si>
  <si>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</si>
  <si>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</si>
  <si>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</si>
  <si>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</si>
  <si>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0907</t>
  </si>
  <si>
    <t>Дотация по обеспечению  санитарно-эпидемиологической безопасности при подготовке к проведению общероссийского голосования (140W058530)</t>
  </si>
  <si>
    <t>0909</t>
  </si>
  <si>
    <t>Бюджетные инвестиции в объекты капитального строительства государственной собственности субъектов РФ (1800542110)</t>
  </si>
  <si>
    <t>Расходы на обработку контейнерных площадок и контейнеров (4060089130)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</si>
  <si>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</si>
  <si>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</si>
  <si>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 (09202D1340 01.30.15) 0920251340</t>
  </si>
  <si>
    <t>1003</t>
  </si>
  <si>
    <t>Муниципальная  программа" Развитие агропромышленного  комплекса в муниципальном  образовании  Октябрьский  район" (05004L5760, 0920251350)</t>
  </si>
  <si>
    <t>Субсидии на софинансирование мероприятий подпрограммы "Обеспечение жильем молодых семей"  за счет средств бюджета автономного округа (09205L1780)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</si>
  <si>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</si>
  <si>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</si>
  <si>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</si>
  <si>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Югры" за счет средств автономного округа (1310184310)</t>
  </si>
  <si>
    <t>Обеспечение жильем молодых семей (09201L4970) 01.40.02, 01.02.00, 01.41.04,</t>
  </si>
  <si>
    <t>1006</t>
  </si>
  <si>
    <t>Реализация мероприятий по защите населения и территории от чрезвычайных ситуацийприродного и техногенного характера, гражданская оборона (4020099990)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</si>
  <si>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</si>
  <si>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</si>
  <si>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</si>
  <si>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</si>
  <si>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1103</t>
  </si>
  <si>
    <t>Средства массовой информации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</si>
  <si>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</si>
  <si>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</si>
  <si>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</si>
  <si>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</si>
  <si>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</si>
  <si>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</si>
  <si>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</si>
  <si>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</si>
  <si>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</si>
  <si>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</si>
  <si>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</si>
  <si>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</si>
  <si>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</si>
  <si>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</si>
  <si>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</si>
  <si>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Мальгин С.В.</t>
  </si>
  <si>
    <t>Заведующий бюджетным отделом</t>
  </si>
  <si>
    <t>Заворотынская Н.А.</t>
  </si>
  <si>
    <t>Заведующий отделом  доходов</t>
  </si>
  <si>
    <t>Мартюшова О.Г.</t>
  </si>
  <si>
    <t xml:space="preserve">                        </t>
  </si>
  <si>
    <r>
      <t xml:space="preserve">план                </t>
    </r>
    <r>
      <rPr>
        <b/>
        <i/>
        <sz val="12"/>
        <rFont val="Times New Roman"/>
        <family val="1"/>
      </rPr>
      <t xml:space="preserve"> итого</t>
    </r>
    <r>
      <rPr>
        <b/>
        <i/>
        <sz val="11"/>
        <rFont val="Times New Roman"/>
        <family val="1"/>
      </rPr>
      <t xml:space="preserve"> </t>
    </r>
  </si>
  <si>
    <r>
      <t xml:space="preserve">исполнение               </t>
    </r>
    <r>
      <rPr>
        <i/>
        <sz val="12"/>
        <rFont val="Times New Roman"/>
        <family val="1"/>
      </rPr>
      <t xml:space="preserve"> итого</t>
    </r>
    <r>
      <rPr>
        <i/>
        <sz val="11"/>
        <rFont val="Times New Roman"/>
        <family val="1"/>
      </rPr>
      <t xml:space="preserve"> </t>
    </r>
  </si>
  <si>
    <r>
      <t>Основное мероприятие "Выполнение работ по содержанию автомобильных дорог общего пользования местного  значения, внутриквартальных автомобильных дорог, тротуаров в  городском поселении Приобье". (</t>
    </r>
    <r>
      <rPr>
        <sz val="11"/>
        <rFont val="Times New Roman"/>
        <family val="1"/>
      </rPr>
      <t>2560189111</t>
    </r>
    <r>
      <rPr>
        <sz val="11"/>
        <color indexed="8"/>
        <rFont val="Times New Roman"/>
        <family val="1"/>
      </rPr>
      <t xml:space="preserve">,2560199990, </t>
    </r>
    <r>
      <rPr>
        <sz val="11"/>
        <rFont val="Times New Roman"/>
        <family val="1"/>
      </rPr>
      <t>2560189112</t>
    </r>
    <r>
      <rPr>
        <sz val="11"/>
        <color indexed="8"/>
        <rFont val="Times New Roman"/>
        <family val="1"/>
      </rPr>
      <t xml:space="preserve">, </t>
    </r>
    <r>
      <rPr>
        <sz val="11"/>
        <rFont val="Times New Roman"/>
        <family val="1"/>
      </rPr>
      <t>2570199990</t>
    </r>
    <r>
      <rPr>
        <sz val="11"/>
        <color indexed="8"/>
        <rFont val="Times New Roman"/>
        <family val="1"/>
      </rPr>
      <t>)</t>
    </r>
  </si>
  <si>
    <r>
      <t>Основное мероприятие "Реализация мероприятий в рамках дорожной деятельности" (</t>
    </r>
    <r>
      <rPr>
        <sz val="11"/>
        <rFont val="Times New Roman"/>
        <family val="1"/>
      </rPr>
      <t>1110189111, 1110189112</t>
    </r>
    <r>
      <rPr>
        <sz val="11"/>
        <color indexed="8"/>
        <rFont val="Times New Roman"/>
        <family val="1"/>
      </rPr>
      <t>, 1110189113, 1500289152)(0110189111, 0110189112, 1110199990 , 4030089112 поселения)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</si>
</sst>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00"/>
    <numFmt numFmtId="181" formatCode="_-* #,##0.0_р_._-;\-* #,##0.0_р_._-;_-* &quot;-&quot;?_р_._-;_-@_-"/>
    <numFmt numFmtId="182" formatCode="#,##0.00_ ;\-#,##0.00\ "/>
  </numFmts>
  <fonts count="74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b/>
      <sz val="12"/>
      <color indexed="3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3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i/>
      <sz val="10"/>
      <color indexed="8"/>
      <name val="Times New Roman"/>
      <family val="1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rgb="FFFF0000"/>
      <name val="Arial Cyr"/>
      <family val="0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178" fontId="7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8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178" fontId="7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78" fontId="5" fillId="0" borderId="13" xfId="0" applyNumberFormat="1" applyFont="1" applyFill="1" applyBorder="1" applyAlignment="1">
      <alignment horizontal="right" vertical="top"/>
    </xf>
    <xf numFmtId="178" fontId="5" fillId="0" borderId="13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 shrinkToFit="1"/>
    </xf>
    <xf numFmtId="178" fontId="5" fillId="0" borderId="10" xfId="0" applyNumberFormat="1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78" fontId="4" fillId="0" borderId="13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178" fontId="4" fillId="0" borderId="10" xfId="0" applyNumberFormat="1" applyFont="1" applyFill="1" applyBorder="1" applyAlignment="1">
      <alignment horizontal="right" vertical="top"/>
    </xf>
    <xf numFmtId="0" fontId="2" fillId="0" borderId="13" xfId="0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/>
    </xf>
    <xf numFmtId="178" fontId="1" fillId="0" borderId="13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vertical="top"/>
    </xf>
    <xf numFmtId="179" fontId="5" fillId="0" borderId="13" xfId="0" applyNumberFormat="1" applyFont="1" applyFill="1" applyBorder="1" applyAlignment="1">
      <alignment vertical="top"/>
    </xf>
    <xf numFmtId="178" fontId="2" fillId="0" borderId="13" xfId="0" applyNumberFormat="1" applyFont="1" applyFill="1" applyBorder="1" applyAlignment="1">
      <alignment horizontal="right" vertical="top" wrapText="1"/>
    </xf>
    <xf numFmtId="178" fontId="0" fillId="0" borderId="0" xfId="0" applyNumberFormat="1" applyFill="1" applyAlignment="1">
      <alignment vertical="top" wrapText="1"/>
    </xf>
    <xf numFmtId="178" fontId="2" fillId="0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178" fontId="4" fillId="0" borderId="15" xfId="0" applyNumberFormat="1" applyFont="1" applyFill="1" applyBorder="1" applyAlignment="1">
      <alignment vertical="top"/>
    </xf>
    <xf numFmtId="178" fontId="7" fillId="0" borderId="0" xfId="0" applyNumberFormat="1" applyFont="1" applyFill="1" applyAlignment="1">
      <alignment vertical="top" wrapText="1"/>
    </xf>
    <xf numFmtId="178" fontId="2" fillId="0" borderId="13" xfId="0" applyNumberFormat="1" applyFont="1" applyFill="1" applyBorder="1" applyAlignment="1">
      <alignment horizontal="right" vertical="top" wrapText="1"/>
    </xf>
    <xf numFmtId="178" fontId="2" fillId="0" borderId="13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178" fontId="4" fillId="0" borderId="13" xfId="0" applyNumberFormat="1" applyFont="1" applyFill="1" applyBorder="1" applyAlignment="1">
      <alignment horizontal="right" vertical="top"/>
    </xf>
    <xf numFmtId="49" fontId="1" fillId="0" borderId="13" xfId="0" applyNumberFormat="1" applyFont="1" applyFill="1" applyBorder="1" applyAlignment="1">
      <alignment horizontal="center" vertical="top" wrapText="1"/>
    </xf>
    <xf numFmtId="178" fontId="1" fillId="0" borderId="13" xfId="0" applyNumberFormat="1" applyFont="1" applyFill="1" applyBorder="1" applyAlignment="1">
      <alignment vertical="top" wrapText="1"/>
    </xf>
    <xf numFmtId="178" fontId="2" fillId="0" borderId="13" xfId="0" applyNumberFormat="1" applyFont="1" applyFill="1" applyBorder="1" applyAlignment="1">
      <alignment vertical="top"/>
    </xf>
    <xf numFmtId="178" fontId="2" fillId="0" borderId="13" xfId="0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left" vertical="top"/>
    </xf>
    <xf numFmtId="178" fontId="5" fillId="0" borderId="10" xfId="0" applyNumberFormat="1" applyFont="1" applyFill="1" applyBorder="1" applyAlignment="1">
      <alignment vertical="top"/>
    </xf>
    <xf numFmtId="178" fontId="2" fillId="0" borderId="13" xfId="0" applyNumberFormat="1" applyFont="1" applyFill="1" applyBorder="1" applyAlignment="1">
      <alignment vertical="top" wrapText="1" shrinkToFit="1"/>
    </xf>
    <xf numFmtId="178" fontId="5" fillId="0" borderId="11" xfId="0" applyNumberFormat="1" applyFont="1" applyFill="1" applyBorder="1" applyAlignment="1">
      <alignment horizontal="right" vertical="top"/>
    </xf>
    <xf numFmtId="178" fontId="2" fillId="0" borderId="13" xfId="0" applyNumberFormat="1" applyFont="1" applyFill="1" applyBorder="1" applyAlignment="1">
      <alignment horizontal="right" vertical="top" wrapText="1" shrinkToFit="1"/>
    </xf>
    <xf numFmtId="0" fontId="1" fillId="0" borderId="0" xfId="0" applyFont="1" applyFill="1" applyBorder="1" applyAlignment="1">
      <alignment horizontal="center" vertical="top" wrapText="1"/>
    </xf>
    <xf numFmtId="178" fontId="4" fillId="0" borderId="11" xfId="0" applyNumberFormat="1" applyFont="1" applyFill="1" applyBorder="1" applyAlignment="1">
      <alignment vertical="top"/>
    </xf>
    <xf numFmtId="178" fontId="2" fillId="0" borderId="10" xfId="0" applyNumberFormat="1" applyFont="1" applyFill="1" applyBorder="1" applyAlignment="1">
      <alignment horizontal="right" vertical="top" wrapText="1"/>
    </xf>
    <xf numFmtId="0" fontId="2" fillId="0" borderId="17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49" fontId="2" fillId="0" borderId="13" xfId="0" applyNumberFormat="1" applyFont="1" applyFill="1" applyBorder="1" applyAlignment="1">
      <alignment horizontal="right" vertical="top" wrapText="1"/>
    </xf>
    <xf numFmtId="178" fontId="4" fillId="0" borderId="13" xfId="0" applyNumberFormat="1" applyFont="1" applyBorder="1" applyAlignment="1">
      <alignment horizontal="right" vertical="top"/>
    </xf>
    <xf numFmtId="178" fontId="5" fillId="0" borderId="13" xfId="0" applyNumberFormat="1" applyFont="1" applyBorder="1" applyAlignment="1">
      <alignment vertical="top"/>
    </xf>
    <xf numFmtId="178" fontId="1" fillId="0" borderId="13" xfId="0" applyNumberFormat="1" applyFont="1" applyBorder="1" applyAlignment="1">
      <alignment horizontal="right" vertical="top" wrapText="1"/>
    </xf>
    <xf numFmtId="178" fontId="0" fillId="0" borderId="13" xfId="0" applyNumberFormat="1" applyBorder="1" applyAlignment="1">
      <alignment vertical="top"/>
    </xf>
    <xf numFmtId="178" fontId="4" fillId="0" borderId="13" xfId="0" applyNumberFormat="1" applyFont="1" applyBorder="1" applyAlignment="1">
      <alignment vertical="top"/>
    </xf>
    <xf numFmtId="0" fontId="2" fillId="0" borderId="18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/>
    </xf>
    <xf numFmtId="0" fontId="2" fillId="0" borderId="17" xfId="0" applyFont="1" applyFill="1" applyBorder="1" applyAlignment="1">
      <alignment horizontal="justify" vertical="top" wrapText="1"/>
    </xf>
    <xf numFmtId="0" fontId="2" fillId="0" borderId="17" xfId="0" applyFont="1" applyFill="1" applyBorder="1" applyAlignment="1">
      <alignment vertical="top"/>
    </xf>
    <xf numFmtId="178" fontId="2" fillId="0" borderId="12" xfId="0" applyNumberFormat="1" applyFont="1" applyFill="1" applyBorder="1" applyAlignment="1">
      <alignment horizontal="right" vertical="top" wrapText="1"/>
    </xf>
    <xf numFmtId="178" fontId="2" fillId="0" borderId="17" xfId="0" applyNumberFormat="1" applyFont="1" applyFill="1" applyBorder="1" applyAlignment="1">
      <alignment horizontal="right" vertical="top" wrapText="1"/>
    </xf>
    <xf numFmtId="178" fontId="1" fillId="0" borderId="13" xfId="0" applyNumberFormat="1" applyFont="1" applyBorder="1" applyAlignment="1">
      <alignment vertical="top" wrapText="1"/>
    </xf>
    <xf numFmtId="0" fontId="4" fillId="0" borderId="18" xfId="0" applyFont="1" applyFill="1" applyBorder="1" applyAlignment="1">
      <alignment horizontal="left" vertical="top"/>
    </xf>
    <xf numFmtId="178" fontId="2" fillId="0" borderId="12" xfId="0" applyNumberFormat="1" applyFont="1" applyFill="1" applyBorder="1" applyAlignment="1">
      <alignment horizontal="right" vertical="top" wrapText="1" shrinkToFit="1"/>
    </xf>
    <xf numFmtId="178" fontId="5" fillId="0" borderId="17" xfId="0" applyNumberFormat="1" applyFont="1" applyFill="1" applyBorder="1" applyAlignment="1">
      <alignment vertical="top"/>
    </xf>
    <xf numFmtId="178" fontId="4" fillId="0" borderId="17" xfId="0" applyNumberFormat="1" applyFont="1" applyFill="1" applyBorder="1" applyAlignment="1">
      <alignment vertical="top"/>
    </xf>
    <xf numFmtId="178" fontId="5" fillId="0" borderId="15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49" fontId="9" fillId="0" borderId="0" xfId="54" applyNumberFormat="1" applyFont="1" applyAlignment="1">
      <alignment horizontal="center" vertical="center" wrapText="1"/>
      <protection/>
    </xf>
    <xf numFmtId="0" fontId="9" fillId="0" borderId="0" xfId="54" applyFont="1" applyAlignment="1">
      <alignment horizontal="left" vertical="center" wrapText="1"/>
      <protection/>
    </xf>
    <xf numFmtId="181" fontId="69" fillId="33" borderId="0" xfId="54" applyNumberFormat="1" applyFont="1" applyFill="1" applyAlignment="1">
      <alignment horizontal="center" vertical="center" wrapText="1"/>
      <protection/>
    </xf>
    <xf numFmtId="181" fontId="10" fillId="33" borderId="0" xfId="54" applyNumberFormat="1" applyFont="1" applyFill="1" applyAlignment="1">
      <alignment horizontal="center" vertical="center" wrapText="1"/>
      <protection/>
    </xf>
    <xf numFmtId="181" fontId="10" fillId="0" borderId="0" xfId="54" applyNumberFormat="1" applyFont="1" applyAlignment="1">
      <alignment horizontal="center" vertical="center" wrapText="1"/>
      <protection/>
    </xf>
    <xf numFmtId="181" fontId="10" fillId="33" borderId="0" xfId="0" applyNumberFormat="1" applyFont="1" applyFill="1" applyAlignment="1">
      <alignment horizontal="center" vertical="center" wrapText="1"/>
    </xf>
    <xf numFmtId="181" fontId="10" fillId="0" borderId="0" xfId="0" applyNumberFormat="1" applyFont="1" applyAlignment="1">
      <alignment horizontal="center" vertical="center" wrapText="1"/>
    </xf>
    <xf numFmtId="181" fontId="11" fillId="0" borderId="0" xfId="0" applyNumberFormat="1" applyFont="1" applyAlignment="1">
      <alignment horizontal="center" vertical="center" wrapText="1"/>
    </xf>
    <xf numFmtId="181" fontId="11" fillId="33" borderId="0" xfId="0" applyNumberFormat="1" applyFont="1" applyFill="1" applyAlignment="1">
      <alignment horizontal="center" vertical="center" wrapText="1"/>
    </xf>
    <xf numFmtId="49" fontId="12" fillId="0" borderId="19" xfId="54" applyNumberFormat="1" applyFont="1" applyBorder="1" applyAlignment="1">
      <alignment horizontal="center" vertical="center" wrapText="1"/>
      <protection/>
    </xf>
    <xf numFmtId="0" fontId="12" fillId="0" borderId="13" xfId="54" applyFont="1" applyBorder="1" applyAlignment="1">
      <alignment horizontal="center" vertical="center" wrapText="1"/>
      <protection/>
    </xf>
    <xf numFmtId="181" fontId="13" fillId="0" borderId="13" xfId="54" applyNumberFormat="1" applyFont="1" applyBorder="1" applyAlignment="1">
      <alignment horizontal="center" vertical="center" wrapText="1"/>
      <protection/>
    </xf>
    <xf numFmtId="181" fontId="13" fillId="0" borderId="13" xfId="0" applyNumberFormat="1" applyFont="1" applyBorder="1" applyAlignment="1">
      <alignment horizontal="center" vertical="center" wrapText="1"/>
    </xf>
    <xf numFmtId="181" fontId="14" fillId="0" borderId="20" xfId="0" applyNumberFormat="1" applyFont="1" applyBorder="1" applyAlignment="1">
      <alignment horizontal="center" vertical="center" wrapText="1"/>
    </xf>
    <xf numFmtId="0" fontId="20" fillId="0" borderId="13" xfId="54" applyFont="1" applyBorder="1" applyAlignment="1">
      <alignment horizontal="center" vertical="center" wrapText="1"/>
      <protection/>
    </xf>
    <xf numFmtId="0" fontId="20" fillId="0" borderId="20" xfId="54" applyFont="1" applyBorder="1" applyAlignment="1">
      <alignment horizontal="center" vertical="center" wrapText="1"/>
      <protection/>
    </xf>
    <xf numFmtId="49" fontId="20" fillId="34" borderId="19" xfId="54" applyNumberFormat="1" applyFont="1" applyFill="1" applyBorder="1" applyAlignment="1" quotePrefix="1">
      <alignment horizontal="center" vertical="center" wrapText="1"/>
      <protection/>
    </xf>
    <xf numFmtId="0" fontId="20" fillId="34" borderId="13" xfId="54" applyFont="1" applyFill="1" applyBorder="1" applyAlignment="1">
      <alignment horizontal="left" vertical="center" wrapText="1"/>
      <protection/>
    </xf>
    <xf numFmtId="181" fontId="14" fillId="34" borderId="13" xfId="54" applyNumberFormat="1" applyFont="1" applyFill="1" applyBorder="1" applyAlignment="1">
      <alignment horizontal="center" vertical="center" wrapText="1"/>
      <protection/>
    </xf>
    <xf numFmtId="181" fontId="13" fillId="34" borderId="13" xfId="0" applyNumberFormat="1" applyFont="1" applyFill="1" applyBorder="1" applyAlignment="1">
      <alignment horizontal="center" vertical="center" wrapText="1"/>
    </xf>
    <xf numFmtId="181" fontId="14" fillId="34" borderId="20" xfId="0" applyNumberFormat="1" applyFont="1" applyFill="1" applyBorder="1" applyAlignment="1">
      <alignment horizontal="center" vertical="center" wrapText="1"/>
    </xf>
    <xf numFmtId="49" fontId="12" fillId="0" borderId="19" xfId="54" applyNumberFormat="1" applyFont="1" applyBorder="1" applyAlignment="1" quotePrefix="1">
      <alignment horizontal="center" vertical="center" wrapText="1"/>
      <protection/>
    </xf>
    <xf numFmtId="0" fontId="12" fillId="0" borderId="13" xfId="54" applyFont="1" applyBorder="1" applyAlignment="1">
      <alignment horizontal="left" vertical="center" wrapText="1"/>
      <protection/>
    </xf>
    <xf numFmtId="181" fontId="13" fillId="33" borderId="13" xfId="54" applyNumberFormat="1" applyFont="1" applyFill="1" applyBorder="1" applyAlignment="1">
      <alignment horizontal="center" vertical="center" wrapText="1"/>
      <protection/>
    </xf>
    <xf numFmtId="181" fontId="13" fillId="33" borderId="13" xfId="0" applyNumberFormat="1" applyFont="1" applyFill="1" applyBorder="1" applyAlignment="1">
      <alignment horizontal="center" vertical="center" wrapText="1"/>
    </xf>
    <xf numFmtId="181" fontId="21" fillId="35" borderId="13" xfId="0" applyNumberFormat="1" applyFont="1" applyFill="1" applyBorder="1" applyAlignment="1">
      <alignment horizontal="center" vertical="center" wrapText="1"/>
    </xf>
    <xf numFmtId="181" fontId="21" fillId="5" borderId="13" xfId="0" applyNumberFormat="1" applyFont="1" applyFill="1" applyBorder="1" applyAlignment="1">
      <alignment horizontal="center" vertical="center" wrapText="1"/>
    </xf>
    <xf numFmtId="181" fontId="14" fillId="33" borderId="13" xfId="0" applyNumberFormat="1" applyFont="1" applyFill="1" applyBorder="1" applyAlignment="1">
      <alignment horizontal="center" vertical="center" wrapText="1"/>
    </xf>
    <xf numFmtId="181" fontId="70" fillId="5" borderId="13" xfId="0" applyNumberFormat="1" applyFont="1" applyFill="1" applyBorder="1" applyAlignment="1">
      <alignment horizontal="center" vertical="center" wrapText="1"/>
    </xf>
    <xf numFmtId="181" fontId="13" fillId="34" borderId="13" xfId="54" applyNumberFormat="1" applyFont="1" applyFill="1" applyBorder="1" applyAlignment="1">
      <alignment horizontal="center" vertical="center" wrapText="1"/>
      <protection/>
    </xf>
    <xf numFmtId="181" fontId="14" fillId="34" borderId="20" xfId="54" applyNumberFormat="1" applyFont="1" applyFill="1" applyBorder="1" applyAlignment="1">
      <alignment horizontal="center" vertical="center" wrapText="1"/>
      <protection/>
    </xf>
    <xf numFmtId="49" fontId="12" fillId="33" borderId="19" xfId="54" applyNumberFormat="1" applyFont="1" applyFill="1" applyBorder="1" applyAlignment="1" quotePrefix="1">
      <alignment horizontal="center" vertical="center" wrapText="1"/>
      <protection/>
    </xf>
    <xf numFmtId="0" fontId="20" fillId="34" borderId="11" xfId="54" applyFont="1" applyFill="1" applyBorder="1" applyAlignment="1">
      <alignment vertical="center" wrapText="1"/>
      <protection/>
    </xf>
    <xf numFmtId="181" fontId="14" fillId="34" borderId="11" xfId="54" applyNumberFormat="1" applyFont="1" applyFill="1" applyBorder="1" applyAlignment="1">
      <alignment vertical="center" wrapText="1"/>
      <protection/>
    </xf>
    <xf numFmtId="181" fontId="14" fillId="34" borderId="11" xfId="54" applyNumberFormat="1" applyFont="1" applyFill="1" applyBorder="1" applyAlignment="1">
      <alignment horizontal="center" wrapText="1"/>
      <protection/>
    </xf>
    <xf numFmtId="49" fontId="12" fillId="33" borderId="19" xfId="54" applyNumberFormat="1" applyFont="1" applyFill="1" applyBorder="1" applyAlignment="1">
      <alignment horizontal="center" vertical="center" wrapText="1"/>
      <protection/>
    </xf>
    <xf numFmtId="0" fontId="12" fillId="36" borderId="13" xfId="54" applyFont="1" applyFill="1" applyBorder="1" applyAlignment="1">
      <alignment horizontal="left" vertical="center" wrapText="1"/>
      <protection/>
    </xf>
    <xf numFmtId="0" fontId="13" fillId="0" borderId="13" xfId="53" applyFont="1" applyBorder="1" applyAlignment="1" applyProtection="1">
      <alignment horizontal="left" vertical="center" wrapText="1"/>
      <protection hidden="1"/>
    </xf>
    <xf numFmtId="181" fontId="14" fillId="34" borderId="13" xfId="0" applyNumberFormat="1" applyFont="1" applyFill="1" applyBorder="1" applyAlignment="1">
      <alignment horizontal="center" vertical="center" wrapText="1"/>
    </xf>
    <xf numFmtId="181" fontId="23" fillId="34" borderId="13" xfId="0" applyNumberFormat="1" applyFont="1" applyFill="1" applyBorder="1" applyAlignment="1">
      <alignment horizontal="center" vertical="center" wrapText="1"/>
    </xf>
    <xf numFmtId="0" fontId="12" fillId="33" borderId="13" xfId="54" applyFont="1" applyFill="1" applyBorder="1" applyAlignment="1">
      <alignment horizontal="left" vertical="center" wrapText="1"/>
      <protection/>
    </xf>
    <xf numFmtId="0" fontId="24" fillId="0" borderId="13" xfId="54" applyFont="1" applyBorder="1" applyAlignment="1">
      <alignment horizontal="left" vertical="center" wrapText="1"/>
      <protection/>
    </xf>
    <xf numFmtId="0" fontId="13" fillId="33" borderId="13" xfId="53" applyFont="1" applyFill="1" applyBorder="1" applyAlignment="1" applyProtection="1">
      <alignment horizontal="left" vertical="center" wrapText="1"/>
      <protection hidden="1"/>
    </xf>
    <xf numFmtId="0" fontId="13" fillId="0" borderId="13" xfId="53" applyFont="1" applyBorder="1" applyAlignment="1" applyProtection="1">
      <alignment horizontal="left" vertical="top" wrapText="1"/>
      <protection hidden="1"/>
    </xf>
    <xf numFmtId="2" fontId="14" fillId="0" borderId="20" xfId="0" applyNumberFormat="1" applyFont="1" applyBorder="1" applyAlignment="1">
      <alignment horizontal="center" vertical="center" wrapText="1"/>
    </xf>
    <xf numFmtId="0" fontId="12" fillId="0" borderId="13" xfId="54" applyFont="1" applyBorder="1" applyAlignment="1">
      <alignment horizontal="left" vertical="top" wrapText="1"/>
      <protection/>
    </xf>
    <xf numFmtId="181" fontId="71" fillId="33" borderId="13" xfId="54" applyNumberFormat="1" applyFont="1" applyFill="1" applyBorder="1" applyAlignment="1">
      <alignment horizontal="center" vertical="center" wrapText="1"/>
      <protection/>
    </xf>
    <xf numFmtId="49" fontId="13" fillId="0" borderId="19" xfId="54" applyNumberFormat="1" applyFont="1" applyBorder="1" applyAlignment="1">
      <alignment horizontal="center" vertical="center" wrapText="1"/>
      <protection/>
    </xf>
    <xf numFmtId="0" fontId="13" fillId="0" borderId="13" xfId="54" applyFont="1" applyBorder="1" applyAlignment="1">
      <alignment horizontal="left" vertical="center" wrapText="1"/>
      <protection/>
    </xf>
    <xf numFmtId="0" fontId="13" fillId="0" borderId="0" xfId="0" applyFont="1" applyAlignment="1">
      <alignment wrapText="1"/>
    </xf>
    <xf numFmtId="179" fontId="14" fillId="0" borderId="20" xfId="0" applyNumberFormat="1" applyFont="1" applyBorder="1" applyAlignment="1">
      <alignment horizontal="center" vertical="center" wrapText="1"/>
    </xf>
    <xf numFmtId="49" fontId="20" fillId="34" borderId="19" xfId="54" applyNumberFormat="1" applyFont="1" applyFill="1" applyBorder="1" applyAlignment="1">
      <alignment horizontal="center" vertical="center" wrapText="1"/>
      <protection/>
    </xf>
    <xf numFmtId="0" fontId="20" fillId="34" borderId="13" xfId="0" applyFont="1" applyFill="1" applyBorder="1" applyAlignment="1">
      <alignment horizontal="left" vertical="center" wrapText="1"/>
    </xf>
    <xf numFmtId="179" fontId="14" fillId="34" borderId="20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181" fontId="14" fillId="33" borderId="20" xfId="0" applyNumberFormat="1" applyFont="1" applyFill="1" applyBorder="1" applyAlignment="1">
      <alignment horizontal="center" vertical="center" wrapText="1"/>
    </xf>
    <xf numFmtId="181" fontId="13" fillId="37" borderId="13" xfId="0" applyNumberFormat="1" applyFont="1" applyFill="1" applyBorder="1" applyAlignment="1">
      <alignment horizontal="center" vertical="center" wrapText="1"/>
    </xf>
    <xf numFmtId="181" fontId="21" fillId="5" borderId="13" xfId="54" applyNumberFormat="1" applyFont="1" applyFill="1" applyBorder="1" applyAlignment="1">
      <alignment horizontal="center" vertical="center" wrapText="1"/>
      <protection/>
    </xf>
    <xf numFmtId="181" fontId="14" fillId="34" borderId="21" xfId="54" applyNumberFormat="1" applyFont="1" applyFill="1" applyBorder="1" applyAlignment="1">
      <alignment horizontal="center" vertical="center" wrapText="1"/>
      <protection/>
    </xf>
    <xf numFmtId="181" fontId="14" fillId="34" borderId="21" xfId="0" applyNumberFormat="1" applyFont="1" applyFill="1" applyBorder="1" applyAlignment="1">
      <alignment horizontal="center" vertical="center" wrapText="1"/>
    </xf>
    <xf numFmtId="181" fontId="13" fillId="34" borderId="21" xfId="54" applyNumberFormat="1" applyFont="1" applyFill="1" applyBorder="1" applyAlignment="1">
      <alignment horizontal="center" vertical="center" wrapText="1"/>
      <protection/>
    </xf>
    <xf numFmtId="181" fontId="14" fillId="34" borderId="22" xfId="0" applyNumberFormat="1" applyFont="1" applyFill="1" applyBorder="1" applyAlignment="1">
      <alignment horizontal="center" vertical="center" wrapText="1"/>
    </xf>
    <xf numFmtId="182" fontId="69" fillId="33" borderId="0" xfId="54" applyNumberFormat="1" applyFont="1" applyFill="1" applyAlignment="1">
      <alignment horizontal="center" vertical="center" wrapText="1"/>
      <protection/>
    </xf>
    <xf numFmtId="181" fontId="11" fillId="0" borderId="0" xfId="54" applyNumberFormat="1" applyFont="1" applyAlignment="1">
      <alignment horizontal="center" vertical="center" wrapText="1"/>
      <protection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81" fontId="69" fillId="5" borderId="0" xfId="0" applyNumberFormat="1" applyFont="1" applyFill="1" applyAlignment="1">
      <alignment horizontal="center" vertical="center" wrapText="1"/>
    </xf>
    <xf numFmtId="178" fontId="72" fillId="0" borderId="0" xfId="0" applyNumberFormat="1" applyFont="1" applyAlignment="1">
      <alignment/>
    </xf>
    <xf numFmtId="181" fontId="10" fillId="5" borderId="0" xfId="0" applyNumberFormat="1" applyFont="1" applyFill="1" applyAlignment="1">
      <alignment horizontal="center" vertical="center" wrapText="1"/>
    </xf>
    <xf numFmtId="181" fontId="11" fillId="5" borderId="0" xfId="54" applyNumberFormat="1" applyFont="1" applyFill="1" applyAlignment="1">
      <alignment horizontal="center" vertical="center" wrapText="1"/>
      <protection/>
    </xf>
    <xf numFmtId="181" fontId="10" fillId="38" borderId="0" xfId="0" applyNumberFormat="1" applyFont="1" applyFill="1" applyAlignment="1">
      <alignment horizontal="center" vertical="center" wrapText="1"/>
    </xf>
    <xf numFmtId="181" fontId="11" fillId="38" borderId="0" xfId="0" applyNumberFormat="1" applyFont="1" applyFill="1" applyAlignment="1">
      <alignment horizontal="center" vertical="center" wrapText="1"/>
    </xf>
    <xf numFmtId="181" fontId="26" fillId="33" borderId="0" xfId="0" applyNumberFormat="1" applyFont="1" applyFill="1" applyAlignment="1">
      <alignment horizontal="center" vertical="center" wrapText="1"/>
    </xf>
    <xf numFmtId="181" fontId="26" fillId="0" borderId="0" xfId="0" applyNumberFormat="1" applyFont="1" applyAlignment="1">
      <alignment horizontal="center" vertical="center" wrapText="1"/>
    </xf>
    <xf numFmtId="181" fontId="26" fillId="33" borderId="12" xfId="54" applyNumberFormat="1" applyFont="1" applyFill="1" applyBorder="1" applyAlignment="1">
      <alignment horizontal="center" vertical="center" wrapText="1"/>
      <protection/>
    </xf>
    <xf numFmtId="49" fontId="24" fillId="0" borderId="0" xfId="0" applyNumberFormat="1" applyFont="1" applyAlignment="1">
      <alignment horizontal="right" vertical="center" wrapText="1"/>
    </xf>
    <xf numFmtId="0" fontId="24" fillId="0" borderId="0" xfId="54" applyFont="1" applyAlignment="1">
      <alignment horizontal="left" vertical="center" wrapText="1"/>
      <protection/>
    </xf>
    <xf numFmtId="181" fontId="73" fillId="33" borderId="0" xfId="54" applyNumberFormat="1" applyFont="1" applyFill="1" applyAlignment="1">
      <alignment horizontal="center" vertical="center" wrapText="1"/>
      <protection/>
    </xf>
    <xf numFmtId="181" fontId="26" fillId="33" borderId="0" xfId="54" applyNumberFormat="1" applyFont="1" applyFill="1" applyAlignment="1">
      <alignment horizontal="center" vertical="center" wrapText="1"/>
      <protection/>
    </xf>
    <xf numFmtId="181" fontId="26" fillId="0" borderId="0" xfId="0" applyNumberFormat="1" applyFont="1" applyAlignment="1">
      <alignment horizontal="left" vertical="center" wrapText="1"/>
    </xf>
    <xf numFmtId="181" fontId="26" fillId="33" borderId="0" xfId="0" applyNumberFormat="1" applyFont="1" applyFill="1" applyAlignment="1">
      <alignment horizontal="left" vertical="center" wrapText="1"/>
    </xf>
    <xf numFmtId="181" fontId="26" fillId="33" borderId="12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181" fontId="73" fillId="33" borderId="0" xfId="0" applyNumberFormat="1" applyFont="1" applyFill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26" fillId="33" borderId="0" xfId="0" applyFont="1" applyFill="1" applyAlignment="1">
      <alignment horizontal="right"/>
    </xf>
    <xf numFmtId="0" fontId="0" fillId="33" borderId="12" xfId="0" applyFont="1" applyFill="1" applyBorder="1" applyAlignment="1">
      <alignment/>
    </xf>
    <xf numFmtId="0" fontId="26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4" fontId="5" fillId="0" borderId="0" xfId="0" applyNumberFormat="1" applyFont="1" applyAlignment="1">
      <alignment/>
    </xf>
    <xf numFmtId="173" fontId="0" fillId="0" borderId="0" xfId="0" applyNumberFormat="1" applyAlignment="1">
      <alignment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78" fontId="4" fillId="0" borderId="23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170" fontId="2" fillId="0" borderId="14" xfId="43" applyFont="1" applyFill="1" applyBorder="1" applyAlignment="1">
      <alignment horizontal="center" vertical="top" wrapText="1"/>
    </xf>
    <xf numFmtId="170" fontId="2" fillId="0" borderId="23" xfId="43" applyFont="1" applyFill="1" applyBorder="1" applyAlignment="1">
      <alignment horizontal="center" vertical="top" wrapText="1"/>
    </xf>
    <xf numFmtId="0" fontId="24" fillId="0" borderId="0" xfId="54" applyFont="1" applyAlignment="1">
      <alignment horizontal="right" vertical="center" wrapText="1"/>
      <protection/>
    </xf>
    <xf numFmtId="181" fontId="26" fillId="0" borderId="0" xfId="54" applyNumberFormat="1" applyFont="1" applyAlignment="1">
      <alignment horizontal="left" vertical="center" wrapText="1"/>
      <protection/>
    </xf>
    <xf numFmtId="181" fontId="15" fillId="5" borderId="13" xfId="0" applyNumberFormat="1" applyFont="1" applyFill="1" applyBorder="1" applyAlignment="1">
      <alignment horizontal="center" vertical="center" wrapText="1"/>
    </xf>
    <xf numFmtId="181" fontId="14" fillId="33" borderId="13" xfId="54" applyNumberFormat="1" applyFont="1" applyFill="1" applyBorder="1" applyAlignment="1">
      <alignment horizontal="center" vertical="center" wrapText="1"/>
      <protection/>
    </xf>
    <xf numFmtId="181" fontId="14" fillId="0" borderId="20" xfId="54" applyNumberFormat="1" applyFont="1" applyBorder="1" applyAlignment="1">
      <alignment horizontal="center" vertical="center" wrapText="1"/>
      <protection/>
    </xf>
    <xf numFmtId="181" fontId="14" fillId="0" borderId="2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5" fillId="34" borderId="25" xfId="54" applyFont="1" applyFill="1" applyBorder="1" applyAlignment="1">
      <alignment horizontal="center" vertical="center" wrapText="1"/>
      <protection/>
    </xf>
    <xf numFmtId="0" fontId="25" fillId="34" borderId="21" xfId="54" applyFont="1" applyFill="1" applyBorder="1" applyAlignment="1">
      <alignment horizontal="center" vertical="center" wrapText="1"/>
      <protection/>
    </xf>
    <xf numFmtId="181" fontId="13" fillId="33" borderId="13" xfId="54" applyNumberFormat="1" applyFont="1" applyFill="1" applyBorder="1" applyAlignment="1">
      <alignment horizontal="center" vertical="center" wrapText="1"/>
      <protection/>
    </xf>
    <xf numFmtId="181" fontId="13" fillId="0" borderId="13" xfId="54" applyNumberFormat="1" applyFont="1" applyBorder="1" applyAlignment="1">
      <alignment horizontal="center" vertical="center" wrapText="1"/>
      <protection/>
    </xf>
    <xf numFmtId="181" fontId="13" fillId="0" borderId="13" xfId="0" applyNumberFormat="1" applyFont="1" applyBorder="1" applyAlignment="1">
      <alignment horizontal="center" vertical="center" wrapText="1"/>
    </xf>
    <xf numFmtId="181" fontId="14" fillId="0" borderId="13" xfId="54" applyNumberFormat="1" applyFont="1" applyBorder="1" applyAlignment="1">
      <alignment horizontal="center" vertical="center" wrapText="1"/>
      <protection/>
    </xf>
    <xf numFmtId="181" fontId="14" fillId="0" borderId="13" xfId="0" applyNumberFormat="1" applyFont="1" applyBorder="1" applyAlignment="1">
      <alignment horizontal="center" vertical="center" wrapText="1"/>
    </xf>
    <xf numFmtId="0" fontId="8" fillId="0" borderId="0" xfId="54" applyFont="1" applyAlignment="1">
      <alignment horizontal="center" vertical="center" wrapText="1"/>
      <protection/>
    </xf>
    <xf numFmtId="49" fontId="12" fillId="0" borderId="26" xfId="54" applyNumberFormat="1" applyFont="1" applyBorder="1" applyAlignment="1">
      <alignment horizontal="center" vertical="center" wrapText="1"/>
      <protection/>
    </xf>
    <xf numFmtId="49" fontId="12" fillId="0" borderId="19" xfId="54" applyNumberFormat="1" applyFont="1" applyBorder="1" applyAlignment="1">
      <alignment horizontal="center" vertical="center" wrapText="1"/>
      <protection/>
    </xf>
    <xf numFmtId="0" fontId="12" fillId="0" borderId="27" xfId="54" applyFont="1" applyBorder="1" applyAlignment="1">
      <alignment horizontal="center" vertical="center" wrapText="1"/>
      <protection/>
    </xf>
    <xf numFmtId="0" fontId="12" fillId="0" borderId="13" xfId="54" applyFont="1" applyBorder="1" applyAlignment="1">
      <alignment horizontal="center" vertical="center" wrapText="1"/>
      <protection/>
    </xf>
    <xf numFmtId="181" fontId="13" fillId="0" borderId="27" xfId="54" applyNumberFormat="1" applyFont="1" applyBorder="1" applyAlignment="1">
      <alignment horizontal="center" vertical="center" wrapText="1"/>
      <protection/>
    </xf>
    <xf numFmtId="181" fontId="13" fillId="0" borderId="27" xfId="0" applyNumberFormat="1" applyFont="1" applyBorder="1" applyAlignment="1">
      <alignment horizontal="center" vertical="center" wrapText="1"/>
    </xf>
    <xf numFmtId="181" fontId="14" fillId="0" borderId="28" xfId="0" applyNumberFormat="1" applyFont="1" applyBorder="1" applyAlignment="1">
      <alignment horizontal="center" vertical="center" wrapText="1"/>
    </xf>
    <xf numFmtId="181" fontId="14" fillId="0" borderId="29" xfId="0" applyNumberFormat="1" applyFont="1" applyBorder="1" applyAlignment="1">
      <alignment horizontal="center" vertical="center" wrapText="1"/>
    </xf>
    <xf numFmtId="181" fontId="14" fillId="0" borderId="30" xfId="0" applyNumberFormat="1" applyFont="1" applyBorder="1" applyAlignment="1">
      <alignment horizontal="center" vertical="center" wrapText="1"/>
    </xf>
    <xf numFmtId="181" fontId="13" fillId="33" borderId="13" xfId="0" applyNumberFormat="1" applyFont="1" applyFill="1" applyBorder="1" applyAlignment="1">
      <alignment horizontal="center" vertical="center" wrapText="1"/>
    </xf>
    <xf numFmtId="181" fontId="19" fillId="0" borderId="13" xfId="0" applyNumberFormat="1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7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6"/>
  <sheetViews>
    <sheetView zoomScalePageLayoutView="0" workbookViewId="0" topLeftCell="A1">
      <pane xSplit="1" ySplit="9" topLeftCell="B2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241" sqref="I241"/>
    </sheetView>
  </sheetViews>
  <sheetFormatPr defaultColWidth="9.125" defaultRowHeight="12.75" outlineLevelCol="1"/>
  <cols>
    <col min="1" max="1" width="21.375" style="1" customWidth="1"/>
    <col min="2" max="2" width="46.50390625" style="1" customWidth="1"/>
    <col min="3" max="3" width="11.00390625" style="1" hidden="1" customWidth="1"/>
    <col min="4" max="4" width="11.125" style="1" customWidth="1"/>
    <col min="5" max="5" width="10.875" style="1" customWidth="1"/>
    <col min="6" max="6" width="11.125" style="1" hidden="1" customWidth="1"/>
    <col min="7" max="7" width="10.625" style="1" hidden="1" customWidth="1"/>
    <col min="8" max="8" width="12.50390625" style="1" hidden="1" customWidth="1"/>
    <col min="9" max="9" width="11.125" style="1" hidden="1" customWidth="1"/>
    <col min="10" max="10" width="8.375" style="1" hidden="1" customWidth="1" outlineLevel="1"/>
    <col min="11" max="11" width="11.00390625" style="1" customWidth="1" collapsed="1"/>
    <col min="12" max="12" width="10.625" style="1" hidden="1" customWidth="1"/>
    <col min="13" max="13" width="9.625" style="1" customWidth="1"/>
    <col min="14" max="14" width="10.00390625" style="1" customWidth="1"/>
    <col min="15" max="16384" width="9.125" style="1" customWidth="1"/>
  </cols>
  <sheetData>
    <row r="1" spans="1:14" ht="18.75" customHeight="1">
      <c r="A1" s="191" t="s">
        <v>74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1" ht="14.25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4.25" customHeight="1">
      <c r="A3" s="38"/>
      <c r="B3" s="39"/>
      <c r="C3" s="39"/>
      <c r="D3" s="39"/>
      <c r="E3" s="39"/>
      <c r="F3" s="39"/>
      <c r="G3" s="39"/>
      <c r="H3" s="39"/>
      <c r="I3" s="40"/>
      <c r="J3" s="40"/>
      <c r="K3" s="41" t="s">
        <v>54</v>
      </c>
    </row>
    <row r="4" spans="1:15" ht="12.75" customHeight="1">
      <c r="A4" s="42" t="s">
        <v>39</v>
      </c>
      <c r="B4" s="43"/>
      <c r="C4" s="187" t="s">
        <v>72</v>
      </c>
      <c r="D4" s="187" t="s">
        <v>65</v>
      </c>
      <c r="E4" s="187" t="s">
        <v>73</v>
      </c>
      <c r="F4" s="187" t="s">
        <v>70</v>
      </c>
      <c r="G4" s="182" t="s">
        <v>55</v>
      </c>
      <c r="H4" s="182" t="s">
        <v>56</v>
      </c>
      <c r="I4" s="182" t="s">
        <v>57</v>
      </c>
      <c r="J4" s="182" t="s">
        <v>58</v>
      </c>
      <c r="K4" s="187" t="s">
        <v>75</v>
      </c>
      <c r="L4" s="187" t="s">
        <v>71</v>
      </c>
      <c r="M4" s="187" t="s">
        <v>66</v>
      </c>
      <c r="N4" s="187" t="s">
        <v>67</v>
      </c>
      <c r="O4" s="85"/>
    </row>
    <row r="5" spans="1:15" ht="27.75" customHeight="1">
      <c r="A5" s="44" t="s">
        <v>44</v>
      </c>
      <c r="B5" s="45" t="s">
        <v>16</v>
      </c>
      <c r="C5" s="188"/>
      <c r="D5" s="188"/>
      <c r="E5" s="188"/>
      <c r="F5" s="188"/>
      <c r="G5" s="183"/>
      <c r="H5" s="183"/>
      <c r="I5" s="183"/>
      <c r="J5" s="183"/>
      <c r="K5" s="188"/>
      <c r="L5" s="188"/>
      <c r="M5" s="188"/>
      <c r="N5" s="188"/>
      <c r="O5" s="85"/>
    </row>
    <row r="6" spans="1:15" ht="44.25" customHeight="1">
      <c r="A6" s="44"/>
      <c r="B6" s="45"/>
      <c r="C6" s="189"/>
      <c r="D6" s="189"/>
      <c r="E6" s="189"/>
      <c r="F6" s="189"/>
      <c r="G6" s="184"/>
      <c r="H6" s="184"/>
      <c r="I6" s="184"/>
      <c r="J6" s="184"/>
      <c r="K6" s="189"/>
      <c r="L6" s="189"/>
      <c r="M6" s="189"/>
      <c r="N6" s="189"/>
      <c r="O6" s="85"/>
    </row>
    <row r="7" spans="1:14" ht="12.75">
      <c r="A7" s="185" t="s">
        <v>22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</row>
    <row r="8" spans="1:14" ht="12.75">
      <c r="A8" s="53" t="s">
        <v>3</v>
      </c>
      <c r="B8" s="57" t="s">
        <v>53</v>
      </c>
      <c r="C8" s="68">
        <f>C9+C11+C12+C13+C15+C16+C18+C20+C14+C21+C17+C19+C10</f>
        <v>1065500.9999999998</v>
      </c>
      <c r="D8" s="68">
        <f>D9+D11+D12+D13+D15+D16+D18+D20+D14+D21+D17+D19+D10</f>
        <v>991597.3999999999</v>
      </c>
      <c r="E8" s="52">
        <f aca="true" t="shared" si="0" ref="E8:J8">E9+E11+E12+E13+E15+E16+E18+E20+E14+E21+E17+E19+E10</f>
        <v>1077670.2000000002</v>
      </c>
      <c r="F8" s="52">
        <f>F9+F11+F12+F13+F15+F16+F18+F20+F14+F21+F17+F19+F10</f>
        <v>881921.1000000001</v>
      </c>
      <c r="G8" s="52">
        <f t="shared" si="0"/>
        <v>252932.49999999994</v>
      </c>
      <c r="H8" s="52">
        <f t="shared" si="0"/>
        <v>344364.19999999995</v>
      </c>
      <c r="I8" s="52">
        <f t="shared" si="0"/>
        <v>284624.4000000001</v>
      </c>
      <c r="J8" s="52">
        <f t="shared" si="0"/>
        <v>195749.09999999998</v>
      </c>
      <c r="K8" s="52">
        <f>K9+K11+K12+K13+K15+K16+K18+K20+K14+K21+K17+K19+K10</f>
        <v>906130.7000000001</v>
      </c>
      <c r="L8" s="52">
        <f aca="true" t="shared" si="1" ref="L8:L13">K8*100/F8</f>
        <v>102.74509817261429</v>
      </c>
      <c r="M8" s="22">
        <f aca="true" t="shared" si="2" ref="M8:M13">K8*100/E8</f>
        <v>84.0823751088227</v>
      </c>
      <c r="N8" s="22">
        <f aca="true" t="shared" si="3" ref="N8:N20">K8*100/D8</f>
        <v>91.38090721093057</v>
      </c>
    </row>
    <row r="9" spans="1:17" ht="12.75">
      <c r="A9" s="20" t="s">
        <v>63</v>
      </c>
      <c r="B9" s="26" t="s">
        <v>64</v>
      </c>
      <c r="C9" s="50">
        <v>764414.3</v>
      </c>
      <c r="D9" s="69">
        <v>746411.9</v>
      </c>
      <c r="E9" s="50">
        <f aca="true" t="shared" si="4" ref="E9:E18">G9+H9+I9+J9</f>
        <v>800023.3</v>
      </c>
      <c r="F9" s="37">
        <f>G9+H9+I9</f>
        <v>666671.8</v>
      </c>
      <c r="G9" s="37">
        <v>204038.6</v>
      </c>
      <c r="H9" s="37">
        <v>236637.8</v>
      </c>
      <c r="I9" s="19">
        <v>225995.4</v>
      </c>
      <c r="J9" s="58">
        <v>133351.5</v>
      </c>
      <c r="K9" s="58">
        <v>692908.5</v>
      </c>
      <c r="L9" s="19">
        <f t="shared" si="1"/>
        <v>103.93547469684482</v>
      </c>
      <c r="M9" s="58">
        <f t="shared" si="2"/>
        <v>86.61103995346134</v>
      </c>
      <c r="N9" s="17">
        <f t="shared" si="3"/>
        <v>92.83192028422913</v>
      </c>
      <c r="Q9" s="2"/>
    </row>
    <row r="10" spans="1:14" ht="25.5" customHeight="1">
      <c r="A10" s="20" t="s">
        <v>62</v>
      </c>
      <c r="B10" s="26" t="s">
        <v>61</v>
      </c>
      <c r="C10" s="50">
        <v>4832.2</v>
      </c>
      <c r="D10" s="69">
        <v>4122.2</v>
      </c>
      <c r="E10" s="50">
        <f t="shared" si="4"/>
        <v>4722.2</v>
      </c>
      <c r="F10" s="37">
        <f aca="true" t="shared" si="5" ref="F10:F27">G10+H10+I10</f>
        <v>3668.3999999999996</v>
      </c>
      <c r="G10" s="50">
        <v>1181.6</v>
      </c>
      <c r="H10" s="50">
        <v>1213.3</v>
      </c>
      <c r="I10" s="16">
        <v>1273.5</v>
      </c>
      <c r="J10" s="17">
        <v>1053.8</v>
      </c>
      <c r="K10" s="17">
        <v>3701.1</v>
      </c>
      <c r="L10" s="19">
        <f t="shared" si="1"/>
        <v>100.89139679424274</v>
      </c>
      <c r="M10" s="17">
        <f t="shared" si="2"/>
        <v>78.37660412519588</v>
      </c>
      <c r="N10" s="17">
        <f t="shared" si="3"/>
        <v>89.78458104895445</v>
      </c>
    </row>
    <row r="11" spans="1:14" ht="12.75">
      <c r="A11" s="12" t="s">
        <v>8</v>
      </c>
      <c r="B11" s="65" t="s">
        <v>5</v>
      </c>
      <c r="C11" s="50">
        <v>75362.4</v>
      </c>
      <c r="D11" s="69">
        <v>68361.5</v>
      </c>
      <c r="E11" s="50">
        <f t="shared" si="4"/>
        <v>68417.40000000001</v>
      </c>
      <c r="F11" s="37">
        <f t="shared" si="5"/>
        <v>57244.600000000006</v>
      </c>
      <c r="G11" s="50">
        <v>6868.9</v>
      </c>
      <c r="H11" s="50">
        <v>40063.9</v>
      </c>
      <c r="I11" s="16">
        <v>10311.8</v>
      </c>
      <c r="J11" s="17">
        <v>11172.8</v>
      </c>
      <c r="K11" s="17">
        <v>55152.3</v>
      </c>
      <c r="L11" s="19">
        <f t="shared" si="1"/>
        <v>96.34498275819902</v>
      </c>
      <c r="M11" s="17">
        <f t="shared" si="2"/>
        <v>80.6115111068237</v>
      </c>
      <c r="N11" s="17">
        <f t="shared" si="3"/>
        <v>80.67742808452125</v>
      </c>
    </row>
    <row r="12" spans="1:14" ht="12.75">
      <c r="A12" s="12" t="s">
        <v>9</v>
      </c>
      <c r="B12" s="65" t="s">
        <v>6</v>
      </c>
      <c r="C12" s="50">
        <v>13950.1</v>
      </c>
      <c r="D12" s="69">
        <v>9937.5</v>
      </c>
      <c r="E12" s="50">
        <f t="shared" si="4"/>
        <v>12832.600000000002</v>
      </c>
      <c r="F12" s="37">
        <f t="shared" si="5"/>
        <v>9115.100000000002</v>
      </c>
      <c r="G12" s="50">
        <v>3356.8</v>
      </c>
      <c r="H12" s="50">
        <v>6341.1</v>
      </c>
      <c r="I12" s="16">
        <v>-582.8</v>
      </c>
      <c r="J12" s="17">
        <v>3717.5</v>
      </c>
      <c r="K12" s="17">
        <v>6281.5</v>
      </c>
      <c r="L12" s="19">
        <f t="shared" si="1"/>
        <v>68.91312218187402</v>
      </c>
      <c r="M12" s="17">
        <f t="shared" si="2"/>
        <v>48.94955036391689</v>
      </c>
      <c r="N12" s="17">
        <f t="shared" si="3"/>
        <v>63.21006289308176</v>
      </c>
    </row>
    <row r="13" spans="1:14" ht="12.75">
      <c r="A13" s="12" t="s">
        <v>10</v>
      </c>
      <c r="B13" s="65" t="s">
        <v>21</v>
      </c>
      <c r="C13" s="50">
        <v>5201.4</v>
      </c>
      <c r="D13" s="69">
        <v>4256.5</v>
      </c>
      <c r="E13" s="50">
        <f t="shared" si="4"/>
        <v>4506.5</v>
      </c>
      <c r="F13" s="37">
        <f t="shared" si="5"/>
        <v>3344.4999999999995</v>
      </c>
      <c r="G13" s="50">
        <v>1107.3</v>
      </c>
      <c r="H13" s="50">
        <v>1244.6</v>
      </c>
      <c r="I13" s="16">
        <v>992.6</v>
      </c>
      <c r="J13" s="17">
        <v>1162</v>
      </c>
      <c r="K13" s="17">
        <v>3455</v>
      </c>
      <c r="L13" s="19">
        <f t="shared" si="1"/>
        <v>103.30393182837496</v>
      </c>
      <c r="M13" s="17">
        <f t="shared" si="2"/>
        <v>76.66703650282925</v>
      </c>
      <c r="N13" s="17">
        <f t="shared" si="3"/>
        <v>81.16997533184541</v>
      </c>
    </row>
    <row r="14" spans="1:14" ht="21.75" customHeight="1" hidden="1">
      <c r="A14" s="12" t="s">
        <v>35</v>
      </c>
      <c r="B14" s="65" t="s">
        <v>36</v>
      </c>
      <c r="C14" s="50"/>
      <c r="D14" s="69"/>
      <c r="E14" s="50">
        <f t="shared" si="4"/>
        <v>0</v>
      </c>
      <c r="F14" s="37">
        <f t="shared" si="5"/>
        <v>0</v>
      </c>
      <c r="G14" s="50"/>
      <c r="H14" s="50"/>
      <c r="I14" s="16"/>
      <c r="J14" s="17"/>
      <c r="K14" s="17"/>
      <c r="L14" s="19"/>
      <c r="M14" s="17"/>
      <c r="N14" s="17" t="e">
        <f t="shared" si="3"/>
        <v>#DIV/0!</v>
      </c>
    </row>
    <row r="15" spans="1:14" ht="22.5">
      <c r="A15" s="13" t="s">
        <v>11</v>
      </c>
      <c r="B15" s="65" t="s">
        <v>17</v>
      </c>
      <c r="C15" s="50">
        <v>137140.8</v>
      </c>
      <c r="D15" s="69">
        <v>115365.6</v>
      </c>
      <c r="E15" s="50">
        <f t="shared" si="4"/>
        <v>126074.8</v>
      </c>
      <c r="F15" s="37">
        <f t="shared" si="5"/>
        <v>93125.1</v>
      </c>
      <c r="G15" s="50">
        <v>18627.4</v>
      </c>
      <c r="H15" s="50">
        <v>39452</v>
      </c>
      <c r="I15" s="16">
        <v>35045.7</v>
      </c>
      <c r="J15" s="17">
        <v>32949.7</v>
      </c>
      <c r="K15" s="17">
        <v>94443.4</v>
      </c>
      <c r="L15" s="19">
        <f aca="true" t="shared" si="6" ref="L15:L21">K15*100/F15</f>
        <v>101.41562264094212</v>
      </c>
      <c r="M15" s="17">
        <f aca="true" t="shared" si="7" ref="M15:M21">K15*100/E15</f>
        <v>74.91060862281756</v>
      </c>
      <c r="N15" s="17">
        <f t="shared" si="3"/>
        <v>81.86443792603687</v>
      </c>
    </row>
    <row r="16" spans="1:14" ht="12.75">
      <c r="A16" s="27" t="s">
        <v>14</v>
      </c>
      <c r="B16" s="65" t="s">
        <v>13</v>
      </c>
      <c r="C16" s="50">
        <v>14701.1</v>
      </c>
      <c r="D16" s="69">
        <v>19334</v>
      </c>
      <c r="E16" s="50">
        <f t="shared" si="4"/>
        <v>25467.699999999997</v>
      </c>
      <c r="F16" s="37">
        <f t="shared" si="5"/>
        <v>19093.899999999998</v>
      </c>
      <c r="G16" s="50">
        <v>10198.8</v>
      </c>
      <c r="H16" s="50">
        <v>5258.9</v>
      </c>
      <c r="I16" s="16">
        <v>3636.2</v>
      </c>
      <c r="J16" s="17">
        <v>6373.8</v>
      </c>
      <c r="K16" s="17">
        <v>17792.6</v>
      </c>
      <c r="L16" s="19">
        <f t="shared" si="6"/>
        <v>93.18473439161198</v>
      </c>
      <c r="M16" s="17">
        <f t="shared" si="7"/>
        <v>69.8633955952049</v>
      </c>
      <c r="N16" s="17">
        <f t="shared" si="3"/>
        <v>92.02751629254162</v>
      </c>
    </row>
    <row r="17" spans="1:14" ht="24" customHeight="1">
      <c r="A17" s="28" t="s">
        <v>40</v>
      </c>
      <c r="B17" s="65" t="s">
        <v>41</v>
      </c>
      <c r="C17" s="50">
        <v>591.9</v>
      </c>
      <c r="D17" s="69">
        <v>0</v>
      </c>
      <c r="E17" s="50">
        <f t="shared" si="4"/>
        <v>399.99999999999994</v>
      </c>
      <c r="F17" s="37">
        <f t="shared" si="5"/>
        <v>369.59999999999997</v>
      </c>
      <c r="G17" s="50">
        <v>12.8</v>
      </c>
      <c r="H17" s="50">
        <v>43.9</v>
      </c>
      <c r="I17" s="16">
        <v>312.9</v>
      </c>
      <c r="J17" s="17">
        <v>30.4</v>
      </c>
      <c r="K17" s="17">
        <v>341.8</v>
      </c>
      <c r="L17" s="19">
        <f t="shared" si="6"/>
        <v>92.47835497835499</v>
      </c>
      <c r="M17" s="17">
        <f t="shared" si="7"/>
        <v>85.45000000000002</v>
      </c>
      <c r="N17" s="17"/>
    </row>
    <row r="18" spans="1:14" ht="22.5">
      <c r="A18" s="28" t="s">
        <v>18</v>
      </c>
      <c r="B18" s="65" t="s">
        <v>15</v>
      </c>
      <c r="C18" s="50">
        <v>27532.7</v>
      </c>
      <c r="D18" s="69">
        <v>11676.1</v>
      </c>
      <c r="E18" s="50">
        <f t="shared" si="4"/>
        <v>24181.000000000004</v>
      </c>
      <c r="F18" s="37">
        <f t="shared" si="5"/>
        <v>19159.800000000003</v>
      </c>
      <c r="G18" s="50">
        <v>5161.3</v>
      </c>
      <c r="H18" s="50">
        <v>7348.1</v>
      </c>
      <c r="I18" s="16">
        <v>6650.4</v>
      </c>
      <c r="J18" s="17">
        <v>5021.2</v>
      </c>
      <c r="K18" s="17">
        <v>20513.1</v>
      </c>
      <c r="L18" s="19">
        <f t="shared" si="6"/>
        <v>107.06322612970905</v>
      </c>
      <c r="M18" s="17">
        <f t="shared" si="7"/>
        <v>84.83147926057646</v>
      </c>
      <c r="N18" s="17">
        <f t="shared" si="3"/>
        <v>175.68451794691717</v>
      </c>
    </row>
    <row r="19" spans="1:14" ht="12.75">
      <c r="A19" s="28" t="s">
        <v>46</v>
      </c>
      <c r="B19" s="65" t="s">
        <v>47</v>
      </c>
      <c r="C19" s="50">
        <v>45</v>
      </c>
      <c r="D19" s="69">
        <v>18.6</v>
      </c>
      <c r="E19" s="50">
        <f>G19+H19+I19+J19</f>
        <v>18.6</v>
      </c>
      <c r="F19" s="37">
        <f t="shared" si="5"/>
        <v>0</v>
      </c>
      <c r="G19" s="50">
        <v>0</v>
      </c>
      <c r="H19" s="50"/>
      <c r="I19" s="16"/>
      <c r="J19" s="17">
        <v>18.6</v>
      </c>
      <c r="K19" s="17">
        <v>0</v>
      </c>
      <c r="L19" s="19" t="e">
        <f t="shared" si="6"/>
        <v>#DIV/0!</v>
      </c>
      <c r="M19" s="17">
        <f t="shared" si="7"/>
        <v>0</v>
      </c>
      <c r="N19" s="17">
        <f t="shared" si="3"/>
        <v>0</v>
      </c>
    </row>
    <row r="20" spans="1:14" ht="12.75">
      <c r="A20" s="20" t="s">
        <v>12</v>
      </c>
      <c r="B20" s="65" t="s">
        <v>7</v>
      </c>
      <c r="C20" s="50">
        <v>21713.9</v>
      </c>
      <c r="D20" s="69">
        <v>12113.5</v>
      </c>
      <c r="E20" s="50">
        <f>G20+H20+I20+J20</f>
        <v>10676.1</v>
      </c>
      <c r="F20" s="37">
        <f t="shared" si="5"/>
        <v>9796.300000000001</v>
      </c>
      <c r="G20" s="50">
        <v>2379</v>
      </c>
      <c r="H20" s="50">
        <v>6760.6</v>
      </c>
      <c r="I20" s="16">
        <v>656.7</v>
      </c>
      <c r="J20" s="17">
        <v>879.8</v>
      </c>
      <c r="K20" s="17">
        <v>11224.1</v>
      </c>
      <c r="L20" s="19">
        <f t="shared" si="6"/>
        <v>114.57489051989015</v>
      </c>
      <c r="M20" s="17">
        <f t="shared" si="7"/>
        <v>105.13296053802418</v>
      </c>
      <c r="N20" s="17">
        <f t="shared" si="3"/>
        <v>92.65777851157799</v>
      </c>
    </row>
    <row r="21" spans="1:14" ht="12.75">
      <c r="A21" s="29" t="s">
        <v>37</v>
      </c>
      <c r="B21" s="15" t="s">
        <v>38</v>
      </c>
      <c r="C21" s="50">
        <v>15.2</v>
      </c>
      <c r="D21" s="69">
        <v>0</v>
      </c>
      <c r="E21" s="50">
        <f>G21+H21+I21+J21</f>
        <v>350</v>
      </c>
      <c r="F21" s="37">
        <f t="shared" si="5"/>
        <v>332</v>
      </c>
      <c r="G21" s="50"/>
      <c r="H21" s="50"/>
      <c r="I21" s="16">
        <v>332</v>
      </c>
      <c r="J21" s="17">
        <v>18</v>
      </c>
      <c r="K21" s="17">
        <v>317.3</v>
      </c>
      <c r="L21" s="19">
        <f t="shared" si="6"/>
        <v>95.57228915662651</v>
      </c>
      <c r="M21" s="17">
        <f t="shared" si="7"/>
        <v>90.65714285714286</v>
      </c>
      <c r="N21" s="17"/>
    </row>
    <row r="22" spans="1:14" ht="21.75" customHeight="1">
      <c r="A22" s="23" t="s">
        <v>1</v>
      </c>
      <c r="B22" s="74" t="s">
        <v>0</v>
      </c>
      <c r="C22" s="70">
        <f>C23+C26+C27+C25+C24</f>
        <v>3495493.7</v>
      </c>
      <c r="D22" s="70">
        <f>D23+D26+D27+D25+D24</f>
        <v>4008342.9</v>
      </c>
      <c r="E22" s="70">
        <f aca="true" t="shared" si="8" ref="E22:J22">E23+E26+E27+E25+E24</f>
        <v>4388634.8</v>
      </c>
      <c r="F22" s="70">
        <f t="shared" si="8"/>
        <v>2653745.6</v>
      </c>
      <c r="G22" s="70">
        <f t="shared" si="8"/>
        <v>604022.1</v>
      </c>
      <c r="H22" s="70">
        <f t="shared" si="8"/>
        <v>1031521.5</v>
      </c>
      <c r="I22" s="70">
        <f t="shared" si="8"/>
        <v>1018202</v>
      </c>
      <c r="J22" s="70">
        <f t="shared" si="8"/>
        <v>1734889.2</v>
      </c>
      <c r="K22" s="70">
        <f>K23+K26+K27+K25+K24</f>
        <v>2535503.5999999996</v>
      </c>
      <c r="L22" s="25">
        <f aca="true" t="shared" si="9" ref="L22:L28">K22*100/F22</f>
        <v>95.5443355233448</v>
      </c>
      <c r="M22" s="22">
        <f aca="true" t="shared" si="10" ref="M22:M28">K22*100/E22</f>
        <v>57.774312868320685</v>
      </c>
      <c r="N22" s="22">
        <f>K22*100/D22</f>
        <v>63.25565609668773</v>
      </c>
    </row>
    <row r="23" spans="1:14" ht="18" customHeight="1">
      <c r="A23" s="66" t="s">
        <v>52</v>
      </c>
      <c r="B23" s="75" t="s">
        <v>20</v>
      </c>
      <c r="C23" s="49">
        <v>3458113.3</v>
      </c>
      <c r="D23" s="69">
        <v>4008342.9</v>
      </c>
      <c r="E23" s="50">
        <f>G23+H23+I23+J23</f>
        <v>4310656.7</v>
      </c>
      <c r="F23" s="37">
        <f t="shared" si="5"/>
        <v>2605969.2</v>
      </c>
      <c r="G23" s="50">
        <v>606913</v>
      </c>
      <c r="H23" s="50">
        <v>1026473.2</v>
      </c>
      <c r="I23" s="17">
        <v>972583</v>
      </c>
      <c r="J23" s="17">
        <v>1704687.5</v>
      </c>
      <c r="K23" s="17">
        <v>2485693.4</v>
      </c>
      <c r="L23" s="19">
        <f t="shared" si="9"/>
        <v>95.38460393161975</v>
      </c>
      <c r="M23" s="17">
        <f t="shared" si="10"/>
        <v>57.66391464205442</v>
      </c>
      <c r="N23" s="17">
        <f>K23*100/D23</f>
        <v>62.01299295027878</v>
      </c>
    </row>
    <row r="24" spans="1:14" ht="18" customHeight="1">
      <c r="A24" s="66" t="s">
        <v>68</v>
      </c>
      <c r="B24" s="75" t="s">
        <v>69</v>
      </c>
      <c r="C24" s="49">
        <v>1340</v>
      </c>
      <c r="D24" s="69"/>
      <c r="E24" s="50">
        <f>G24+H24+I24+J24</f>
        <v>769</v>
      </c>
      <c r="F24" s="37">
        <f t="shared" si="5"/>
        <v>769</v>
      </c>
      <c r="G24" s="50"/>
      <c r="H24" s="50">
        <v>350</v>
      </c>
      <c r="I24" s="17">
        <v>419</v>
      </c>
      <c r="J24" s="17"/>
      <c r="K24" s="17">
        <v>1202.8</v>
      </c>
      <c r="L24" s="19">
        <f>K24*100/F24</f>
        <v>156.41092327698308</v>
      </c>
      <c r="M24" s="17">
        <f>K24*100/E24</f>
        <v>156.41092327698308</v>
      </c>
      <c r="N24" s="17"/>
    </row>
    <row r="25" spans="1:14" ht="18.75" customHeight="1">
      <c r="A25" s="66" t="s">
        <v>60</v>
      </c>
      <c r="B25" s="76" t="s">
        <v>19</v>
      </c>
      <c r="C25" s="55">
        <v>42419.2</v>
      </c>
      <c r="D25" s="69"/>
      <c r="E25" s="50">
        <f>G25+H25+I25+J25</f>
        <v>81148</v>
      </c>
      <c r="F25" s="37">
        <f t="shared" si="5"/>
        <v>50946.3</v>
      </c>
      <c r="G25" s="55">
        <v>1048</v>
      </c>
      <c r="H25" s="55">
        <v>4698.3</v>
      </c>
      <c r="I25" s="17">
        <v>45200</v>
      </c>
      <c r="J25" s="17">
        <v>30201.7</v>
      </c>
      <c r="K25" s="17">
        <v>52546.3</v>
      </c>
      <c r="L25" s="19">
        <f>K25*100/F25</f>
        <v>103.1405617287222</v>
      </c>
      <c r="M25" s="17">
        <f>K25*100/E25</f>
        <v>64.75365997929708</v>
      </c>
      <c r="N25" s="17"/>
    </row>
    <row r="26" spans="1:14" ht="17.25" customHeight="1" hidden="1">
      <c r="A26" s="66" t="s">
        <v>59</v>
      </c>
      <c r="B26" s="15" t="s">
        <v>50</v>
      </c>
      <c r="C26" s="50"/>
      <c r="D26" s="69">
        <v>0</v>
      </c>
      <c r="E26" s="50">
        <f>G26+H26+I26+J26</f>
        <v>0</v>
      </c>
      <c r="F26" s="37">
        <f t="shared" si="5"/>
        <v>0</v>
      </c>
      <c r="G26" s="50"/>
      <c r="H26" s="50"/>
      <c r="I26" s="17"/>
      <c r="J26" s="17"/>
      <c r="K26" s="17"/>
      <c r="L26" s="19" t="e">
        <f>K26*100/F26</f>
        <v>#DIV/0!</v>
      </c>
      <c r="M26" s="17" t="e">
        <f>K26*100/E26</f>
        <v>#DIV/0!</v>
      </c>
      <c r="N26" s="17"/>
    </row>
    <row r="27" spans="1:14" ht="13.5" customHeight="1">
      <c r="A27" s="66" t="s">
        <v>51</v>
      </c>
      <c r="B27" s="18" t="s">
        <v>49</v>
      </c>
      <c r="C27" s="59">
        <v>-6378.8</v>
      </c>
      <c r="D27" s="69"/>
      <c r="E27" s="50">
        <f>G27+H27+I27+J27</f>
        <v>-3938.9</v>
      </c>
      <c r="F27" s="37">
        <f t="shared" si="5"/>
        <v>-3938.9</v>
      </c>
      <c r="G27" s="59">
        <v>-3938.9</v>
      </c>
      <c r="H27" s="59"/>
      <c r="I27" s="17"/>
      <c r="J27" s="17"/>
      <c r="K27" s="17">
        <v>-3938.9</v>
      </c>
      <c r="L27" s="19">
        <f>K27*100/F27</f>
        <v>100</v>
      </c>
      <c r="M27" s="17">
        <f>K27*100/E27</f>
        <v>100</v>
      </c>
      <c r="N27" s="17"/>
    </row>
    <row r="28" spans="1:14" ht="15.75" customHeight="1">
      <c r="A28" s="20"/>
      <c r="B28" s="21" t="s">
        <v>4</v>
      </c>
      <c r="C28" s="22">
        <f aca="true" t="shared" si="11" ref="C28:J28">C22+C8</f>
        <v>4560994.7</v>
      </c>
      <c r="D28" s="22">
        <f t="shared" si="11"/>
        <v>4999940.3</v>
      </c>
      <c r="E28" s="22">
        <f>E22+E8+0.1</f>
        <v>5466305.1</v>
      </c>
      <c r="F28" s="22">
        <f t="shared" si="11"/>
        <v>3535666.7</v>
      </c>
      <c r="G28" s="22">
        <f t="shared" si="11"/>
        <v>856954.5999999999</v>
      </c>
      <c r="H28" s="22">
        <f t="shared" si="11"/>
        <v>1375885.7</v>
      </c>
      <c r="I28" s="22">
        <f t="shared" si="11"/>
        <v>1302826.4000000001</v>
      </c>
      <c r="J28" s="22">
        <f t="shared" si="11"/>
        <v>1930638.2999999998</v>
      </c>
      <c r="K28" s="22">
        <f>K22+K8</f>
        <v>3441634.3</v>
      </c>
      <c r="L28" s="25">
        <f t="shared" si="9"/>
        <v>97.34046198415705</v>
      </c>
      <c r="M28" s="22">
        <f t="shared" si="10"/>
        <v>62.96088924857122</v>
      </c>
      <c r="N28" s="22">
        <f>K28*100/D28</f>
        <v>68.833507872084</v>
      </c>
    </row>
    <row r="29" spans="1:14" ht="12.75">
      <c r="A29" s="180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25"/>
      <c r="M29" s="22"/>
      <c r="N29" s="17"/>
    </row>
    <row r="30" spans="1:14" ht="12.75">
      <c r="A30" s="185" t="s">
        <v>23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</row>
    <row r="31" spans="1:14" ht="12.75">
      <c r="A31" s="23" t="s">
        <v>3</v>
      </c>
      <c r="B31" s="24" t="s">
        <v>53</v>
      </c>
      <c r="C31" s="68">
        <f>C32+C34+C36+C38+C35+C37+C40+C33+C39</f>
        <v>23684.3</v>
      </c>
      <c r="D31" s="68">
        <f>D32+D34+D36+D38+D35+D37+D40+D33+D39</f>
        <v>20907.3</v>
      </c>
      <c r="E31" s="25">
        <f aca="true" t="shared" si="12" ref="E31:J31">E32+E34+E36+E38+E35+E37+E40+E33</f>
        <v>20958.899999999998</v>
      </c>
      <c r="F31" s="25">
        <f t="shared" si="12"/>
        <v>16439.2</v>
      </c>
      <c r="G31" s="25">
        <f t="shared" si="12"/>
        <v>4972.5</v>
      </c>
      <c r="H31" s="25">
        <f t="shared" si="12"/>
        <v>5888.7</v>
      </c>
      <c r="I31" s="25">
        <f t="shared" si="12"/>
        <v>5578</v>
      </c>
      <c r="J31" s="25">
        <f t="shared" si="12"/>
        <v>4519.700000000001</v>
      </c>
      <c r="K31" s="25">
        <f>K32+K34+K36+K38+K35+K37+K40+K33+K39</f>
        <v>19347.3</v>
      </c>
      <c r="L31" s="25">
        <f aca="true" t="shared" si="13" ref="L31:L36">K31*100/F31</f>
        <v>117.69003357827631</v>
      </c>
      <c r="M31" s="22">
        <f aca="true" t="shared" si="14" ref="M31:M36">K31*100/E31</f>
        <v>92.31066515895397</v>
      </c>
      <c r="N31" s="22">
        <f aca="true" t="shared" si="15" ref="N31:N36">K31*100/D31</f>
        <v>92.53849134034525</v>
      </c>
    </row>
    <row r="32" spans="1:14" ht="12.75">
      <c r="A32" s="12" t="s">
        <v>63</v>
      </c>
      <c r="B32" s="46" t="s">
        <v>64</v>
      </c>
      <c r="C32" s="64">
        <v>18566.9</v>
      </c>
      <c r="D32" s="69">
        <v>16900</v>
      </c>
      <c r="E32" s="50">
        <f aca="true" t="shared" si="16" ref="E32:E38">G32+H32+I32+J32</f>
        <v>16900</v>
      </c>
      <c r="F32" s="37">
        <f aca="true" t="shared" si="17" ref="F32:F42">G32+H32+I32</f>
        <v>14011.199999999999</v>
      </c>
      <c r="G32" s="37">
        <v>4229.9</v>
      </c>
      <c r="H32" s="37">
        <v>5039.2</v>
      </c>
      <c r="I32" s="16">
        <v>4742.1</v>
      </c>
      <c r="J32" s="17">
        <v>2888.8</v>
      </c>
      <c r="K32" s="58">
        <v>16450.5</v>
      </c>
      <c r="L32" s="19">
        <f t="shared" si="13"/>
        <v>117.40964371360056</v>
      </c>
      <c r="M32" s="17">
        <f t="shared" si="14"/>
        <v>97.34023668639053</v>
      </c>
      <c r="N32" s="17">
        <f t="shared" si="15"/>
        <v>97.34023668639053</v>
      </c>
    </row>
    <row r="33" spans="1:14" ht="25.5" customHeight="1">
      <c r="A33" s="12" t="s">
        <v>62</v>
      </c>
      <c r="B33" s="26" t="s">
        <v>61</v>
      </c>
      <c r="C33" s="49">
        <v>2251.2</v>
      </c>
      <c r="D33" s="69">
        <v>1918.5</v>
      </c>
      <c r="E33" s="50">
        <f t="shared" si="16"/>
        <v>1918.5</v>
      </c>
      <c r="F33" s="37">
        <f t="shared" si="17"/>
        <v>1428.8</v>
      </c>
      <c r="G33" s="37">
        <v>454.3</v>
      </c>
      <c r="H33" s="37">
        <v>484</v>
      </c>
      <c r="I33" s="16">
        <v>490.5</v>
      </c>
      <c r="J33" s="17">
        <v>489.7</v>
      </c>
      <c r="K33" s="58">
        <v>1722.5</v>
      </c>
      <c r="L33" s="19">
        <f t="shared" si="13"/>
        <v>120.55571108622621</v>
      </c>
      <c r="M33" s="17">
        <f t="shared" si="14"/>
        <v>89.78368517070628</v>
      </c>
      <c r="N33" s="17">
        <f t="shared" si="15"/>
        <v>89.78368517070628</v>
      </c>
    </row>
    <row r="34" spans="1:14" ht="12.75">
      <c r="A34" s="12" t="s">
        <v>9</v>
      </c>
      <c r="B34" s="26" t="s">
        <v>6</v>
      </c>
      <c r="C34" s="49">
        <v>1402.2</v>
      </c>
      <c r="D34" s="69">
        <v>1187</v>
      </c>
      <c r="E34" s="50">
        <f t="shared" si="16"/>
        <v>1187</v>
      </c>
      <c r="F34" s="37">
        <f t="shared" si="17"/>
        <v>258.4</v>
      </c>
      <c r="G34" s="50">
        <v>62</v>
      </c>
      <c r="H34" s="50">
        <v>23.7</v>
      </c>
      <c r="I34" s="16">
        <v>172.7</v>
      </c>
      <c r="J34" s="17">
        <v>928.6</v>
      </c>
      <c r="K34" s="17">
        <v>428.4</v>
      </c>
      <c r="L34" s="19">
        <f t="shared" si="13"/>
        <v>165.78947368421055</v>
      </c>
      <c r="M34" s="17">
        <f t="shared" si="14"/>
        <v>36.09098567818029</v>
      </c>
      <c r="N34" s="17">
        <f t="shared" si="15"/>
        <v>36.09098567818029</v>
      </c>
    </row>
    <row r="35" spans="1:14" ht="12.75">
      <c r="A35" s="12" t="s">
        <v>10</v>
      </c>
      <c r="B35" s="26" t="s">
        <v>21</v>
      </c>
      <c r="C35" s="49">
        <v>3.6</v>
      </c>
      <c r="D35" s="69">
        <v>9.3</v>
      </c>
      <c r="E35" s="50">
        <f t="shared" si="16"/>
        <v>9.3</v>
      </c>
      <c r="F35" s="37">
        <f t="shared" si="17"/>
        <v>7.5</v>
      </c>
      <c r="G35" s="50">
        <v>1.5</v>
      </c>
      <c r="H35" s="50">
        <v>2.8</v>
      </c>
      <c r="I35" s="16">
        <v>3.2</v>
      </c>
      <c r="J35" s="17">
        <v>1.8</v>
      </c>
      <c r="K35" s="17">
        <v>2.5</v>
      </c>
      <c r="L35" s="19">
        <f t="shared" si="13"/>
        <v>33.333333333333336</v>
      </c>
      <c r="M35" s="17">
        <f t="shared" si="14"/>
        <v>26.881720430107524</v>
      </c>
      <c r="N35" s="17">
        <f t="shared" si="15"/>
        <v>26.881720430107524</v>
      </c>
    </row>
    <row r="36" spans="1:14" ht="22.5">
      <c r="A36" s="13" t="s">
        <v>11</v>
      </c>
      <c r="B36" s="26" t="s">
        <v>17</v>
      </c>
      <c r="C36" s="49">
        <v>934.6</v>
      </c>
      <c r="D36" s="69">
        <v>772.5</v>
      </c>
      <c r="E36" s="50">
        <f t="shared" si="16"/>
        <v>772.5</v>
      </c>
      <c r="F36" s="37">
        <f t="shared" si="17"/>
        <v>603.2</v>
      </c>
      <c r="G36" s="50">
        <v>206.3</v>
      </c>
      <c r="H36" s="50">
        <v>241.4</v>
      </c>
      <c r="I36" s="16">
        <v>155.5</v>
      </c>
      <c r="J36" s="17">
        <v>169.3</v>
      </c>
      <c r="K36" s="17">
        <v>662.1</v>
      </c>
      <c r="L36" s="19">
        <f t="shared" si="13"/>
        <v>109.76458885941643</v>
      </c>
      <c r="M36" s="17">
        <f t="shared" si="14"/>
        <v>85.70873786407768</v>
      </c>
      <c r="N36" s="17">
        <f t="shared" si="15"/>
        <v>85.70873786407768</v>
      </c>
    </row>
    <row r="37" spans="1:14" ht="28.5" customHeight="1">
      <c r="A37" s="28" t="s">
        <v>40</v>
      </c>
      <c r="B37" s="26" t="s">
        <v>41</v>
      </c>
      <c r="C37" s="49">
        <v>108.4</v>
      </c>
      <c r="D37" s="69">
        <v>0</v>
      </c>
      <c r="E37" s="50">
        <f t="shared" si="16"/>
        <v>51.6</v>
      </c>
      <c r="F37" s="37">
        <f t="shared" si="17"/>
        <v>51.6</v>
      </c>
      <c r="G37" s="50"/>
      <c r="H37" s="50">
        <v>51.6</v>
      </c>
      <c r="I37" s="16"/>
      <c r="J37" s="17"/>
      <c r="K37" s="17">
        <v>51.5</v>
      </c>
      <c r="L37" s="19">
        <f>K37*100/F37</f>
        <v>99.8062015503876</v>
      </c>
      <c r="M37" s="17">
        <f>K37*100/E37</f>
        <v>99.8062015503876</v>
      </c>
      <c r="N37" s="17"/>
    </row>
    <row r="38" spans="1:14" ht="13.5" customHeight="1">
      <c r="A38" s="27" t="s">
        <v>18</v>
      </c>
      <c r="B38" s="26" t="s">
        <v>15</v>
      </c>
      <c r="C38" s="49">
        <v>147.3</v>
      </c>
      <c r="D38" s="69">
        <v>120</v>
      </c>
      <c r="E38" s="50">
        <f t="shared" si="16"/>
        <v>120</v>
      </c>
      <c r="F38" s="37">
        <f t="shared" si="17"/>
        <v>78.5</v>
      </c>
      <c r="G38" s="50">
        <v>18.5</v>
      </c>
      <c r="H38" s="50">
        <v>46</v>
      </c>
      <c r="I38" s="16">
        <v>14</v>
      </c>
      <c r="J38" s="17">
        <v>41.5</v>
      </c>
      <c r="K38" s="17">
        <v>26.8</v>
      </c>
      <c r="L38" s="19">
        <f>K38*100/F38</f>
        <v>34.140127388535035</v>
      </c>
      <c r="M38" s="17">
        <f>K38*100/E38</f>
        <v>22.333333333333332</v>
      </c>
      <c r="N38" s="17">
        <f>K38*100/D38</f>
        <v>22.333333333333332</v>
      </c>
    </row>
    <row r="39" spans="1:14" ht="17.25" customHeight="1">
      <c r="A39" s="20" t="s">
        <v>12</v>
      </c>
      <c r="B39" s="26" t="s">
        <v>7</v>
      </c>
      <c r="C39" s="49"/>
      <c r="D39" s="69"/>
      <c r="E39" s="50"/>
      <c r="F39" s="37">
        <f t="shared" si="17"/>
        <v>0</v>
      </c>
      <c r="G39" s="50"/>
      <c r="H39" s="50"/>
      <c r="I39" s="16"/>
      <c r="J39" s="17"/>
      <c r="K39" s="17">
        <v>3</v>
      </c>
      <c r="L39" s="19" t="e">
        <f>K39*100/F39</f>
        <v>#DIV/0!</v>
      </c>
      <c r="M39" s="17"/>
      <c r="N39" s="17"/>
    </row>
    <row r="40" spans="1:14" ht="15.75" customHeight="1">
      <c r="A40" s="29" t="s">
        <v>37</v>
      </c>
      <c r="B40" s="15" t="s">
        <v>38</v>
      </c>
      <c r="C40" s="77">
        <v>270.1</v>
      </c>
      <c r="D40" s="69"/>
      <c r="E40" s="26"/>
      <c r="F40" s="37">
        <f t="shared" si="17"/>
        <v>0</v>
      </c>
      <c r="G40" s="50"/>
      <c r="H40" s="50"/>
      <c r="I40" s="16"/>
      <c r="J40" s="17"/>
      <c r="K40" s="17"/>
      <c r="L40" s="25"/>
      <c r="M40" s="22"/>
      <c r="N40" s="17"/>
    </row>
    <row r="41" spans="1:14" ht="17.25" customHeight="1">
      <c r="A41" s="23" t="s">
        <v>1</v>
      </c>
      <c r="B41" s="30" t="s">
        <v>0</v>
      </c>
      <c r="C41" s="70">
        <f>C42+C43</f>
        <v>15151</v>
      </c>
      <c r="D41" s="70">
        <f>D42+D43</f>
        <v>6595.8</v>
      </c>
      <c r="E41" s="31">
        <f aca="true" t="shared" si="18" ref="E41:J41">E42+E43</f>
        <v>6795.8</v>
      </c>
      <c r="F41" s="31">
        <f t="shared" si="18"/>
        <v>5024</v>
      </c>
      <c r="G41" s="31">
        <f t="shared" si="18"/>
        <v>1521.9</v>
      </c>
      <c r="H41" s="31">
        <f t="shared" si="18"/>
        <v>1183</v>
      </c>
      <c r="I41" s="31">
        <f t="shared" si="18"/>
        <v>2319.1</v>
      </c>
      <c r="J41" s="31">
        <f t="shared" si="18"/>
        <v>1771.8</v>
      </c>
      <c r="K41" s="31">
        <f>K42+K43</f>
        <v>5954.1</v>
      </c>
      <c r="L41" s="25">
        <f>K41*100/F41</f>
        <v>118.51313694267516</v>
      </c>
      <c r="M41" s="22">
        <f>K41*100/E41</f>
        <v>87.61440889961446</v>
      </c>
      <c r="N41" s="22">
        <f>K41*100/D41</f>
        <v>90.27108159738015</v>
      </c>
    </row>
    <row r="42" spans="1:14" ht="25.5" customHeight="1">
      <c r="A42" s="14" t="s">
        <v>52</v>
      </c>
      <c r="B42" s="32" t="s">
        <v>20</v>
      </c>
      <c r="C42" s="49">
        <v>15151</v>
      </c>
      <c r="D42" s="69">
        <v>6595.8</v>
      </c>
      <c r="E42" s="50">
        <f>G42+H42+I42+J42</f>
        <v>6795.8</v>
      </c>
      <c r="F42" s="37">
        <f t="shared" si="17"/>
        <v>5024</v>
      </c>
      <c r="G42" s="49">
        <v>1521.9</v>
      </c>
      <c r="H42" s="49">
        <v>1183</v>
      </c>
      <c r="I42" s="16">
        <v>2319.1</v>
      </c>
      <c r="J42" s="49">
        <v>1771.8</v>
      </c>
      <c r="K42" s="17">
        <v>5954.1</v>
      </c>
      <c r="L42" s="19">
        <f>K42*100/F42</f>
        <v>118.51313694267516</v>
      </c>
      <c r="M42" s="17">
        <f>K42*100/E42</f>
        <v>87.61440889961446</v>
      </c>
      <c r="N42" s="17">
        <f>K42*100/D42</f>
        <v>90.27108159738015</v>
      </c>
    </row>
    <row r="43" spans="1:14" ht="21.75" customHeight="1" hidden="1">
      <c r="A43" s="14" t="s">
        <v>51</v>
      </c>
      <c r="B43" s="18" t="s">
        <v>49</v>
      </c>
      <c r="C43" s="18"/>
      <c r="D43" s="59"/>
      <c r="E43" s="50">
        <f>G43+H43+I43+J43</f>
        <v>0</v>
      </c>
      <c r="F43" s="37">
        <f>G43</f>
        <v>0</v>
      </c>
      <c r="G43" s="49"/>
      <c r="H43" s="49"/>
      <c r="I43" s="16"/>
      <c r="J43" s="49"/>
      <c r="K43" s="17"/>
      <c r="L43" s="19"/>
      <c r="M43" s="17"/>
      <c r="N43" s="17"/>
    </row>
    <row r="44" spans="1:14" ht="14.25" customHeight="1">
      <c r="A44" s="20"/>
      <c r="B44" s="21" t="s">
        <v>4</v>
      </c>
      <c r="C44" s="22">
        <f aca="true" t="shared" si="19" ref="C44:J44">C41+C31</f>
        <v>38835.3</v>
      </c>
      <c r="D44" s="22">
        <f t="shared" si="19"/>
        <v>27503.1</v>
      </c>
      <c r="E44" s="22">
        <f t="shared" si="19"/>
        <v>27754.699999999997</v>
      </c>
      <c r="F44" s="22">
        <f t="shared" si="19"/>
        <v>21463.2</v>
      </c>
      <c r="G44" s="22">
        <f t="shared" si="19"/>
        <v>6494.4</v>
      </c>
      <c r="H44" s="22">
        <f t="shared" si="19"/>
        <v>7071.7</v>
      </c>
      <c r="I44" s="22">
        <f t="shared" si="19"/>
        <v>7897.1</v>
      </c>
      <c r="J44" s="22">
        <f t="shared" si="19"/>
        <v>6291.500000000001</v>
      </c>
      <c r="K44" s="22">
        <f>K41+K31</f>
        <v>25301.4</v>
      </c>
      <c r="L44" s="25">
        <f>K44*100/F44</f>
        <v>117.88270155428826</v>
      </c>
      <c r="M44" s="22">
        <f>K44*100/E44</f>
        <v>91.1607763730107</v>
      </c>
      <c r="N44" s="22">
        <f>K44*100/D44</f>
        <v>91.99472059513292</v>
      </c>
    </row>
    <row r="45" spans="1:14" ht="12.75">
      <c r="A45" s="47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25"/>
      <c r="M45" s="22"/>
      <c r="N45" s="17"/>
    </row>
    <row r="46" spans="1:14" ht="12.75">
      <c r="A46" s="185" t="s">
        <v>24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</row>
    <row r="47" spans="1:14" ht="12.75">
      <c r="A47" s="23" t="s">
        <v>3</v>
      </c>
      <c r="B47" s="24" t="s">
        <v>53</v>
      </c>
      <c r="C47" s="68">
        <f aca="true" t="shared" si="20" ref="C47:K47">C48+C51+C53+C55+C56+C57+C52+C50+C49+C54</f>
        <v>27696.199999999997</v>
      </c>
      <c r="D47" s="68">
        <f t="shared" si="20"/>
        <v>23326.5</v>
      </c>
      <c r="E47" s="25">
        <f t="shared" si="20"/>
        <v>25378.7</v>
      </c>
      <c r="F47" s="25">
        <f t="shared" si="20"/>
        <v>17516.9</v>
      </c>
      <c r="G47" s="25">
        <f t="shared" si="20"/>
        <v>3674.2999999999997</v>
      </c>
      <c r="H47" s="25">
        <f t="shared" si="20"/>
        <v>5729.8</v>
      </c>
      <c r="I47" s="25">
        <f t="shared" si="20"/>
        <v>8112.799999999999</v>
      </c>
      <c r="J47" s="25">
        <f t="shared" si="20"/>
        <v>7861.800000000001</v>
      </c>
      <c r="K47" s="25">
        <f t="shared" si="20"/>
        <v>17367.4</v>
      </c>
      <c r="L47" s="25">
        <f>K47*100/F47</f>
        <v>99.14653848569097</v>
      </c>
      <c r="M47" s="22">
        <f>K47*100/E47</f>
        <v>68.43297726045859</v>
      </c>
      <c r="N47" s="22">
        <f aca="true" t="shared" si="21" ref="N47:N53">K47*100/D47</f>
        <v>74.45351853042678</v>
      </c>
    </row>
    <row r="48" spans="1:14" ht="12.75">
      <c r="A48" s="12" t="s">
        <v>63</v>
      </c>
      <c r="B48" s="46" t="s">
        <v>64</v>
      </c>
      <c r="C48" s="64">
        <v>16556.6</v>
      </c>
      <c r="D48" s="69">
        <v>14500</v>
      </c>
      <c r="E48" s="50">
        <f aca="true" t="shared" si="22" ref="E48:E61">G48+H48+I48+J48</f>
        <v>15610</v>
      </c>
      <c r="F48" s="37">
        <f aca="true" t="shared" si="23" ref="F48:F59">G48+H48+I48</f>
        <v>10919.699999999999</v>
      </c>
      <c r="G48" s="50">
        <v>2084.2</v>
      </c>
      <c r="H48" s="50">
        <v>3671.1</v>
      </c>
      <c r="I48" s="16">
        <v>5164.4</v>
      </c>
      <c r="J48" s="17">
        <v>4690.3</v>
      </c>
      <c r="K48" s="58">
        <v>11286.5</v>
      </c>
      <c r="L48" s="19">
        <f>K48*100/F48</f>
        <v>103.35906664102495</v>
      </c>
      <c r="M48" s="17">
        <f>K48*100/E48</f>
        <v>72.30301089045484</v>
      </c>
      <c r="N48" s="17">
        <f t="shared" si="21"/>
        <v>77.83793103448276</v>
      </c>
    </row>
    <row r="49" spans="1:14" ht="24" customHeight="1">
      <c r="A49" s="12" t="s">
        <v>62</v>
      </c>
      <c r="B49" s="26" t="s">
        <v>61</v>
      </c>
      <c r="C49" s="49">
        <v>5302.2</v>
      </c>
      <c r="D49" s="69">
        <v>4528.8</v>
      </c>
      <c r="E49" s="50">
        <f t="shared" si="22"/>
        <v>5364.5</v>
      </c>
      <c r="F49" s="37">
        <f t="shared" si="23"/>
        <v>4190.1</v>
      </c>
      <c r="G49" s="50">
        <v>1005.4</v>
      </c>
      <c r="H49" s="50">
        <v>1174.5</v>
      </c>
      <c r="I49" s="16">
        <v>2010.2</v>
      </c>
      <c r="J49" s="17">
        <v>1174.4</v>
      </c>
      <c r="K49" s="58">
        <v>4066.1</v>
      </c>
      <c r="L49" s="19">
        <f>K49*100/F49</f>
        <v>97.04064342139804</v>
      </c>
      <c r="M49" s="17">
        <f>K49*100/E49</f>
        <v>75.79643955634262</v>
      </c>
      <c r="N49" s="17">
        <f t="shared" si="21"/>
        <v>89.78316551845963</v>
      </c>
    </row>
    <row r="50" spans="1:14" ht="12.75">
      <c r="A50" s="12" t="s">
        <v>8</v>
      </c>
      <c r="B50" s="26" t="s">
        <v>5</v>
      </c>
      <c r="C50" s="49">
        <v>23.9</v>
      </c>
      <c r="D50" s="69">
        <v>17.5</v>
      </c>
      <c r="E50" s="50">
        <f t="shared" si="22"/>
        <v>80.1</v>
      </c>
      <c r="F50" s="37">
        <f t="shared" si="23"/>
        <v>80.1</v>
      </c>
      <c r="G50" s="50">
        <v>17.5</v>
      </c>
      <c r="H50" s="50"/>
      <c r="I50" s="16">
        <v>62.6</v>
      </c>
      <c r="J50" s="17"/>
      <c r="K50" s="58">
        <v>80.1</v>
      </c>
      <c r="L50" s="19">
        <f>K50*100/F50</f>
        <v>100</v>
      </c>
      <c r="M50" s="17">
        <f>K50*100/E50</f>
        <v>100</v>
      </c>
      <c r="N50" s="17">
        <f t="shared" si="21"/>
        <v>457.71428571428567</v>
      </c>
    </row>
    <row r="51" spans="1:14" ht="13.5" customHeight="1">
      <c r="A51" s="12" t="s">
        <v>9</v>
      </c>
      <c r="B51" s="26" t="s">
        <v>6</v>
      </c>
      <c r="C51" s="49">
        <v>4278.8</v>
      </c>
      <c r="D51" s="69">
        <v>3490</v>
      </c>
      <c r="E51" s="50">
        <f t="shared" si="22"/>
        <v>3230</v>
      </c>
      <c r="F51" s="37">
        <f t="shared" si="23"/>
        <v>1470.1</v>
      </c>
      <c r="G51" s="50">
        <v>362.7</v>
      </c>
      <c r="H51" s="50">
        <v>610</v>
      </c>
      <c r="I51" s="16">
        <v>497.4</v>
      </c>
      <c r="J51" s="17">
        <v>1759.9</v>
      </c>
      <c r="K51" s="17">
        <v>1022</v>
      </c>
      <c r="L51" s="19">
        <f>K51*100/F51</f>
        <v>69.51908033467112</v>
      </c>
      <c r="M51" s="17">
        <f>K51*100/E51</f>
        <v>31.640866873065015</v>
      </c>
      <c r="N51" s="17">
        <f t="shared" si="21"/>
        <v>29.283667621776505</v>
      </c>
    </row>
    <row r="52" spans="1:14" ht="12.75" customHeight="1" hidden="1">
      <c r="A52" s="12" t="s">
        <v>10</v>
      </c>
      <c r="B52" s="26" t="s">
        <v>21</v>
      </c>
      <c r="C52" s="49"/>
      <c r="D52" s="69"/>
      <c r="E52" s="50">
        <f t="shared" si="22"/>
        <v>0</v>
      </c>
      <c r="F52" s="37">
        <f t="shared" si="23"/>
        <v>0</v>
      </c>
      <c r="G52" s="50"/>
      <c r="H52" s="50"/>
      <c r="I52" s="16"/>
      <c r="J52" s="17"/>
      <c r="K52" s="17"/>
      <c r="L52" s="19"/>
      <c r="M52" s="17"/>
      <c r="N52" s="17" t="e">
        <f t="shared" si="21"/>
        <v>#DIV/0!</v>
      </c>
    </row>
    <row r="53" spans="1:14" ht="22.5">
      <c r="A53" s="13" t="s">
        <v>11</v>
      </c>
      <c r="B53" s="26" t="s">
        <v>17</v>
      </c>
      <c r="C53" s="49">
        <v>1057.1</v>
      </c>
      <c r="D53" s="69">
        <v>724.2</v>
      </c>
      <c r="E53" s="50">
        <f t="shared" si="22"/>
        <v>845.4000000000001</v>
      </c>
      <c r="F53" s="37">
        <f t="shared" si="23"/>
        <v>632.2</v>
      </c>
      <c r="G53" s="50">
        <v>167.2</v>
      </c>
      <c r="H53" s="50">
        <v>190.8</v>
      </c>
      <c r="I53" s="16">
        <v>274.2</v>
      </c>
      <c r="J53" s="17">
        <v>213.2</v>
      </c>
      <c r="K53" s="17">
        <v>682.2</v>
      </c>
      <c r="L53" s="19">
        <f>K53*100/F53</f>
        <v>107.90888959190129</v>
      </c>
      <c r="M53" s="17">
        <f>K53*100/E53</f>
        <v>80.69552874378991</v>
      </c>
      <c r="N53" s="17">
        <f t="shared" si="21"/>
        <v>94.20049710024854</v>
      </c>
    </row>
    <row r="54" spans="1:14" ht="19.5" customHeight="1" hidden="1">
      <c r="A54" s="28" t="s">
        <v>40</v>
      </c>
      <c r="B54" s="26" t="s">
        <v>41</v>
      </c>
      <c r="C54" s="49"/>
      <c r="D54" s="69"/>
      <c r="E54" s="50">
        <f t="shared" si="22"/>
        <v>0</v>
      </c>
      <c r="F54" s="37">
        <f t="shared" si="23"/>
        <v>0</v>
      </c>
      <c r="G54" s="50"/>
      <c r="H54" s="50"/>
      <c r="I54" s="16"/>
      <c r="J54" s="17"/>
      <c r="K54" s="17"/>
      <c r="L54" s="19" t="e">
        <f>K54*100/F54</f>
        <v>#DIV/0!</v>
      </c>
      <c r="M54" s="17" t="e">
        <f>K54*100/E54</f>
        <v>#DIV/0!</v>
      </c>
      <c r="N54" s="17"/>
    </row>
    <row r="55" spans="1:14" ht="22.5">
      <c r="A55" s="28" t="s">
        <v>18</v>
      </c>
      <c r="B55" s="26" t="s">
        <v>15</v>
      </c>
      <c r="C55" s="49">
        <v>92.9</v>
      </c>
      <c r="D55" s="69">
        <v>66</v>
      </c>
      <c r="E55" s="50">
        <f t="shared" si="22"/>
        <v>144.4</v>
      </c>
      <c r="F55" s="37">
        <f t="shared" si="23"/>
        <v>120.4</v>
      </c>
      <c r="G55" s="50">
        <v>22</v>
      </c>
      <c r="H55" s="50">
        <v>83.4</v>
      </c>
      <c r="I55" s="16">
        <v>15</v>
      </c>
      <c r="J55" s="17">
        <v>24</v>
      </c>
      <c r="K55" s="17">
        <v>141.2</v>
      </c>
      <c r="L55" s="19">
        <f>K55*100/F55</f>
        <v>117.27574750830563</v>
      </c>
      <c r="M55" s="17">
        <f>K55*100/E55</f>
        <v>97.78393351800553</v>
      </c>
      <c r="N55" s="17">
        <f>K55*100/D55</f>
        <v>213.9393939393939</v>
      </c>
    </row>
    <row r="56" spans="1:14" ht="21" customHeight="1">
      <c r="A56" s="20" t="s">
        <v>12</v>
      </c>
      <c r="B56" s="26" t="s">
        <v>7</v>
      </c>
      <c r="C56" s="49">
        <v>7.1</v>
      </c>
      <c r="D56" s="69"/>
      <c r="E56" s="50">
        <f t="shared" si="22"/>
        <v>104.3</v>
      </c>
      <c r="F56" s="37">
        <f t="shared" si="23"/>
        <v>104.3</v>
      </c>
      <c r="G56" s="50">
        <v>15.3</v>
      </c>
      <c r="H56" s="50"/>
      <c r="I56" s="16">
        <v>89</v>
      </c>
      <c r="J56" s="17"/>
      <c r="K56" s="17">
        <v>89.3</v>
      </c>
      <c r="L56" s="19">
        <f>K56*100/F56</f>
        <v>85.61840843720039</v>
      </c>
      <c r="M56" s="17">
        <f>K56*100/E56</f>
        <v>85.61840843720039</v>
      </c>
      <c r="N56" s="17"/>
    </row>
    <row r="57" spans="1:14" ht="12.75" customHeight="1">
      <c r="A57" s="51" t="s">
        <v>37</v>
      </c>
      <c r="B57" s="15" t="s">
        <v>38</v>
      </c>
      <c r="C57" s="77">
        <v>377.6</v>
      </c>
      <c r="D57" s="69"/>
      <c r="E57" s="50">
        <f t="shared" si="22"/>
        <v>0</v>
      </c>
      <c r="F57" s="37">
        <f t="shared" si="23"/>
        <v>0</v>
      </c>
      <c r="G57" s="50"/>
      <c r="H57" s="50"/>
      <c r="I57" s="16"/>
      <c r="J57" s="17"/>
      <c r="K57" s="17"/>
      <c r="L57" s="19"/>
      <c r="M57" s="17"/>
      <c r="N57" s="17"/>
    </row>
    <row r="58" spans="1:14" ht="16.5" customHeight="1">
      <c r="A58" s="53" t="s">
        <v>1</v>
      </c>
      <c r="B58" s="30" t="s">
        <v>0</v>
      </c>
      <c r="C58" s="70">
        <f>C59+C61+C60</f>
        <v>32277.7</v>
      </c>
      <c r="D58" s="70">
        <f>D59+D61+D60</f>
        <v>30117.7</v>
      </c>
      <c r="E58" s="31">
        <f>E59+E61+E60</f>
        <v>41627.1</v>
      </c>
      <c r="F58" s="31">
        <f aca="true" t="shared" si="24" ref="F58:K58">F59+F61+F60</f>
        <v>28693.899999999998</v>
      </c>
      <c r="G58" s="31">
        <f t="shared" si="24"/>
        <v>11185.7</v>
      </c>
      <c r="H58" s="31">
        <f t="shared" si="24"/>
        <v>6487.4</v>
      </c>
      <c r="I58" s="31">
        <f t="shared" si="24"/>
        <v>11020.8</v>
      </c>
      <c r="J58" s="31">
        <f t="shared" si="24"/>
        <v>12933.2</v>
      </c>
      <c r="K58" s="31">
        <f t="shared" si="24"/>
        <v>31619.9</v>
      </c>
      <c r="L58" s="25">
        <f>K58*100/F58</f>
        <v>110.19728931933268</v>
      </c>
      <c r="M58" s="22">
        <f>K58*100/E58</f>
        <v>75.95989151298073</v>
      </c>
      <c r="N58" s="22">
        <f>K58*100/D58</f>
        <v>104.98776466994491</v>
      </c>
    </row>
    <row r="59" spans="1:14" ht="24.75" customHeight="1">
      <c r="A59" s="66" t="s">
        <v>52</v>
      </c>
      <c r="B59" s="32" t="s">
        <v>20</v>
      </c>
      <c r="C59" s="49">
        <v>32277.7</v>
      </c>
      <c r="D59" s="69">
        <v>30117.7</v>
      </c>
      <c r="E59" s="50">
        <f>G59+H59+I59+J59</f>
        <v>41627.1</v>
      </c>
      <c r="F59" s="37">
        <f t="shared" si="23"/>
        <v>28693.899999999998</v>
      </c>
      <c r="G59" s="49">
        <v>11185.7</v>
      </c>
      <c r="H59" s="49">
        <v>6487.4</v>
      </c>
      <c r="I59" s="16">
        <v>11020.8</v>
      </c>
      <c r="J59" s="16">
        <v>12933.2</v>
      </c>
      <c r="K59" s="17">
        <v>31619.9</v>
      </c>
      <c r="L59" s="19">
        <f>K59*100/F59</f>
        <v>110.19728931933268</v>
      </c>
      <c r="M59" s="17">
        <f>K59*100/E59</f>
        <v>75.95989151298073</v>
      </c>
      <c r="N59" s="17">
        <f>K59*100/D59</f>
        <v>104.98776466994491</v>
      </c>
    </row>
    <row r="60" spans="1:14" ht="18.75" customHeight="1" hidden="1">
      <c r="A60" s="14" t="s">
        <v>59</v>
      </c>
      <c r="B60" s="15" t="s">
        <v>50</v>
      </c>
      <c r="C60" s="15"/>
      <c r="D60" s="33"/>
      <c r="E60" s="50">
        <f>G60+H60+I60+J60</f>
        <v>0</v>
      </c>
      <c r="F60" s="37">
        <f>G60+H60+I60</f>
        <v>0</v>
      </c>
      <c r="G60" s="49"/>
      <c r="H60" s="49"/>
      <c r="I60" s="16"/>
      <c r="J60" s="60"/>
      <c r="K60" s="17"/>
      <c r="L60" s="19" t="e">
        <f>K60*100/F60</f>
        <v>#DIV/0!</v>
      </c>
      <c r="M60" s="17" t="e">
        <f>K60*100/E60</f>
        <v>#DIV/0!</v>
      </c>
      <c r="N60" s="17"/>
    </row>
    <row r="61" spans="1:14" ht="17.25" customHeight="1" hidden="1">
      <c r="A61" s="14" t="s">
        <v>51</v>
      </c>
      <c r="B61" s="18" t="s">
        <v>49</v>
      </c>
      <c r="C61" s="18"/>
      <c r="D61" s="18"/>
      <c r="E61" s="50">
        <f t="shared" si="22"/>
        <v>0</v>
      </c>
      <c r="F61" s="50">
        <f>G61</f>
        <v>0</v>
      </c>
      <c r="G61" s="61"/>
      <c r="H61" s="61"/>
      <c r="I61" s="16"/>
      <c r="J61" s="60"/>
      <c r="K61" s="17"/>
      <c r="L61" s="19"/>
      <c r="M61" s="17"/>
      <c r="N61" s="17" t="e">
        <f>K61*100/D61</f>
        <v>#DIV/0!</v>
      </c>
    </row>
    <row r="62" spans="1:14" ht="18" customHeight="1">
      <c r="A62" s="13"/>
      <c r="B62" s="62" t="s">
        <v>4</v>
      </c>
      <c r="C62" s="63">
        <f aca="true" t="shared" si="25" ref="C62:K62">C58+C47</f>
        <v>59973.899999999994</v>
      </c>
      <c r="D62" s="63">
        <f t="shared" si="25"/>
        <v>53444.2</v>
      </c>
      <c r="E62" s="63">
        <f>E58+E47</f>
        <v>67005.8</v>
      </c>
      <c r="F62" s="63">
        <f t="shared" si="25"/>
        <v>46210.8</v>
      </c>
      <c r="G62" s="63">
        <f t="shared" si="25"/>
        <v>14860</v>
      </c>
      <c r="H62" s="63">
        <f t="shared" si="25"/>
        <v>12217.2</v>
      </c>
      <c r="I62" s="63">
        <f t="shared" si="25"/>
        <v>19133.6</v>
      </c>
      <c r="J62" s="63">
        <f t="shared" si="25"/>
        <v>20795</v>
      </c>
      <c r="K62" s="63">
        <f t="shared" si="25"/>
        <v>48987.3</v>
      </c>
      <c r="L62" s="25">
        <f>K62*100/F62</f>
        <v>106.00833571372925</v>
      </c>
      <c r="M62" s="22">
        <f>K62*100/E62</f>
        <v>73.10904429168818</v>
      </c>
      <c r="N62" s="22">
        <f>K62*100/D62</f>
        <v>91.66064792811943</v>
      </c>
    </row>
    <row r="63" spans="1:14" ht="12.75">
      <c r="A63" s="180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25"/>
      <c r="M63" s="22"/>
      <c r="N63" s="17"/>
    </row>
    <row r="64" spans="1:14" ht="12.75">
      <c r="A64" s="185" t="s">
        <v>25</v>
      </c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</row>
    <row r="65" spans="1:14" ht="12.75">
      <c r="A65" s="53" t="s">
        <v>3</v>
      </c>
      <c r="B65" s="57" t="s">
        <v>53</v>
      </c>
      <c r="C65" s="68">
        <f>C66+C69+C71+C73+C70+C75+C74+C68+C72+C67</f>
        <v>72104.79999999999</v>
      </c>
      <c r="D65" s="68">
        <f>D66+D69+D71+D73+D70+D75+D74+D68+D72+D67</f>
        <v>48800.4</v>
      </c>
      <c r="E65" s="52">
        <f aca="true" t="shared" si="26" ref="E65:J65">E66+E69+E71+E73+E70+E75+E74+E68+E72+E67</f>
        <v>55576.90000000001</v>
      </c>
      <c r="F65" s="52">
        <f t="shared" si="26"/>
        <v>38974.6</v>
      </c>
      <c r="G65" s="52">
        <f t="shared" si="26"/>
        <v>10494.699999999999</v>
      </c>
      <c r="H65" s="52">
        <f t="shared" si="26"/>
        <v>10421.6</v>
      </c>
      <c r="I65" s="52">
        <f t="shared" si="26"/>
        <v>18058.299999999996</v>
      </c>
      <c r="J65" s="52">
        <f t="shared" si="26"/>
        <v>16602.3</v>
      </c>
      <c r="K65" s="52">
        <f>K66+K69+K71+K73+K70+K75+K74+K68+K72+K67</f>
        <v>49208.799999999996</v>
      </c>
      <c r="L65" s="25">
        <f aca="true" t="shared" si="27" ref="L65:L74">K65*100/F65</f>
        <v>126.25864024261956</v>
      </c>
      <c r="M65" s="22">
        <f aca="true" t="shared" si="28" ref="M65:M72">K65*100/E65</f>
        <v>88.5418222318985</v>
      </c>
      <c r="N65" s="22">
        <f aca="true" t="shared" si="29" ref="N65:N71">K65*100/D65</f>
        <v>100.83687838624273</v>
      </c>
    </row>
    <row r="66" spans="1:14" ht="12.75">
      <c r="A66" s="12" t="s">
        <v>63</v>
      </c>
      <c r="B66" s="46" t="s">
        <v>64</v>
      </c>
      <c r="C66" s="64">
        <v>29206.8</v>
      </c>
      <c r="D66" s="69">
        <v>24800</v>
      </c>
      <c r="E66" s="50">
        <f>G66+H66+I66+J66</f>
        <v>24907.100000000002</v>
      </c>
      <c r="F66" s="37">
        <f aca="true" t="shared" si="30" ref="F66:F78">G66+H66+I66</f>
        <v>18873.9</v>
      </c>
      <c r="G66" s="64">
        <v>5831.1</v>
      </c>
      <c r="H66" s="64">
        <v>6030.1</v>
      </c>
      <c r="I66" s="19">
        <v>7012.7</v>
      </c>
      <c r="J66" s="19">
        <v>6033.2</v>
      </c>
      <c r="K66" s="19">
        <v>22136.4</v>
      </c>
      <c r="L66" s="19">
        <f t="shared" si="27"/>
        <v>117.2857755948691</v>
      </c>
      <c r="M66" s="17">
        <f t="shared" si="28"/>
        <v>88.8758627058148</v>
      </c>
      <c r="N66" s="17">
        <f t="shared" si="29"/>
        <v>89.25967741935484</v>
      </c>
    </row>
    <row r="67" spans="1:14" ht="23.25" customHeight="1">
      <c r="A67" s="12" t="s">
        <v>62</v>
      </c>
      <c r="B67" s="26" t="s">
        <v>61</v>
      </c>
      <c r="C67" s="49">
        <v>9004.6</v>
      </c>
      <c r="D67" s="69">
        <v>7795.2</v>
      </c>
      <c r="E67" s="50">
        <f>G67+H67+I67+J67</f>
        <v>7801</v>
      </c>
      <c r="F67" s="37">
        <f t="shared" si="30"/>
        <v>5883.1</v>
      </c>
      <c r="G67" s="64">
        <v>1974</v>
      </c>
      <c r="H67" s="64">
        <v>1977.1</v>
      </c>
      <c r="I67" s="19">
        <v>1932</v>
      </c>
      <c r="J67" s="19">
        <v>1917.9</v>
      </c>
      <c r="K67" s="19">
        <v>6998.9</v>
      </c>
      <c r="L67" s="19">
        <f t="shared" si="27"/>
        <v>118.96619129370569</v>
      </c>
      <c r="M67" s="17">
        <f t="shared" si="28"/>
        <v>89.71798487373414</v>
      </c>
      <c r="N67" s="17">
        <f t="shared" si="29"/>
        <v>89.78473932676519</v>
      </c>
    </row>
    <row r="68" spans="1:14" ht="12.75">
      <c r="A68" s="12" t="s">
        <v>8</v>
      </c>
      <c r="B68" s="26" t="s">
        <v>5</v>
      </c>
      <c r="C68" s="49">
        <v>17.2</v>
      </c>
      <c r="D68" s="69">
        <v>25</v>
      </c>
      <c r="E68" s="50">
        <f aca="true" t="shared" si="31" ref="E68:E79">G68+H68+I68+J68</f>
        <v>67</v>
      </c>
      <c r="F68" s="37">
        <f t="shared" si="30"/>
        <v>60.8</v>
      </c>
      <c r="G68" s="49">
        <v>6.3</v>
      </c>
      <c r="H68" s="49">
        <v>6.2</v>
      </c>
      <c r="I68" s="16">
        <v>48.3</v>
      </c>
      <c r="J68" s="16">
        <v>6.2</v>
      </c>
      <c r="K68" s="16">
        <v>67.2</v>
      </c>
      <c r="L68" s="19">
        <f t="shared" si="27"/>
        <v>110.52631578947368</v>
      </c>
      <c r="M68" s="17">
        <f t="shared" si="28"/>
        <v>100.29850746268657</v>
      </c>
      <c r="N68" s="17">
        <f t="shared" si="29"/>
        <v>268.8</v>
      </c>
    </row>
    <row r="69" spans="1:14" ht="12.75">
      <c r="A69" s="12" t="s">
        <v>9</v>
      </c>
      <c r="B69" s="26" t="s">
        <v>6</v>
      </c>
      <c r="C69" s="49">
        <v>18597.1</v>
      </c>
      <c r="D69" s="69">
        <v>8080</v>
      </c>
      <c r="E69" s="50">
        <f t="shared" si="31"/>
        <v>14062.1</v>
      </c>
      <c r="F69" s="37">
        <f t="shared" si="30"/>
        <v>7420.5</v>
      </c>
      <c r="G69" s="49">
        <v>679.4</v>
      </c>
      <c r="H69" s="49">
        <v>379.5</v>
      </c>
      <c r="I69" s="16">
        <v>6361.6</v>
      </c>
      <c r="J69" s="16">
        <v>6641.6</v>
      </c>
      <c r="K69" s="16">
        <v>10995.8</v>
      </c>
      <c r="L69" s="19">
        <f t="shared" si="27"/>
        <v>148.18138939424568</v>
      </c>
      <c r="M69" s="17">
        <f t="shared" si="28"/>
        <v>78.19457975693531</v>
      </c>
      <c r="N69" s="17">
        <f t="shared" si="29"/>
        <v>136.08663366336634</v>
      </c>
    </row>
    <row r="70" spans="1:14" ht="18" customHeight="1">
      <c r="A70" s="12" t="s">
        <v>10</v>
      </c>
      <c r="B70" s="26" t="s">
        <v>21</v>
      </c>
      <c r="C70" s="49">
        <v>59.2</v>
      </c>
      <c r="D70" s="69">
        <v>60.8</v>
      </c>
      <c r="E70" s="50">
        <f t="shared" si="31"/>
        <v>0</v>
      </c>
      <c r="F70" s="37">
        <f t="shared" si="30"/>
        <v>0</v>
      </c>
      <c r="G70" s="49"/>
      <c r="H70" s="49"/>
      <c r="I70" s="16"/>
      <c r="J70" s="16"/>
      <c r="K70" s="16"/>
      <c r="L70" s="19"/>
      <c r="M70" s="17"/>
      <c r="N70" s="17">
        <f t="shared" si="29"/>
        <v>0</v>
      </c>
    </row>
    <row r="71" spans="1:14" ht="23.25" customHeight="1">
      <c r="A71" s="13" t="s">
        <v>11</v>
      </c>
      <c r="B71" s="26" t="s">
        <v>17</v>
      </c>
      <c r="C71" s="49">
        <v>12548.4</v>
      </c>
      <c r="D71" s="69">
        <v>8014.1</v>
      </c>
      <c r="E71" s="50">
        <f t="shared" si="31"/>
        <v>8014.1</v>
      </c>
      <c r="F71" s="37">
        <f t="shared" si="30"/>
        <v>6010.700000000001</v>
      </c>
      <c r="G71" s="49">
        <v>2003.9</v>
      </c>
      <c r="H71" s="49">
        <v>2003.4</v>
      </c>
      <c r="I71" s="16">
        <v>2003.4</v>
      </c>
      <c r="J71" s="16">
        <v>2003.4</v>
      </c>
      <c r="K71" s="16">
        <v>8174.5</v>
      </c>
      <c r="L71" s="19">
        <f t="shared" si="27"/>
        <v>135.99913487613753</v>
      </c>
      <c r="M71" s="17">
        <f t="shared" si="28"/>
        <v>102.00147240488639</v>
      </c>
      <c r="N71" s="17">
        <f t="shared" si="29"/>
        <v>102.00147240488639</v>
      </c>
    </row>
    <row r="72" spans="1:14" ht="24" customHeight="1">
      <c r="A72" s="28" t="s">
        <v>40</v>
      </c>
      <c r="B72" s="26" t="s">
        <v>41</v>
      </c>
      <c r="C72" s="49">
        <v>18.8</v>
      </c>
      <c r="D72" s="69">
        <v>0</v>
      </c>
      <c r="E72" s="50">
        <f t="shared" si="31"/>
        <v>520.3</v>
      </c>
      <c r="F72" s="37">
        <f t="shared" si="30"/>
        <v>520.3</v>
      </c>
      <c r="G72" s="49"/>
      <c r="H72" s="49"/>
      <c r="I72" s="16">
        <v>520.3</v>
      </c>
      <c r="J72" s="16"/>
      <c r="K72" s="16">
        <v>520.3</v>
      </c>
      <c r="L72" s="19">
        <f t="shared" si="27"/>
        <v>100</v>
      </c>
      <c r="M72" s="17">
        <f t="shared" si="28"/>
        <v>100</v>
      </c>
      <c r="N72" s="17"/>
    </row>
    <row r="73" spans="1:14" ht="22.5">
      <c r="A73" s="27" t="s">
        <v>18</v>
      </c>
      <c r="B73" s="26" t="s">
        <v>15</v>
      </c>
      <c r="C73" s="49">
        <v>2631.2</v>
      </c>
      <c r="D73" s="69">
        <v>25.3</v>
      </c>
      <c r="E73" s="50">
        <f t="shared" si="31"/>
        <v>90.3</v>
      </c>
      <c r="F73" s="37">
        <f t="shared" si="30"/>
        <v>90.3</v>
      </c>
      <c r="G73" s="49"/>
      <c r="H73" s="49">
        <v>25.3</v>
      </c>
      <c r="I73" s="16">
        <v>65</v>
      </c>
      <c r="J73" s="16"/>
      <c r="K73" s="16">
        <v>153.5</v>
      </c>
      <c r="L73" s="19">
        <f t="shared" si="27"/>
        <v>169.9889258028793</v>
      </c>
      <c r="M73" s="17">
        <f>K73*100/E73</f>
        <v>169.9889258028793</v>
      </c>
      <c r="N73" s="17">
        <f>K73*100/D73</f>
        <v>606.7193675889328</v>
      </c>
    </row>
    <row r="74" spans="1:14" ht="18" customHeight="1">
      <c r="A74" s="20" t="s">
        <v>12</v>
      </c>
      <c r="B74" s="26" t="s">
        <v>7</v>
      </c>
      <c r="C74" s="49">
        <v>21.5</v>
      </c>
      <c r="D74" s="69"/>
      <c r="E74" s="50">
        <f t="shared" si="31"/>
        <v>115</v>
      </c>
      <c r="F74" s="37">
        <f t="shared" si="30"/>
        <v>115</v>
      </c>
      <c r="G74" s="49"/>
      <c r="H74" s="49"/>
      <c r="I74" s="16">
        <v>115</v>
      </c>
      <c r="J74" s="16"/>
      <c r="K74" s="16">
        <v>162.2</v>
      </c>
      <c r="L74" s="19">
        <f t="shared" si="27"/>
        <v>141.04347826086956</v>
      </c>
      <c r="M74" s="17">
        <f>K74*100/E74</f>
        <v>141.04347826086956</v>
      </c>
      <c r="N74" s="17"/>
    </row>
    <row r="75" spans="1:14" ht="18" customHeight="1">
      <c r="A75" s="29" t="s">
        <v>37</v>
      </c>
      <c r="B75" s="15" t="s">
        <v>38</v>
      </c>
      <c r="C75" s="77"/>
      <c r="D75" s="69"/>
      <c r="E75" s="50">
        <f t="shared" si="31"/>
        <v>0</v>
      </c>
      <c r="F75" s="37">
        <f t="shared" si="30"/>
        <v>0</v>
      </c>
      <c r="G75" s="49"/>
      <c r="H75" s="49"/>
      <c r="I75" s="16"/>
      <c r="J75" s="16"/>
      <c r="K75" s="16"/>
      <c r="L75" s="19"/>
      <c r="M75" s="17"/>
      <c r="N75" s="17"/>
    </row>
    <row r="76" spans="1:14" ht="16.5" customHeight="1">
      <c r="A76" s="23" t="s">
        <v>1</v>
      </c>
      <c r="B76" s="30" t="s">
        <v>0</v>
      </c>
      <c r="C76" s="70">
        <f>C77+C79+C78</f>
        <v>66733</v>
      </c>
      <c r="D76" s="70">
        <f>D77+D79+D78</f>
        <v>31999.2</v>
      </c>
      <c r="E76" s="70">
        <f aca="true" t="shared" si="32" ref="E76:K76">E77+E79+E78</f>
        <v>40620.899999999994</v>
      </c>
      <c r="F76" s="70">
        <f t="shared" si="32"/>
        <v>31926.6</v>
      </c>
      <c r="G76" s="70">
        <f t="shared" si="32"/>
        <v>7601.2</v>
      </c>
      <c r="H76" s="70">
        <f t="shared" si="32"/>
        <v>8093.5</v>
      </c>
      <c r="I76" s="70">
        <f t="shared" si="32"/>
        <v>16231.9</v>
      </c>
      <c r="J76" s="70">
        <f t="shared" si="32"/>
        <v>8694.3</v>
      </c>
      <c r="K76" s="70">
        <f t="shared" si="32"/>
        <v>28131.1</v>
      </c>
      <c r="L76" s="25">
        <f>K76*100/F76</f>
        <v>88.11179392732079</v>
      </c>
      <c r="M76" s="22">
        <f>K76*100/E76</f>
        <v>69.25277381840384</v>
      </c>
      <c r="N76" s="22">
        <f>K76*100/D76</f>
        <v>87.91188529713243</v>
      </c>
    </row>
    <row r="77" spans="1:14" ht="28.5" customHeight="1">
      <c r="A77" s="66" t="s">
        <v>52</v>
      </c>
      <c r="B77" s="32" t="s">
        <v>20</v>
      </c>
      <c r="C77" s="49">
        <v>66493</v>
      </c>
      <c r="D77" s="69">
        <v>31999.2</v>
      </c>
      <c r="E77" s="50">
        <f t="shared" si="31"/>
        <v>40470.899999999994</v>
      </c>
      <c r="F77" s="37">
        <f t="shared" si="30"/>
        <v>31776.6</v>
      </c>
      <c r="G77" s="49">
        <v>7601.2</v>
      </c>
      <c r="H77" s="49">
        <v>8093.5</v>
      </c>
      <c r="I77" s="16">
        <v>16081.9</v>
      </c>
      <c r="J77" s="17">
        <v>8694.3</v>
      </c>
      <c r="K77" s="17">
        <v>27981.1</v>
      </c>
      <c r="L77" s="19">
        <f>K77*100/F77</f>
        <v>88.05567618939723</v>
      </c>
      <c r="M77" s="17">
        <f>K77*100/E77</f>
        <v>69.13881332018809</v>
      </c>
      <c r="N77" s="17">
        <f>K77*100/D77</f>
        <v>87.44312357808946</v>
      </c>
    </row>
    <row r="78" spans="1:14" ht="24.75" customHeight="1">
      <c r="A78" s="66" t="s">
        <v>68</v>
      </c>
      <c r="B78" s="32" t="s">
        <v>69</v>
      </c>
      <c r="C78" s="49">
        <v>150</v>
      </c>
      <c r="D78" s="69"/>
      <c r="E78" s="50">
        <f t="shared" si="31"/>
        <v>150</v>
      </c>
      <c r="F78" s="37">
        <f t="shared" si="30"/>
        <v>150</v>
      </c>
      <c r="G78" s="49"/>
      <c r="H78" s="49"/>
      <c r="I78" s="16">
        <v>150</v>
      </c>
      <c r="J78" s="17"/>
      <c r="K78" s="17">
        <v>150</v>
      </c>
      <c r="L78" s="19">
        <f>K78*100/F78</f>
        <v>100</v>
      </c>
      <c r="M78" s="17">
        <f>K78*100/E78</f>
        <v>100</v>
      </c>
      <c r="N78" s="17"/>
    </row>
    <row r="79" spans="1:14" ht="14.25" customHeight="1" hidden="1">
      <c r="A79" s="66" t="s">
        <v>60</v>
      </c>
      <c r="B79" s="33" t="s">
        <v>19</v>
      </c>
      <c r="C79" s="56">
        <v>90</v>
      </c>
      <c r="D79" s="69"/>
      <c r="E79" s="50">
        <f t="shared" si="31"/>
        <v>0</v>
      </c>
      <c r="F79" s="37">
        <f>G79</f>
        <v>0</v>
      </c>
      <c r="G79" s="61"/>
      <c r="H79" s="61"/>
      <c r="I79" s="16"/>
      <c r="J79" s="17"/>
      <c r="K79" s="17"/>
      <c r="L79" s="19" t="e">
        <f>K79*100/F79</f>
        <v>#DIV/0!</v>
      </c>
      <c r="M79" s="17" t="e">
        <f>K79*100/E79</f>
        <v>#DIV/0!</v>
      </c>
      <c r="N79" s="17"/>
    </row>
    <row r="80" spans="1:14" ht="18" customHeight="1">
      <c r="A80" s="20"/>
      <c r="B80" s="21" t="s">
        <v>4</v>
      </c>
      <c r="C80" s="22">
        <f aca="true" t="shared" si="33" ref="C80:K80">C76+C65</f>
        <v>138837.8</v>
      </c>
      <c r="D80" s="22">
        <f t="shared" si="33"/>
        <v>80799.6</v>
      </c>
      <c r="E80" s="22">
        <f t="shared" si="33"/>
        <v>96197.8</v>
      </c>
      <c r="F80" s="22">
        <f t="shared" si="33"/>
        <v>70901.2</v>
      </c>
      <c r="G80" s="22">
        <f t="shared" si="33"/>
        <v>18095.899999999998</v>
      </c>
      <c r="H80" s="22">
        <f t="shared" si="33"/>
        <v>18515.1</v>
      </c>
      <c r="I80" s="22">
        <f t="shared" si="33"/>
        <v>34290.2</v>
      </c>
      <c r="J80" s="22">
        <f t="shared" si="33"/>
        <v>25296.6</v>
      </c>
      <c r="K80" s="22">
        <f t="shared" si="33"/>
        <v>77339.9</v>
      </c>
      <c r="L80" s="25">
        <f>K80*100/F80</f>
        <v>109.08122852645653</v>
      </c>
      <c r="M80" s="22">
        <f>K80*100/E80</f>
        <v>80.39674503990734</v>
      </c>
      <c r="N80" s="22">
        <f>K80*100/D80</f>
        <v>95.71817187213796</v>
      </c>
    </row>
    <row r="81" spans="1:14" ht="18.75" customHeight="1">
      <c r="A81" s="180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25"/>
      <c r="M81" s="22"/>
      <c r="N81" s="17"/>
    </row>
    <row r="82" spans="1:14" ht="12.75">
      <c r="A82" s="185" t="s">
        <v>26</v>
      </c>
      <c r="B82" s="186"/>
      <c r="C82" s="186"/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6"/>
    </row>
    <row r="83" spans="1:14" ht="12.75">
      <c r="A83" s="23" t="s">
        <v>3</v>
      </c>
      <c r="B83" s="24" t="s">
        <v>53</v>
      </c>
      <c r="C83" s="68">
        <f>C84+C86+C87+C88+C89+C90+C91+C92+C93+C85</f>
        <v>44087.299999999996</v>
      </c>
      <c r="D83" s="68">
        <f>D84+D86+D87+D88+D89+D90+D91+D92+D93+D85</f>
        <v>31975</v>
      </c>
      <c r="E83" s="25">
        <f aca="true" t="shared" si="34" ref="E83:J83">E84+E86+E87+E88+E89+E90+E91+E92+E93+E85</f>
        <v>40805.799999999996</v>
      </c>
      <c r="F83" s="25">
        <f t="shared" si="34"/>
        <v>24099.7</v>
      </c>
      <c r="G83" s="25">
        <f t="shared" si="34"/>
        <v>7729</v>
      </c>
      <c r="H83" s="25">
        <f t="shared" si="34"/>
        <v>6449.9</v>
      </c>
      <c r="I83" s="25">
        <f t="shared" si="34"/>
        <v>9920.8</v>
      </c>
      <c r="J83" s="25">
        <f t="shared" si="34"/>
        <v>16706.1</v>
      </c>
      <c r="K83" s="25">
        <f>K84+K86+K87+K88+K89+K90+K91+K92+K93+K85</f>
        <v>33601.4</v>
      </c>
      <c r="L83" s="25">
        <f aca="true" t="shared" si="35" ref="L83:L89">K83*100/F83</f>
        <v>139.42663186678672</v>
      </c>
      <c r="M83" s="22">
        <f aca="true" t="shared" si="36" ref="M83:M89">K83*100/E83</f>
        <v>82.34466668953924</v>
      </c>
      <c r="N83" s="22">
        <f aca="true" t="shared" si="37" ref="N83:N89">K83*100/D83</f>
        <v>105.08647380766223</v>
      </c>
    </row>
    <row r="84" spans="1:14" ht="13.5" customHeight="1">
      <c r="A84" s="12" t="s">
        <v>63</v>
      </c>
      <c r="B84" s="46" t="s">
        <v>64</v>
      </c>
      <c r="C84" s="64">
        <v>23767.1</v>
      </c>
      <c r="D84" s="69">
        <v>17900</v>
      </c>
      <c r="E84" s="50">
        <f>G84+H84+I84+J84</f>
        <v>21768</v>
      </c>
      <c r="F84" s="37">
        <f aca="true" t="shared" si="38" ref="F84:F93">G84+H84+I84</f>
        <v>13425</v>
      </c>
      <c r="G84" s="49">
        <v>5370</v>
      </c>
      <c r="H84" s="49">
        <v>3580</v>
      </c>
      <c r="I84" s="16">
        <v>4475</v>
      </c>
      <c r="J84" s="16">
        <v>8343</v>
      </c>
      <c r="K84" s="17">
        <v>19000.6</v>
      </c>
      <c r="L84" s="19">
        <f t="shared" si="35"/>
        <v>141.5314711359404</v>
      </c>
      <c r="M84" s="17">
        <f t="shared" si="36"/>
        <v>87.28684307239985</v>
      </c>
      <c r="N84" s="17">
        <f t="shared" si="37"/>
        <v>106.14860335195529</v>
      </c>
    </row>
    <row r="85" spans="1:14" ht="24.75" customHeight="1">
      <c r="A85" s="12" t="s">
        <v>62</v>
      </c>
      <c r="B85" s="26" t="s">
        <v>61</v>
      </c>
      <c r="C85" s="49">
        <v>5788.7</v>
      </c>
      <c r="D85" s="69">
        <v>4949.5</v>
      </c>
      <c r="E85" s="50">
        <f>G85+H85+I85+J85</f>
        <v>5562</v>
      </c>
      <c r="F85" s="37">
        <f t="shared" si="38"/>
        <v>3924.7000000000003</v>
      </c>
      <c r="G85" s="49">
        <v>1237.4</v>
      </c>
      <c r="H85" s="49">
        <v>1149.9</v>
      </c>
      <c r="I85" s="16">
        <v>1537.4</v>
      </c>
      <c r="J85" s="16">
        <v>1637.3</v>
      </c>
      <c r="K85" s="17">
        <v>4443.9</v>
      </c>
      <c r="L85" s="19">
        <f t="shared" si="35"/>
        <v>113.22903661426349</v>
      </c>
      <c r="M85" s="17">
        <f t="shared" si="36"/>
        <v>79.8975188781014</v>
      </c>
      <c r="N85" s="17">
        <f t="shared" si="37"/>
        <v>89.78482675017678</v>
      </c>
    </row>
    <row r="86" spans="1:14" ht="15" customHeight="1" hidden="1">
      <c r="A86" s="12" t="s">
        <v>8</v>
      </c>
      <c r="B86" s="26" t="s">
        <v>5</v>
      </c>
      <c r="C86" s="49"/>
      <c r="D86" s="69"/>
      <c r="E86" s="50">
        <f aca="true" t="shared" si="39" ref="E86:E93">G86+H86+I86+J86</f>
        <v>0</v>
      </c>
      <c r="F86" s="37">
        <f t="shared" si="38"/>
        <v>0</v>
      </c>
      <c r="G86" s="49"/>
      <c r="H86" s="49"/>
      <c r="I86" s="16"/>
      <c r="J86" s="16"/>
      <c r="K86" s="17"/>
      <c r="L86" s="19" t="e">
        <f t="shared" si="35"/>
        <v>#DIV/0!</v>
      </c>
      <c r="M86" s="17" t="e">
        <f t="shared" si="36"/>
        <v>#DIV/0!</v>
      </c>
      <c r="N86" s="17" t="e">
        <f t="shared" si="37"/>
        <v>#DIV/0!</v>
      </c>
    </row>
    <row r="87" spans="1:14" ht="12.75">
      <c r="A87" s="12" t="s">
        <v>9</v>
      </c>
      <c r="B87" s="26" t="s">
        <v>6</v>
      </c>
      <c r="C87" s="49">
        <v>4432.6</v>
      </c>
      <c r="D87" s="69">
        <v>3023</v>
      </c>
      <c r="E87" s="50">
        <f t="shared" si="39"/>
        <v>3523</v>
      </c>
      <c r="F87" s="37">
        <f t="shared" si="38"/>
        <v>1380.6999999999998</v>
      </c>
      <c r="G87" s="49">
        <v>481.6</v>
      </c>
      <c r="H87" s="49">
        <v>387.7</v>
      </c>
      <c r="I87" s="16">
        <v>511.4</v>
      </c>
      <c r="J87" s="16">
        <v>2142.3</v>
      </c>
      <c r="K87" s="17">
        <v>1961.6</v>
      </c>
      <c r="L87" s="19">
        <f t="shared" si="35"/>
        <v>142.07286159194612</v>
      </c>
      <c r="M87" s="17">
        <f t="shared" si="36"/>
        <v>55.67981833664491</v>
      </c>
      <c r="N87" s="17">
        <f t="shared" si="37"/>
        <v>64.88918293086338</v>
      </c>
    </row>
    <row r="88" spans="1:14" ht="12.75" hidden="1">
      <c r="A88" s="12" t="s">
        <v>10</v>
      </c>
      <c r="B88" s="26" t="s">
        <v>21</v>
      </c>
      <c r="C88" s="49"/>
      <c r="D88" s="69"/>
      <c r="E88" s="50">
        <f t="shared" si="39"/>
        <v>0</v>
      </c>
      <c r="F88" s="37">
        <f t="shared" si="38"/>
        <v>0</v>
      </c>
      <c r="G88" s="49"/>
      <c r="H88" s="49"/>
      <c r="I88" s="16"/>
      <c r="J88" s="16"/>
      <c r="K88" s="17"/>
      <c r="L88" s="19" t="e">
        <f t="shared" si="35"/>
        <v>#DIV/0!</v>
      </c>
      <c r="M88" s="17" t="e">
        <f t="shared" si="36"/>
        <v>#DIV/0!</v>
      </c>
      <c r="N88" s="17" t="e">
        <f t="shared" si="37"/>
        <v>#DIV/0!</v>
      </c>
    </row>
    <row r="89" spans="1:14" ht="26.25" customHeight="1">
      <c r="A89" s="13" t="s">
        <v>11</v>
      </c>
      <c r="B89" s="26" t="s">
        <v>17</v>
      </c>
      <c r="C89" s="49">
        <v>9780</v>
      </c>
      <c r="D89" s="69">
        <v>6037.7</v>
      </c>
      <c r="E89" s="50">
        <f t="shared" si="39"/>
        <v>7937.700000000001</v>
      </c>
      <c r="F89" s="37">
        <f t="shared" si="38"/>
        <v>3640.7000000000003</v>
      </c>
      <c r="G89" s="49">
        <v>623.8</v>
      </c>
      <c r="H89" s="49">
        <v>920.6</v>
      </c>
      <c r="I89" s="16">
        <v>2096.3</v>
      </c>
      <c r="J89" s="16">
        <v>4297</v>
      </c>
      <c r="K89" s="17">
        <v>6071.9</v>
      </c>
      <c r="L89" s="19">
        <f t="shared" si="35"/>
        <v>166.77836679759386</v>
      </c>
      <c r="M89" s="17">
        <f t="shared" si="36"/>
        <v>76.49445053352986</v>
      </c>
      <c r="N89" s="17">
        <f t="shared" si="37"/>
        <v>100.56644086324263</v>
      </c>
    </row>
    <row r="90" spans="1:14" ht="23.25" customHeight="1">
      <c r="A90" s="28" t="s">
        <v>40</v>
      </c>
      <c r="B90" s="26" t="s">
        <v>41</v>
      </c>
      <c r="C90" s="49">
        <v>207.2</v>
      </c>
      <c r="D90" s="69">
        <v>0</v>
      </c>
      <c r="E90" s="50">
        <f t="shared" si="39"/>
        <v>15.6</v>
      </c>
      <c r="F90" s="37">
        <f t="shared" si="38"/>
        <v>15.6</v>
      </c>
      <c r="G90" s="49"/>
      <c r="H90" s="49">
        <v>15.6</v>
      </c>
      <c r="I90" s="16"/>
      <c r="J90" s="16"/>
      <c r="K90" s="17">
        <v>46.1</v>
      </c>
      <c r="L90" s="19">
        <f aca="true" t="shared" si="40" ref="L90:L97">K90*100/F90</f>
        <v>295.5128205128205</v>
      </c>
      <c r="M90" s="17">
        <f aca="true" t="shared" si="41" ref="M90:M97">K90*100/E90</f>
        <v>295.5128205128205</v>
      </c>
      <c r="N90" s="17"/>
    </row>
    <row r="91" spans="1:14" ht="22.5">
      <c r="A91" s="27" t="s">
        <v>18</v>
      </c>
      <c r="B91" s="26" t="s">
        <v>15</v>
      </c>
      <c r="C91" s="49">
        <v>98.4</v>
      </c>
      <c r="D91" s="69">
        <v>64.8</v>
      </c>
      <c r="E91" s="50">
        <f t="shared" si="39"/>
        <v>1619.6000000000001</v>
      </c>
      <c r="F91" s="37">
        <f t="shared" si="38"/>
        <v>1333.1000000000001</v>
      </c>
      <c r="G91" s="49">
        <v>16.2</v>
      </c>
      <c r="H91" s="49">
        <v>16.2</v>
      </c>
      <c r="I91" s="16">
        <v>1300.7</v>
      </c>
      <c r="J91" s="16">
        <v>286.5</v>
      </c>
      <c r="K91" s="17">
        <v>1697.4</v>
      </c>
      <c r="L91" s="19">
        <f t="shared" si="40"/>
        <v>127.327282274398</v>
      </c>
      <c r="M91" s="17">
        <f t="shared" si="41"/>
        <v>104.80365522351197</v>
      </c>
      <c r="N91" s="17">
        <f>K91*100/D91</f>
        <v>2619.4444444444443</v>
      </c>
    </row>
    <row r="92" spans="1:14" ht="15.75" customHeight="1">
      <c r="A92" s="20" t="s">
        <v>12</v>
      </c>
      <c r="B92" s="26" t="s">
        <v>7</v>
      </c>
      <c r="C92" s="49">
        <v>6</v>
      </c>
      <c r="D92" s="69"/>
      <c r="E92" s="50">
        <f t="shared" si="39"/>
        <v>15</v>
      </c>
      <c r="F92" s="37">
        <f t="shared" si="38"/>
        <v>15</v>
      </c>
      <c r="G92" s="49"/>
      <c r="H92" s="49">
        <v>15</v>
      </c>
      <c r="I92" s="16"/>
      <c r="J92" s="16"/>
      <c r="K92" s="17">
        <v>20</v>
      </c>
      <c r="L92" s="19">
        <f t="shared" si="40"/>
        <v>133.33333333333334</v>
      </c>
      <c r="M92" s="17">
        <f t="shared" si="41"/>
        <v>133.33333333333334</v>
      </c>
      <c r="N92" s="17"/>
    </row>
    <row r="93" spans="1:14" ht="15" customHeight="1">
      <c r="A93" s="29" t="s">
        <v>37</v>
      </c>
      <c r="B93" s="15" t="s">
        <v>38</v>
      </c>
      <c r="C93" s="77">
        <v>7.3</v>
      </c>
      <c r="D93" s="69"/>
      <c r="E93" s="50">
        <f t="shared" si="39"/>
        <v>364.9</v>
      </c>
      <c r="F93" s="37">
        <f t="shared" si="38"/>
        <v>364.9</v>
      </c>
      <c r="G93" s="49"/>
      <c r="H93" s="49">
        <v>364.9</v>
      </c>
      <c r="I93" s="16"/>
      <c r="J93" s="16"/>
      <c r="K93" s="17">
        <v>359.9</v>
      </c>
      <c r="L93" s="19">
        <f t="shared" si="40"/>
        <v>98.62976157851467</v>
      </c>
      <c r="M93" s="17">
        <f t="shared" si="41"/>
        <v>98.62976157851467</v>
      </c>
      <c r="N93" s="17"/>
    </row>
    <row r="94" spans="1:14" ht="12.75" hidden="1">
      <c r="A94" s="29" t="s">
        <v>42</v>
      </c>
      <c r="B94" s="15" t="s">
        <v>43</v>
      </c>
      <c r="C94" s="77"/>
      <c r="D94" s="71"/>
      <c r="E94" s="15"/>
      <c r="F94" s="37">
        <f>G94+H94</f>
        <v>0</v>
      </c>
      <c r="G94" s="49"/>
      <c r="H94" s="49"/>
      <c r="I94" s="16" t="e">
        <f>J94+#REF!+#REF!+#REF!</f>
        <v>#REF!</v>
      </c>
      <c r="J94" s="16"/>
      <c r="K94" s="17"/>
      <c r="L94" s="25" t="e">
        <f t="shared" si="40"/>
        <v>#DIV/0!</v>
      </c>
      <c r="M94" s="22" t="e">
        <f t="shared" si="41"/>
        <v>#DIV/0!</v>
      </c>
      <c r="N94" s="17" t="e">
        <f>K94*100/D94</f>
        <v>#DIV/0!</v>
      </c>
    </row>
    <row r="95" spans="1:14" ht="19.5" customHeight="1">
      <c r="A95" s="23" t="s">
        <v>1</v>
      </c>
      <c r="B95" s="30" t="s">
        <v>0</v>
      </c>
      <c r="C95" s="70">
        <f>C96+C98+C97</f>
        <v>92779.2</v>
      </c>
      <c r="D95" s="70">
        <f>D96+D98+D97</f>
        <v>66514.3</v>
      </c>
      <c r="E95" s="70">
        <f aca="true" t="shared" si="42" ref="E95:K95">E96+E98+E97</f>
        <v>99624.1</v>
      </c>
      <c r="F95" s="70">
        <f t="shared" si="42"/>
        <v>78337.6</v>
      </c>
      <c r="G95" s="70">
        <f t="shared" si="42"/>
        <v>15079.1</v>
      </c>
      <c r="H95" s="70">
        <f t="shared" si="42"/>
        <v>31271.4</v>
      </c>
      <c r="I95" s="70">
        <f t="shared" si="42"/>
        <v>31987.1</v>
      </c>
      <c r="J95" s="70">
        <f t="shared" si="42"/>
        <v>21286.5</v>
      </c>
      <c r="K95" s="70">
        <f t="shared" si="42"/>
        <v>75266.2</v>
      </c>
      <c r="L95" s="25">
        <f t="shared" si="40"/>
        <v>96.07927738404035</v>
      </c>
      <c r="M95" s="22">
        <f t="shared" si="41"/>
        <v>75.55019317614914</v>
      </c>
      <c r="N95" s="22">
        <f>K95*100/D95</f>
        <v>113.15792243171768</v>
      </c>
    </row>
    <row r="96" spans="1:14" ht="26.25" customHeight="1">
      <c r="A96" s="66" t="s">
        <v>52</v>
      </c>
      <c r="B96" s="32" t="s">
        <v>20</v>
      </c>
      <c r="C96" s="49">
        <v>92779.2</v>
      </c>
      <c r="D96" s="69">
        <v>66514.3</v>
      </c>
      <c r="E96" s="50">
        <f>G96+H96+I96+J96</f>
        <v>99124.1</v>
      </c>
      <c r="F96" s="37">
        <f>G96+H96+I96</f>
        <v>77837.6</v>
      </c>
      <c r="G96" s="49">
        <v>15079.1</v>
      </c>
      <c r="H96" s="49">
        <v>30771.4</v>
      </c>
      <c r="I96" s="16">
        <v>31987.1</v>
      </c>
      <c r="J96" s="16">
        <v>21286.5</v>
      </c>
      <c r="K96" s="17">
        <v>74766.2</v>
      </c>
      <c r="L96" s="19">
        <f t="shared" si="40"/>
        <v>96.05409210972589</v>
      </c>
      <c r="M96" s="17">
        <f t="shared" si="41"/>
        <v>75.42686390090805</v>
      </c>
      <c r="N96" s="17">
        <f>K96*100/D96</f>
        <v>112.40620438011074</v>
      </c>
    </row>
    <row r="97" spans="1:14" ht="25.5" customHeight="1">
      <c r="A97" s="66" t="s">
        <v>68</v>
      </c>
      <c r="B97" s="32" t="s">
        <v>69</v>
      </c>
      <c r="C97" s="49"/>
      <c r="D97" s="69"/>
      <c r="E97" s="50">
        <f>G97+H97+I97+J97</f>
        <v>500</v>
      </c>
      <c r="F97" s="37">
        <f>G97+H97+I97</f>
        <v>500</v>
      </c>
      <c r="G97" s="49"/>
      <c r="H97" s="49">
        <v>500</v>
      </c>
      <c r="I97" s="16"/>
      <c r="J97" s="16"/>
      <c r="K97" s="17">
        <v>500</v>
      </c>
      <c r="L97" s="19">
        <f t="shared" si="40"/>
        <v>100</v>
      </c>
      <c r="M97" s="17">
        <f t="shared" si="41"/>
        <v>100</v>
      </c>
      <c r="N97" s="17"/>
    </row>
    <row r="98" spans="1:14" ht="17.25" customHeight="1" hidden="1">
      <c r="A98" s="14" t="s">
        <v>60</v>
      </c>
      <c r="B98" s="33" t="s">
        <v>19</v>
      </c>
      <c r="C98" s="33"/>
      <c r="D98" s="55"/>
      <c r="E98" s="50">
        <f>G98+H98+I98+J98</f>
        <v>0</v>
      </c>
      <c r="F98" s="37">
        <f>G98</f>
        <v>0</v>
      </c>
      <c r="G98" s="56"/>
      <c r="H98" s="56"/>
      <c r="I98" s="16"/>
      <c r="J98" s="16"/>
      <c r="K98" s="17"/>
      <c r="L98" s="19"/>
      <c r="M98" s="17"/>
      <c r="N98" s="17"/>
    </row>
    <row r="99" spans="1:14" ht="17.25" customHeight="1">
      <c r="A99" s="20"/>
      <c r="B99" s="21" t="s">
        <v>4</v>
      </c>
      <c r="C99" s="22">
        <f aca="true" t="shared" si="43" ref="C99:J99">C95+C83</f>
        <v>136866.5</v>
      </c>
      <c r="D99" s="22">
        <f t="shared" si="43"/>
        <v>98489.3</v>
      </c>
      <c r="E99" s="22">
        <f t="shared" si="43"/>
        <v>140429.9</v>
      </c>
      <c r="F99" s="22">
        <f t="shared" si="43"/>
        <v>102437.3</v>
      </c>
      <c r="G99" s="22">
        <f t="shared" si="43"/>
        <v>22808.1</v>
      </c>
      <c r="H99" s="22">
        <f t="shared" si="43"/>
        <v>37721.3</v>
      </c>
      <c r="I99" s="22">
        <f t="shared" si="43"/>
        <v>41907.899999999994</v>
      </c>
      <c r="J99" s="22">
        <f t="shared" si="43"/>
        <v>37992.6</v>
      </c>
      <c r="K99" s="22">
        <f>K95+K83</f>
        <v>108867.6</v>
      </c>
      <c r="L99" s="25">
        <f>K99*100/F99</f>
        <v>106.27730328698628</v>
      </c>
      <c r="M99" s="22">
        <f>K99*100/E99</f>
        <v>77.52451579044065</v>
      </c>
      <c r="N99" s="22">
        <f>K99*100/D99</f>
        <v>110.53748985930451</v>
      </c>
    </row>
    <row r="100" spans="1:14" ht="12.75">
      <c r="A100" s="180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25"/>
      <c r="M100" s="22"/>
      <c r="N100" s="17"/>
    </row>
    <row r="101" spans="1:14" ht="12.75">
      <c r="A101" s="185" t="s">
        <v>27</v>
      </c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</row>
    <row r="102" spans="1:14" ht="12.75">
      <c r="A102" s="23" t="s">
        <v>3</v>
      </c>
      <c r="B102" s="24" t="s">
        <v>53</v>
      </c>
      <c r="C102" s="68">
        <f>C103+C106+C110+C107+C108+C111+C109+C105+C104</f>
        <v>3730.3999999999996</v>
      </c>
      <c r="D102" s="68">
        <f>D103+D106+D110+D107+D108+D111+D109+D105+D104</f>
        <v>3312.4</v>
      </c>
      <c r="E102" s="25">
        <f aca="true" t="shared" si="44" ref="E102:J102">E103+E106+E110+E107+E108+E111+E109+E105+E104</f>
        <v>4517.5</v>
      </c>
      <c r="F102" s="25">
        <f t="shared" si="44"/>
        <v>3237.5</v>
      </c>
      <c r="G102" s="25">
        <f t="shared" si="44"/>
        <v>784.8</v>
      </c>
      <c r="H102" s="25">
        <f t="shared" si="44"/>
        <v>977.2</v>
      </c>
      <c r="I102" s="25">
        <f t="shared" si="44"/>
        <v>1475.5</v>
      </c>
      <c r="J102" s="25">
        <f t="shared" si="44"/>
        <v>1280</v>
      </c>
      <c r="K102" s="25">
        <f>K103+K106+K110+K107+K108+K111+K109+K105+K104</f>
        <v>4409.2</v>
      </c>
      <c r="L102" s="25">
        <f aca="true" t="shared" si="45" ref="L102:L108">K102*100/F102</f>
        <v>136.1915057915058</v>
      </c>
      <c r="M102" s="22">
        <f aca="true" t="shared" si="46" ref="M102:M109">K102*100/E102</f>
        <v>97.60265633646928</v>
      </c>
      <c r="N102" s="22">
        <f aca="true" t="shared" si="47" ref="N102:N108">K102*100/D102</f>
        <v>133.1119430020529</v>
      </c>
    </row>
    <row r="103" spans="1:14" ht="12.75">
      <c r="A103" s="12" t="s">
        <v>63</v>
      </c>
      <c r="B103" s="46" t="s">
        <v>64</v>
      </c>
      <c r="C103" s="64">
        <v>1465.1</v>
      </c>
      <c r="D103" s="69">
        <v>1300</v>
      </c>
      <c r="E103" s="50">
        <f>G103+H103+I103+J103</f>
        <v>2300</v>
      </c>
      <c r="F103" s="37">
        <f aca="true" t="shared" si="48" ref="F103:F113">G103+H103+I103</f>
        <v>1547</v>
      </c>
      <c r="G103" s="49">
        <v>325</v>
      </c>
      <c r="H103" s="49">
        <v>468</v>
      </c>
      <c r="I103" s="49">
        <v>754</v>
      </c>
      <c r="J103" s="49">
        <v>753</v>
      </c>
      <c r="K103" s="17">
        <v>2523.4</v>
      </c>
      <c r="L103" s="19">
        <f t="shared" si="45"/>
        <v>163.11570782159018</v>
      </c>
      <c r="M103" s="17">
        <f t="shared" si="46"/>
        <v>109.71304347826087</v>
      </c>
      <c r="N103" s="17">
        <f t="shared" si="47"/>
        <v>194.1076923076923</v>
      </c>
    </row>
    <row r="104" spans="1:14" ht="25.5" customHeight="1">
      <c r="A104" s="12" t="s">
        <v>62</v>
      </c>
      <c r="B104" s="26" t="s">
        <v>61</v>
      </c>
      <c r="C104" s="49">
        <v>1880.1</v>
      </c>
      <c r="D104" s="69">
        <v>1604.7</v>
      </c>
      <c r="E104" s="50">
        <f>G104+H104+I104+J104</f>
        <v>1604.6999999999998</v>
      </c>
      <c r="F104" s="37">
        <f t="shared" si="48"/>
        <v>1203.6</v>
      </c>
      <c r="G104" s="49">
        <v>401.2</v>
      </c>
      <c r="H104" s="49">
        <v>401.2</v>
      </c>
      <c r="I104" s="49">
        <v>401.2</v>
      </c>
      <c r="J104" s="49">
        <v>401.1</v>
      </c>
      <c r="K104" s="17">
        <v>1440.8</v>
      </c>
      <c r="L104" s="19">
        <f t="shared" si="45"/>
        <v>119.70754403456299</v>
      </c>
      <c r="M104" s="17">
        <f t="shared" si="46"/>
        <v>89.78625288215866</v>
      </c>
      <c r="N104" s="17">
        <f t="shared" si="47"/>
        <v>89.78625288215865</v>
      </c>
    </row>
    <row r="105" spans="1:14" ht="12.75" hidden="1">
      <c r="A105" s="12" t="s">
        <v>8</v>
      </c>
      <c r="B105" s="26" t="s">
        <v>5</v>
      </c>
      <c r="C105" s="49"/>
      <c r="D105" s="69"/>
      <c r="E105" s="50">
        <f>G105+H105+I105+J105</f>
        <v>0</v>
      </c>
      <c r="F105" s="37">
        <f t="shared" si="48"/>
        <v>0</v>
      </c>
      <c r="G105" s="49"/>
      <c r="H105" s="49"/>
      <c r="I105" s="16"/>
      <c r="J105" s="17"/>
      <c r="K105" s="17"/>
      <c r="L105" s="19" t="e">
        <f t="shared" si="45"/>
        <v>#DIV/0!</v>
      </c>
      <c r="M105" s="17" t="e">
        <f t="shared" si="46"/>
        <v>#DIV/0!</v>
      </c>
      <c r="N105" s="17" t="e">
        <f t="shared" si="47"/>
        <v>#DIV/0!</v>
      </c>
    </row>
    <row r="106" spans="1:14" ht="12.75">
      <c r="A106" s="12" t="s">
        <v>9</v>
      </c>
      <c r="B106" s="26" t="s">
        <v>6</v>
      </c>
      <c r="C106" s="49">
        <v>315</v>
      </c>
      <c r="D106" s="69">
        <v>261.2</v>
      </c>
      <c r="E106" s="50">
        <f aca="true" t="shared" si="49" ref="E106:E114">G106+H106+I106+J106</f>
        <v>261.2</v>
      </c>
      <c r="F106" s="37">
        <f t="shared" si="48"/>
        <v>171.9</v>
      </c>
      <c r="G106" s="49">
        <v>22.1</v>
      </c>
      <c r="H106" s="49">
        <v>71.4</v>
      </c>
      <c r="I106" s="16">
        <v>78.4</v>
      </c>
      <c r="J106" s="17">
        <v>89.3</v>
      </c>
      <c r="K106" s="17">
        <v>134.9</v>
      </c>
      <c r="L106" s="19">
        <f t="shared" si="45"/>
        <v>78.47585805700989</v>
      </c>
      <c r="M106" s="17">
        <f t="shared" si="46"/>
        <v>51.64624808575804</v>
      </c>
      <c r="N106" s="17">
        <f t="shared" si="47"/>
        <v>51.64624808575804</v>
      </c>
    </row>
    <row r="107" spans="1:14" ht="12.75">
      <c r="A107" s="12" t="s">
        <v>10</v>
      </c>
      <c r="B107" s="26" t="s">
        <v>21</v>
      </c>
      <c r="C107" s="49">
        <v>0.7</v>
      </c>
      <c r="D107" s="69">
        <v>1.5</v>
      </c>
      <c r="E107" s="50">
        <f t="shared" si="49"/>
        <v>1.5</v>
      </c>
      <c r="F107" s="37">
        <f t="shared" si="48"/>
        <v>1.1</v>
      </c>
      <c r="G107" s="49">
        <v>0.2</v>
      </c>
      <c r="H107" s="49">
        <v>0.4</v>
      </c>
      <c r="I107" s="16">
        <v>0.5</v>
      </c>
      <c r="J107" s="17">
        <v>0.4</v>
      </c>
      <c r="K107" s="17">
        <v>0.6</v>
      </c>
      <c r="L107" s="19">
        <f t="shared" si="45"/>
        <v>54.54545454545454</v>
      </c>
      <c r="M107" s="17">
        <f t="shared" si="46"/>
        <v>40</v>
      </c>
      <c r="N107" s="17">
        <f t="shared" si="47"/>
        <v>40</v>
      </c>
    </row>
    <row r="108" spans="1:14" ht="22.5">
      <c r="A108" s="13" t="s">
        <v>11</v>
      </c>
      <c r="B108" s="26" t="s">
        <v>17</v>
      </c>
      <c r="C108" s="49">
        <v>69.5</v>
      </c>
      <c r="D108" s="69">
        <v>145</v>
      </c>
      <c r="E108" s="50">
        <f t="shared" si="49"/>
        <v>145</v>
      </c>
      <c r="F108" s="37">
        <f t="shared" si="48"/>
        <v>108.8</v>
      </c>
      <c r="G108" s="49">
        <v>36.3</v>
      </c>
      <c r="H108" s="49">
        <v>36.2</v>
      </c>
      <c r="I108" s="16">
        <v>36.3</v>
      </c>
      <c r="J108" s="17">
        <v>36.2</v>
      </c>
      <c r="K108" s="17">
        <v>104.4</v>
      </c>
      <c r="L108" s="19">
        <f t="shared" si="45"/>
        <v>95.95588235294117</v>
      </c>
      <c r="M108" s="17">
        <f t="shared" si="46"/>
        <v>72</v>
      </c>
      <c r="N108" s="17">
        <f t="shared" si="47"/>
        <v>72</v>
      </c>
    </row>
    <row r="109" spans="1:14" ht="21" customHeight="1">
      <c r="A109" s="28" t="s">
        <v>40</v>
      </c>
      <c r="B109" s="26" t="s">
        <v>41</v>
      </c>
      <c r="C109" s="49">
        <v>5</v>
      </c>
      <c r="D109" s="69"/>
      <c r="E109" s="50">
        <f t="shared" si="49"/>
        <v>205.1</v>
      </c>
      <c r="F109" s="37">
        <f t="shared" si="48"/>
        <v>205.1</v>
      </c>
      <c r="G109" s="49"/>
      <c r="H109" s="49"/>
      <c r="I109" s="16">
        <v>205.1</v>
      </c>
      <c r="J109" s="17"/>
      <c r="K109" s="17">
        <v>205.1</v>
      </c>
      <c r="L109" s="19"/>
      <c r="M109" s="17">
        <f t="shared" si="46"/>
        <v>100</v>
      </c>
      <c r="N109" s="17"/>
    </row>
    <row r="110" spans="1:14" ht="17.25" customHeight="1" hidden="1">
      <c r="A110" s="20" t="s">
        <v>12</v>
      </c>
      <c r="B110" s="65" t="s">
        <v>7</v>
      </c>
      <c r="C110" s="78"/>
      <c r="D110" s="69"/>
      <c r="E110" s="50">
        <f t="shared" si="49"/>
        <v>0</v>
      </c>
      <c r="F110" s="37">
        <f t="shared" si="48"/>
        <v>0</v>
      </c>
      <c r="G110" s="49"/>
      <c r="H110" s="49"/>
      <c r="I110" s="16"/>
      <c r="J110" s="17"/>
      <c r="K110" s="17"/>
      <c r="L110" s="19"/>
      <c r="M110" s="17"/>
      <c r="N110" s="17"/>
    </row>
    <row r="111" spans="1:14" ht="15.75" customHeight="1">
      <c r="A111" s="28" t="s">
        <v>37</v>
      </c>
      <c r="B111" s="15" t="s">
        <v>38</v>
      </c>
      <c r="C111" s="77">
        <v>-5</v>
      </c>
      <c r="D111" s="69"/>
      <c r="E111" s="50">
        <f t="shared" si="49"/>
        <v>0</v>
      </c>
      <c r="F111" s="37">
        <f t="shared" si="48"/>
        <v>0</v>
      </c>
      <c r="G111" s="49"/>
      <c r="H111" s="49"/>
      <c r="I111" s="16"/>
      <c r="J111" s="17"/>
      <c r="K111" s="17"/>
      <c r="L111" s="25"/>
      <c r="M111" s="22"/>
      <c r="N111" s="17"/>
    </row>
    <row r="112" spans="1:14" ht="17.25" customHeight="1">
      <c r="A112" s="53" t="s">
        <v>1</v>
      </c>
      <c r="B112" s="30" t="s">
        <v>0</v>
      </c>
      <c r="C112" s="70">
        <f>C113+C114</f>
        <v>37147.6</v>
      </c>
      <c r="D112" s="70">
        <f>D113+D114</f>
        <v>25131.3</v>
      </c>
      <c r="E112" s="31">
        <f aca="true" t="shared" si="50" ref="E112:K112">E113+E114</f>
        <v>28984.7</v>
      </c>
      <c r="F112" s="31">
        <f t="shared" si="50"/>
        <v>22704.4</v>
      </c>
      <c r="G112" s="31">
        <f t="shared" si="50"/>
        <v>6394.8</v>
      </c>
      <c r="H112" s="31">
        <f t="shared" si="50"/>
        <v>8098</v>
      </c>
      <c r="I112" s="31">
        <f t="shared" si="50"/>
        <v>8211.6</v>
      </c>
      <c r="J112" s="31">
        <f t="shared" si="50"/>
        <v>6280.3</v>
      </c>
      <c r="K112" s="31">
        <f t="shared" si="50"/>
        <v>24207.4</v>
      </c>
      <c r="L112" s="25">
        <f>K112*100/F112</f>
        <v>106.6198622293476</v>
      </c>
      <c r="M112" s="22">
        <f>K112*100/E112</f>
        <v>83.51785597228883</v>
      </c>
      <c r="N112" s="22">
        <f>K112*100/D112</f>
        <v>96.32370788618178</v>
      </c>
    </row>
    <row r="113" spans="1:14" ht="24" customHeight="1">
      <c r="A113" s="14" t="s">
        <v>52</v>
      </c>
      <c r="B113" s="32" t="s">
        <v>20</v>
      </c>
      <c r="C113" s="49">
        <v>37139.2</v>
      </c>
      <c r="D113" s="69">
        <v>25131.3</v>
      </c>
      <c r="E113" s="50">
        <f>G113+H113+I113+J113</f>
        <v>28984.7</v>
      </c>
      <c r="F113" s="37">
        <f t="shared" si="48"/>
        <v>22704.4</v>
      </c>
      <c r="G113" s="49">
        <v>6394.8</v>
      </c>
      <c r="H113" s="49">
        <v>8098</v>
      </c>
      <c r="I113" s="16">
        <v>8211.6</v>
      </c>
      <c r="J113" s="17">
        <v>6280.3</v>
      </c>
      <c r="K113" s="17">
        <v>24207.4</v>
      </c>
      <c r="L113" s="19">
        <f>K113*100/F113</f>
        <v>106.6198622293476</v>
      </c>
      <c r="M113" s="17">
        <f>K113*100/E113</f>
        <v>83.51785597228883</v>
      </c>
      <c r="N113" s="17">
        <f>K113*100/D113</f>
        <v>96.32370788618178</v>
      </c>
    </row>
    <row r="114" spans="1:14" ht="12" customHeight="1" hidden="1">
      <c r="A114" s="66" t="s">
        <v>60</v>
      </c>
      <c r="B114" s="33" t="s">
        <v>19</v>
      </c>
      <c r="C114" s="56">
        <v>8.4</v>
      </c>
      <c r="D114" s="69"/>
      <c r="E114" s="50">
        <f t="shared" si="49"/>
        <v>0</v>
      </c>
      <c r="F114" s="37">
        <f>G114</f>
        <v>0</v>
      </c>
      <c r="G114" s="56"/>
      <c r="H114" s="56"/>
      <c r="I114" s="16"/>
      <c r="J114" s="17"/>
      <c r="K114" s="17"/>
      <c r="L114" s="25"/>
      <c r="M114" s="22"/>
      <c r="N114" s="17"/>
    </row>
    <row r="115" spans="1:14" ht="12.75" customHeight="1">
      <c r="A115" s="20"/>
      <c r="B115" s="21" t="s">
        <v>4</v>
      </c>
      <c r="C115" s="72">
        <f>C112+C102</f>
        <v>40878</v>
      </c>
      <c r="D115" s="72">
        <f>D112+D102</f>
        <v>28443.7</v>
      </c>
      <c r="E115" s="22">
        <f aca="true" t="shared" si="51" ref="E115:J115">E112+E102</f>
        <v>33502.2</v>
      </c>
      <c r="F115" s="52">
        <f t="shared" si="51"/>
        <v>25941.9</v>
      </c>
      <c r="G115" s="52">
        <f t="shared" si="51"/>
        <v>7179.6</v>
      </c>
      <c r="H115" s="52">
        <f>H112+H102</f>
        <v>9075.2</v>
      </c>
      <c r="I115" s="22">
        <f t="shared" si="51"/>
        <v>9687.1</v>
      </c>
      <c r="J115" s="22">
        <f t="shared" si="51"/>
        <v>7560.3</v>
      </c>
      <c r="K115" s="22">
        <f>K112+K102</f>
        <v>28616.600000000002</v>
      </c>
      <c r="L115" s="25">
        <f>K115*100/F115</f>
        <v>110.3103473531237</v>
      </c>
      <c r="M115" s="22">
        <f>K115*100/E115</f>
        <v>85.41707708747487</v>
      </c>
      <c r="N115" s="22">
        <f>K115*100/D115</f>
        <v>100.60786747153148</v>
      </c>
    </row>
    <row r="116" spans="1:14" ht="12.75">
      <c r="A116" s="180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25"/>
      <c r="M116" s="22"/>
      <c r="N116" s="17"/>
    </row>
    <row r="117" spans="1:14" ht="12.75">
      <c r="A117" s="185" t="s">
        <v>28</v>
      </c>
      <c r="B117" s="186"/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</row>
    <row r="118" spans="1:14" ht="12.75">
      <c r="A118" s="23" t="s">
        <v>3</v>
      </c>
      <c r="B118" s="24" t="s">
        <v>53</v>
      </c>
      <c r="C118" s="68">
        <f>C119+C123+C127+C124+C125+C128+C126+C129+C120+C121+C122</f>
        <v>7621.5</v>
      </c>
      <c r="D118" s="68">
        <f>D119+D123+D127+D124+D125+D128+D126+D129+D120+D121+D122</f>
        <v>5709.200000000001</v>
      </c>
      <c r="E118" s="25">
        <f aca="true" t="shared" si="52" ref="E118:J118">E119+E123+E127+E124+E125+E128+E126+E129+E120+E121+E122</f>
        <v>9987.1</v>
      </c>
      <c r="F118" s="25">
        <f t="shared" si="52"/>
        <v>8521.199999999999</v>
      </c>
      <c r="G118" s="25">
        <f t="shared" si="52"/>
        <v>1382.7</v>
      </c>
      <c r="H118" s="25">
        <f t="shared" si="52"/>
        <v>3668.1</v>
      </c>
      <c r="I118" s="25">
        <f t="shared" si="52"/>
        <v>3470.4</v>
      </c>
      <c r="J118" s="25">
        <f t="shared" si="52"/>
        <v>1465.9</v>
      </c>
      <c r="K118" s="25">
        <f>K119+K123+K127+K124+K125+K128+K126+K129+K120+K121+K122</f>
        <v>9645.3</v>
      </c>
      <c r="L118" s="25">
        <f aca="true" t="shared" si="53" ref="L118:L125">K118*100/F118</f>
        <v>113.19180397127165</v>
      </c>
      <c r="M118" s="22">
        <f aca="true" t="shared" si="54" ref="M118:M125">K118*100/E118</f>
        <v>96.57758508475932</v>
      </c>
      <c r="N118" s="22">
        <f aca="true" t="shared" si="55" ref="N118:N125">K118*100/D118</f>
        <v>168.9431093673369</v>
      </c>
    </row>
    <row r="119" spans="1:14" ht="12.75">
      <c r="A119" s="12" t="s">
        <v>63</v>
      </c>
      <c r="B119" s="46" t="s">
        <v>64</v>
      </c>
      <c r="C119" s="64">
        <v>2752.7</v>
      </c>
      <c r="D119" s="69">
        <v>1520</v>
      </c>
      <c r="E119" s="50">
        <f>G119+H119+I119+J119</f>
        <v>5700</v>
      </c>
      <c r="F119" s="37">
        <f aca="true" t="shared" si="56" ref="F119:F131">G119+H119+I119</f>
        <v>5310</v>
      </c>
      <c r="G119" s="50">
        <v>360</v>
      </c>
      <c r="H119" s="50">
        <v>2560</v>
      </c>
      <c r="I119" s="17">
        <v>2390</v>
      </c>
      <c r="J119" s="17">
        <v>390</v>
      </c>
      <c r="K119" s="17">
        <v>6018</v>
      </c>
      <c r="L119" s="19">
        <f t="shared" si="53"/>
        <v>113.33333333333333</v>
      </c>
      <c r="M119" s="17">
        <f t="shared" si="54"/>
        <v>105.57894736842105</v>
      </c>
      <c r="N119" s="17">
        <f t="shared" si="55"/>
        <v>395.92105263157896</v>
      </c>
    </row>
    <row r="120" spans="1:14" ht="22.5" hidden="1">
      <c r="A120" s="12" t="s">
        <v>62</v>
      </c>
      <c r="B120" s="26" t="s">
        <v>61</v>
      </c>
      <c r="C120" s="49"/>
      <c r="D120" s="69"/>
      <c r="E120" s="50">
        <f>G120+H120+I120+J120</f>
        <v>0</v>
      </c>
      <c r="F120" s="37">
        <f t="shared" si="56"/>
        <v>0</v>
      </c>
      <c r="G120" s="50"/>
      <c r="H120" s="50"/>
      <c r="I120" s="17"/>
      <c r="J120" s="17"/>
      <c r="K120" s="17"/>
      <c r="L120" s="19" t="e">
        <f t="shared" si="53"/>
        <v>#DIV/0!</v>
      </c>
      <c r="M120" s="17" t="e">
        <f t="shared" si="54"/>
        <v>#DIV/0!</v>
      </c>
      <c r="N120" s="17" t="e">
        <f t="shared" si="55"/>
        <v>#DIV/0!</v>
      </c>
    </row>
    <row r="121" spans="1:14" ht="26.25" customHeight="1">
      <c r="A121" s="12" t="s">
        <v>62</v>
      </c>
      <c r="B121" s="26" t="s">
        <v>61</v>
      </c>
      <c r="C121" s="49">
        <v>4073.5</v>
      </c>
      <c r="D121" s="69">
        <v>3480.4</v>
      </c>
      <c r="E121" s="50">
        <f>G121+H121+I121+J121</f>
        <v>3480.4</v>
      </c>
      <c r="F121" s="37">
        <f t="shared" si="56"/>
        <v>2599.5</v>
      </c>
      <c r="G121" s="50">
        <v>848.5</v>
      </c>
      <c r="H121" s="50">
        <v>870.5</v>
      </c>
      <c r="I121" s="17">
        <v>880.5</v>
      </c>
      <c r="J121" s="17">
        <v>880.9</v>
      </c>
      <c r="K121" s="17">
        <v>3124.8</v>
      </c>
      <c r="L121" s="19">
        <f t="shared" si="53"/>
        <v>120.20773225620312</v>
      </c>
      <c r="M121" s="17">
        <f t="shared" si="54"/>
        <v>89.78278358809332</v>
      </c>
      <c r="N121" s="17">
        <f t="shared" si="55"/>
        <v>89.78278358809332</v>
      </c>
    </row>
    <row r="122" spans="1:14" ht="16.5" customHeight="1">
      <c r="A122" s="12" t="s">
        <v>8</v>
      </c>
      <c r="B122" s="26" t="s">
        <v>5</v>
      </c>
      <c r="C122" s="49">
        <v>9</v>
      </c>
      <c r="D122" s="69">
        <v>5</v>
      </c>
      <c r="E122" s="50">
        <f>G122+H122+I122+J122</f>
        <v>84.9</v>
      </c>
      <c r="F122" s="37">
        <f t="shared" si="56"/>
        <v>84.9</v>
      </c>
      <c r="G122" s="50">
        <v>5</v>
      </c>
      <c r="H122" s="50">
        <v>49.9</v>
      </c>
      <c r="I122" s="17">
        <v>30</v>
      </c>
      <c r="J122" s="17"/>
      <c r="K122" s="17">
        <v>84.9</v>
      </c>
      <c r="L122" s="19">
        <f t="shared" si="53"/>
        <v>100</v>
      </c>
      <c r="M122" s="17">
        <f t="shared" si="54"/>
        <v>100</v>
      </c>
      <c r="N122" s="17">
        <f t="shared" si="55"/>
        <v>1698</v>
      </c>
    </row>
    <row r="123" spans="1:14" ht="12.75">
      <c r="A123" s="12" t="s">
        <v>9</v>
      </c>
      <c r="B123" s="26" t="s">
        <v>6</v>
      </c>
      <c r="C123" s="49">
        <v>269.4</v>
      </c>
      <c r="D123" s="69">
        <v>223</v>
      </c>
      <c r="E123" s="50">
        <f aca="true" t="shared" si="57" ref="E123:E131">G123+H123+I123+J123</f>
        <v>223</v>
      </c>
      <c r="F123" s="37">
        <f t="shared" si="56"/>
        <v>148.5</v>
      </c>
      <c r="G123" s="50">
        <v>49.5</v>
      </c>
      <c r="H123" s="50">
        <v>49.5</v>
      </c>
      <c r="I123" s="17">
        <v>49.5</v>
      </c>
      <c r="J123" s="17">
        <v>74.5</v>
      </c>
      <c r="K123" s="17">
        <v>56.9</v>
      </c>
      <c r="L123" s="19">
        <f t="shared" si="53"/>
        <v>38.31649831649832</v>
      </c>
      <c r="M123" s="17">
        <f t="shared" si="54"/>
        <v>25.515695067264573</v>
      </c>
      <c r="N123" s="17">
        <f t="shared" si="55"/>
        <v>25.515695067264573</v>
      </c>
    </row>
    <row r="124" spans="1:14" ht="12.75">
      <c r="A124" s="12" t="s">
        <v>10</v>
      </c>
      <c r="B124" s="26" t="s">
        <v>21</v>
      </c>
      <c r="C124" s="49">
        <v>20.7</v>
      </c>
      <c r="D124" s="69">
        <v>13.5</v>
      </c>
      <c r="E124" s="50">
        <f t="shared" si="57"/>
        <v>13.5</v>
      </c>
      <c r="F124" s="37">
        <f t="shared" si="56"/>
        <v>10</v>
      </c>
      <c r="G124" s="50">
        <v>3</v>
      </c>
      <c r="H124" s="50">
        <v>3.5</v>
      </c>
      <c r="I124" s="50">
        <v>3.5</v>
      </c>
      <c r="J124" s="50">
        <v>3.5</v>
      </c>
      <c r="K124" s="17">
        <v>12.2</v>
      </c>
      <c r="L124" s="19">
        <f t="shared" si="53"/>
        <v>122</v>
      </c>
      <c r="M124" s="17">
        <f t="shared" si="54"/>
        <v>90.37037037037037</v>
      </c>
      <c r="N124" s="17">
        <f t="shared" si="55"/>
        <v>90.37037037037037</v>
      </c>
    </row>
    <row r="125" spans="1:14" ht="23.25" customHeight="1">
      <c r="A125" s="13" t="s">
        <v>11</v>
      </c>
      <c r="B125" s="26" t="s">
        <v>17</v>
      </c>
      <c r="C125" s="49">
        <v>489.1</v>
      </c>
      <c r="D125" s="69">
        <v>467.3</v>
      </c>
      <c r="E125" s="50">
        <f t="shared" si="57"/>
        <v>467.3</v>
      </c>
      <c r="F125" s="37">
        <f t="shared" si="56"/>
        <v>350.3</v>
      </c>
      <c r="G125" s="50">
        <v>116.7</v>
      </c>
      <c r="H125" s="50">
        <v>116.7</v>
      </c>
      <c r="I125" s="17">
        <v>116.9</v>
      </c>
      <c r="J125" s="17">
        <v>117</v>
      </c>
      <c r="K125" s="17">
        <v>330.3</v>
      </c>
      <c r="L125" s="19">
        <f t="shared" si="53"/>
        <v>94.29060805024264</v>
      </c>
      <c r="M125" s="17">
        <f t="shared" si="54"/>
        <v>70.6826449818104</v>
      </c>
      <c r="N125" s="17">
        <f t="shared" si="55"/>
        <v>70.6826449818104</v>
      </c>
    </row>
    <row r="126" spans="1:14" ht="27.75" customHeight="1" hidden="1">
      <c r="A126" s="28" t="s">
        <v>40</v>
      </c>
      <c r="B126" s="26" t="s">
        <v>41</v>
      </c>
      <c r="C126" s="49"/>
      <c r="D126" s="69"/>
      <c r="E126" s="50">
        <f t="shared" si="57"/>
        <v>0</v>
      </c>
      <c r="F126" s="37">
        <f t="shared" si="56"/>
        <v>0</v>
      </c>
      <c r="G126" s="50"/>
      <c r="H126" s="50"/>
      <c r="I126" s="17"/>
      <c r="J126" s="17"/>
      <c r="K126" s="17"/>
      <c r="L126" s="19" t="e">
        <f>K126*100/F126</f>
        <v>#DIV/0!</v>
      </c>
      <c r="M126" s="17" t="e">
        <f>K126*100/E126</f>
        <v>#DIV/0!</v>
      </c>
      <c r="N126" s="17"/>
    </row>
    <row r="127" spans="1:14" ht="26.25" customHeight="1">
      <c r="A127" s="27" t="s">
        <v>18</v>
      </c>
      <c r="B127" s="26" t="s">
        <v>15</v>
      </c>
      <c r="C127" s="49"/>
      <c r="D127" s="69"/>
      <c r="E127" s="50">
        <f t="shared" si="57"/>
        <v>18</v>
      </c>
      <c r="F127" s="37">
        <f t="shared" si="56"/>
        <v>18</v>
      </c>
      <c r="G127" s="50"/>
      <c r="H127" s="50">
        <v>18</v>
      </c>
      <c r="I127" s="17"/>
      <c r="J127" s="17"/>
      <c r="K127" s="17">
        <v>18</v>
      </c>
      <c r="L127" s="19">
        <f>K127*100/F127</f>
        <v>100</v>
      </c>
      <c r="M127" s="17">
        <f>K127*100/E127</f>
        <v>100</v>
      </c>
      <c r="N127" s="17"/>
    </row>
    <row r="128" spans="1:14" ht="22.5" customHeight="1" hidden="1">
      <c r="A128" s="20" t="s">
        <v>12</v>
      </c>
      <c r="B128" s="26" t="s">
        <v>7</v>
      </c>
      <c r="C128" s="49">
        <v>7.1</v>
      </c>
      <c r="D128" s="69"/>
      <c r="E128" s="50">
        <f t="shared" si="57"/>
        <v>0</v>
      </c>
      <c r="F128" s="37">
        <f t="shared" si="56"/>
        <v>0</v>
      </c>
      <c r="G128" s="50"/>
      <c r="H128" s="50"/>
      <c r="I128" s="17"/>
      <c r="J128" s="17"/>
      <c r="K128" s="17"/>
      <c r="L128" s="25" t="e">
        <f>K128*100/F128</f>
        <v>#DIV/0!</v>
      </c>
      <c r="M128" s="22"/>
      <c r="N128" s="17"/>
    </row>
    <row r="129" spans="1:14" ht="13.5" customHeight="1">
      <c r="A129" s="27" t="s">
        <v>37</v>
      </c>
      <c r="B129" s="15" t="s">
        <v>38</v>
      </c>
      <c r="C129" s="77"/>
      <c r="D129" s="69"/>
      <c r="E129" s="50">
        <f t="shared" si="57"/>
        <v>0</v>
      </c>
      <c r="F129" s="37">
        <f t="shared" si="56"/>
        <v>0</v>
      </c>
      <c r="G129" s="50"/>
      <c r="H129" s="50"/>
      <c r="I129" s="17"/>
      <c r="J129" s="17"/>
      <c r="K129" s="17">
        <v>0.2</v>
      </c>
      <c r="L129" s="25"/>
      <c r="M129" s="22"/>
      <c r="N129" s="17"/>
    </row>
    <row r="130" spans="1:14" ht="18" customHeight="1">
      <c r="A130" s="23" t="s">
        <v>1</v>
      </c>
      <c r="B130" s="30" t="s">
        <v>0</v>
      </c>
      <c r="C130" s="70">
        <f>C131+C132</f>
        <v>44173.6</v>
      </c>
      <c r="D130" s="70">
        <f aca="true" t="shared" si="58" ref="D130:K130">D131+D132</f>
        <v>28919.7</v>
      </c>
      <c r="E130" s="70">
        <f t="shared" si="58"/>
        <v>35148.200000000004</v>
      </c>
      <c r="F130" s="70">
        <f t="shared" si="58"/>
        <v>27981.9</v>
      </c>
      <c r="G130" s="70">
        <f t="shared" si="58"/>
        <v>7388.1</v>
      </c>
      <c r="H130" s="70">
        <f t="shared" si="58"/>
        <v>10891.4</v>
      </c>
      <c r="I130" s="70">
        <f t="shared" si="58"/>
        <v>9702.4</v>
      </c>
      <c r="J130" s="70">
        <f t="shared" si="58"/>
        <v>7166.3</v>
      </c>
      <c r="K130" s="70">
        <f t="shared" si="58"/>
        <v>27556.9</v>
      </c>
      <c r="L130" s="25">
        <f>K130*100/F130</f>
        <v>98.48116103624128</v>
      </c>
      <c r="M130" s="22">
        <f>K130*100/E130</f>
        <v>78.40202343220989</v>
      </c>
      <c r="N130" s="22">
        <f>K130*100/D130</f>
        <v>95.28764129641732</v>
      </c>
    </row>
    <row r="131" spans="1:14" ht="23.25" customHeight="1">
      <c r="A131" s="66" t="s">
        <v>52</v>
      </c>
      <c r="B131" s="32" t="s">
        <v>20</v>
      </c>
      <c r="C131" s="49">
        <v>43820.2</v>
      </c>
      <c r="D131" s="69">
        <v>28919.7</v>
      </c>
      <c r="E131" s="50">
        <f t="shared" si="57"/>
        <v>35148.200000000004</v>
      </c>
      <c r="F131" s="37">
        <f t="shared" si="56"/>
        <v>27981.9</v>
      </c>
      <c r="G131" s="50">
        <v>7388.1</v>
      </c>
      <c r="H131" s="50">
        <v>10891.4</v>
      </c>
      <c r="I131" s="17">
        <v>9702.4</v>
      </c>
      <c r="J131" s="17">
        <v>7166.3</v>
      </c>
      <c r="K131" s="17">
        <v>27556.9</v>
      </c>
      <c r="L131" s="19">
        <f>K131*100/F131</f>
        <v>98.48116103624128</v>
      </c>
      <c r="M131" s="17">
        <f>K131*100/E131</f>
        <v>78.40202343220989</v>
      </c>
      <c r="N131" s="17">
        <f>K131*100/D131</f>
        <v>95.28764129641732</v>
      </c>
    </row>
    <row r="132" spans="1:14" ht="11.25" customHeight="1" hidden="1">
      <c r="A132" s="66" t="s">
        <v>68</v>
      </c>
      <c r="B132" s="32" t="s">
        <v>69</v>
      </c>
      <c r="C132" s="49">
        <v>353.4</v>
      </c>
      <c r="D132" s="69"/>
      <c r="E132" s="50"/>
      <c r="F132" s="37"/>
      <c r="G132" s="50"/>
      <c r="H132" s="50"/>
      <c r="I132" s="17"/>
      <c r="J132" s="17"/>
      <c r="K132" s="17"/>
      <c r="L132" s="19"/>
      <c r="M132" s="17"/>
      <c r="N132" s="17"/>
    </row>
    <row r="133" spans="1:14" ht="14.25" customHeight="1">
      <c r="A133" s="20"/>
      <c r="B133" s="21" t="s">
        <v>4</v>
      </c>
      <c r="C133" s="52">
        <f aca="true" t="shared" si="59" ref="C133:K133">C130+C118</f>
        <v>51795.1</v>
      </c>
      <c r="D133" s="22">
        <f t="shared" si="59"/>
        <v>34628.9</v>
      </c>
      <c r="E133" s="22">
        <f t="shared" si="59"/>
        <v>45135.3</v>
      </c>
      <c r="F133" s="22">
        <f t="shared" si="59"/>
        <v>36503.1</v>
      </c>
      <c r="G133" s="22">
        <f t="shared" si="59"/>
        <v>8770.800000000001</v>
      </c>
      <c r="H133" s="22">
        <f t="shared" si="59"/>
        <v>14559.5</v>
      </c>
      <c r="I133" s="22">
        <f t="shared" si="59"/>
        <v>13172.8</v>
      </c>
      <c r="J133" s="22">
        <f t="shared" si="59"/>
        <v>8632.2</v>
      </c>
      <c r="K133" s="22">
        <f t="shared" si="59"/>
        <v>37202.2</v>
      </c>
      <c r="L133" s="25">
        <f>K133*100/F133</f>
        <v>101.91517980664655</v>
      </c>
      <c r="M133" s="22">
        <f>K133*100/E133</f>
        <v>82.42373485941158</v>
      </c>
      <c r="N133" s="22">
        <f>K133*100/D133</f>
        <v>107.43107635529859</v>
      </c>
    </row>
    <row r="134" spans="1:14" ht="12.75">
      <c r="A134" s="180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25"/>
      <c r="M134" s="22"/>
      <c r="N134" s="17"/>
    </row>
    <row r="135" spans="1:14" ht="12.75">
      <c r="A135" s="185" t="s">
        <v>29</v>
      </c>
      <c r="B135" s="186"/>
      <c r="C135" s="186"/>
      <c r="D135" s="186"/>
      <c r="E135" s="186"/>
      <c r="F135" s="186"/>
      <c r="G135" s="186"/>
      <c r="H135" s="186"/>
      <c r="I135" s="186"/>
      <c r="J135" s="186"/>
      <c r="K135" s="186"/>
      <c r="L135" s="186"/>
      <c r="M135" s="186"/>
      <c r="N135" s="186"/>
    </row>
    <row r="136" spans="1:14" ht="12.75">
      <c r="A136" s="23" t="s">
        <v>3</v>
      </c>
      <c r="B136" s="80" t="s">
        <v>53</v>
      </c>
      <c r="C136" s="72">
        <f>C137+C140+C141+C142+C144+C146+C143+C145+C138+C139</f>
        <v>13321.5</v>
      </c>
      <c r="D136" s="68">
        <f>D137+D140+D141+D142+D144+D146+D143+D145+D138+D139</f>
        <v>11465.6</v>
      </c>
      <c r="E136" s="68">
        <f aca="true" t="shared" si="60" ref="E136:J136">E137+E140+E141+E142+E144+E146+E143+E145+E138+E139</f>
        <v>13691.7</v>
      </c>
      <c r="F136" s="68">
        <f t="shared" si="60"/>
        <v>10821</v>
      </c>
      <c r="G136" s="68">
        <f t="shared" si="60"/>
        <v>2864.7</v>
      </c>
      <c r="H136" s="68">
        <f t="shared" si="60"/>
        <v>2864.6</v>
      </c>
      <c r="I136" s="68">
        <f t="shared" si="60"/>
        <v>5091.7</v>
      </c>
      <c r="J136" s="68">
        <f t="shared" si="60"/>
        <v>2870.7</v>
      </c>
      <c r="K136" s="68">
        <f>K137+K140+K141+K142+K144+K146+K143+K145+K138+K139+0.1</f>
        <v>12051.300000000001</v>
      </c>
      <c r="L136" s="25">
        <f aca="true" t="shared" si="61" ref="L136:L143">K136*100/F136</f>
        <v>111.369559190463</v>
      </c>
      <c r="M136" s="22">
        <f aca="true" t="shared" si="62" ref="M136:M145">K136*100/E136</f>
        <v>88.01901882162186</v>
      </c>
      <c r="N136" s="22">
        <f aca="true" t="shared" si="63" ref="N136:N142">K136*100/D136</f>
        <v>105.10832403014234</v>
      </c>
    </row>
    <row r="137" spans="1:14" ht="12.75">
      <c r="A137" s="12" t="s">
        <v>63</v>
      </c>
      <c r="B137" s="73" t="s">
        <v>64</v>
      </c>
      <c r="C137" s="50">
        <v>3036.4</v>
      </c>
      <c r="D137" s="69">
        <v>3175</v>
      </c>
      <c r="E137" s="50">
        <f>G137+H137+I137+J137</f>
        <v>3175</v>
      </c>
      <c r="F137" s="37">
        <f aca="true" t="shared" si="64" ref="F137:F148">G137+H137+I137</f>
        <v>2380.5</v>
      </c>
      <c r="G137" s="49">
        <v>793.5</v>
      </c>
      <c r="H137" s="49">
        <v>793.5</v>
      </c>
      <c r="I137" s="49">
        <v>793.5</v>
      </c>
      <c r="J137" s="17">
        <v>794.5</v>
      </c>
      <c r="K137" s="17">
        <v>2624</v>
      </c>
      <c r="L137" s="19">
        <f t="shared" si="61"/>
        <v>110.22894349926486</v>
      </c>
      <c r="M137" s="17">
        <f t="shared" si="62"/>
        <v>82.64566929133858</v>
      </c>
      <c r="N137" s="17">
        <f t="shared" si="63"/>
        <v>82.64566929133858</v>
      </c>
    </row>
    <row r="138" spans="1:14" ht="23.25" customHeight="1">
      <c r="A138" s="12" t="s">
        <v>62</v>
      </c>
      <c r="B138" s="65" t="s">
        <v>61</v>
      </c>
      <c r="C138" s="50">
        <v>8897.5</v>
      </c>
      <c r="D138" s="69">
        <v>7602.6</v>
      </c>
      <c r="E138" s="50">
        <f>G138+H138+I138+J138</f>
        <v>7602.599999999999</v>
      </c>
      <c r="F138" s="37">
        <f t="shared" si="64"/>
        <v>5701.9</v>
      </c>
      <c r="G138" s="49">
        <v>1900.6</v>
      </c>
      <c r="H138" s="49">
        <v>1900.6</v>
      </c>
      <c r="I138" s="16">
        <v>1900.7</v>
      </c>
      <c r="J138" s="17">
        <v>1900.7</v>
      </c>
      <c r="K138" s="17">
        <v>6826</v>
      </c>
      <c r="L138" s="19">
        <f t="shared" si="61"/>
        <v>119.71448113786633</v>
      </c>
      <c r="M138" s="17">
        <f t="shared" si="62"/>
        <v>89.78507352747745</v>
      </c>
      <c r="N138" s="17">
        <f t="shared" si="63"/>
        <v>89.78507352747744</v>
      </c>
    </row>
    <row r="139" spans="1:14" ht="15.75" customHeight="1">
      <c r="A139" s="12" t="s">
        <v>8</v>
      </c>
      <c r="B139" s="65" t="s">
        <v>5</v>
      </c>
      <c r="C139" s="50"/>
      <c r="D139" s="69"/>
      <c r="E139" s="50"/>
      <c r="F139" s="37">
        <f t="shared" si="64"/>
        <v>0</v>
      </c>
      <c r="G139" s="49"/>
      <c r="H139" s="49"/>
      <c r="I139" s="16"/>
      <c r="J139" s="17"/>
      <c r="K139" s="17">
        <v>0.7</v>
      </c>
      <c r="L139" s="19"/>
      <c r="M139" s="17"/>
      <c r="N139" s="17"/>
    </row>
    <row r="140" spans="1:14" ht="12.75">
      <c r="A140" s="12" t="s">
        <v>9</v>
      </c>
      <c r="B140" s="65" t="s">
        <v>6</v>
      </c>
      <c r="C140" s="50">
        <v>875.1</v>
      </c>
      <c r="D140" s="69">
        <v>598</v>
      </c>
      <c r="E140" s="50">
        <f aca="true" t="shared" si="65" ref="E140:E149">G140+H140+I140+J140</f>
        <v>598</v>
      </c>
      <c r="F140" s="37">
        <f t="shared" si="64"/>
        <v>446.9</v>
      </c>
      <c r="G140" s="49">
        <v>149</v>
      </c>
      <c r="H140" s="49">
        <v>148.9</v>
      </c>
      <c r="I140" s="16">
        <v>149</v>
      </c>
      <c r="J140" s="17">
        <v>151.1</v>
      </c>
      <c r="K140" s="17">
        <v>18.9</v>
      </c>
      <c r="L140" s="19">
        <f t="shared" si="61"/>
        <v>4.2291340344596104</v>
      </c>
      <c r="M140" s="17">
        <f t="shared" si="62"/>
        <v>3.1605351170568556</v>
      </c>
      <c r="N140" s="17">
        <f t="shared" si="63"/>
        <v>3.1605351170568556</v>
      </c>
    </row>
    <row r="141" spans="1:14" ht="12.75">
      <c r="A141" s="12" t="s">
        <v>10</v>
      </c>
      <c r="B141" s="65" t="s">
        <v>21</v>
      </c>
      <c r="C141" s="50">
        <v>14.7</v>
      </c>
      <c r="D141" s="69">
        <v>20</v>
      </c>
      <c r="E141" s="50">
        <f t="shared" si="65"/>
        <v>20</v>
      </c>
      <c r="F141" s="37">
        <f t="shared" si="64"/>
        <v>15.2</v>
      </c>
      <c r="G141" s="49">
        <v>4.8</v>
      </c>
      <c r="H141" s="49">
        <v>4.8</v>
      </c>
      <c r="I141" s="49">
        <v>5.6</v>
      </c>
      <c r="J141" s="49">
        <v>4.8</v>
      </c>
      <c r="K141" s="17">
        <v>8.2</v>
      </c>
      <c r="L141" s="19">
        <f t="shared" si="61"/>
        <v>53.94736842105263</v>
      </c>
      <c r="M141" s="17">
        <f t="shared" si="62"/>
        <v>40.99999999999999</v>
      </c>
      <c r="N141" s="17">
        <f t="shared" si="63"/>
        <v>40.99999999999999</v>
      </c>
    </row>
    <row r="142" spans="1:14" ht="22.5">
      <c r="A142" s="13" t="s">
        <v>11</v>
      </c>
      <c r="B142" s="65" t="s">
        <v>17</v>
      </c>
      <c r="C142" s="50">
        <v>275.3</v>
      </c>
      <c r="D142" s="69">
        <v>70</v>
      </c>
      <c r="E142" s="50">
        <f t="shared" si="65"/>
        <v>1869.9999999999998</v>
      </c>
      <c r="F142" s="37">
        <f t="shared" si="64"/>
        <v>1850.3999999999999</v>
      </c>
      <c r="G142" s="49">
        <v>16.8</v>
      </c>
      <c r="H142" s="49">
        <v>16.8</v>
      </c>
      <c r="I142" s="49">
        <v>1816.8</v>
      </c>
      <c r="J142" s="17">
        <v>19.6</v>
      </c>
      <c r="K142" s="17">
        <v>2154.3</v>
      </c>
      <c r="L142" s="19">
        <f t="shared" si="61"/>
        <v>116.42347600518809</v>
      </c>
      <c r="M142" s="17">
        <f t="shared" si="62"/>
        <v>115.20320855614976</v>
      </c>
      <c r="N142" s="17">
        <f t="shared" si="63"/>
        <v>3077.571428571429</v>
      </c>
    </row>
    <row r="143" spans="1:14" ht="24.75" customHeight="1">
      <c r="A143" s="28" t="s">
        <v>40</v>
      </c>
      <c r="B143" s="65" t="s">
        <v>41</v>
      </c>
      <c r="C143" s="50"/>
      <c r="D143" s="69"/>
      <c r="E143" s="50">
        <f t="shared" si="65"/>
        <v>426.1</v>
      </c>
      <c r="F143" s="37">
        <f t="shared" si="64"/>
        <v>426.1</v>
      </c>
      <c r="G143" s="49"/>
      <c r="H143" s="49"/>
      <c r="I143" s="16">
        <v>426.1</v>
      </c>
      <c r="J143" s="17"/>
      <c r="K143" s="17">
        <v>426.1</v>
      </c>
      <c r="L143" s="19">
        <f t="shared" si="61"/>
        <v>100</v>
      </c>
      <c r="M143" s="17">
        <f t="shared" si="62"/>
        <v>100</v>
      </c>
      <c r="N143" s="17"/>
    </row>
    <row r="144" spans="1:14" ht="12.75" customHeight="1" hidden="1">
      <c r="A144" s="28" t="s">
        <v>18</v>
      </c>
      <c r="B144" s="65" t="s">
        <v>15</v>
      </c>
      <c r="C144" s="50"/>
      <c r="D144" s="69"/>
      <c r="E144" s="50">
        <f t="shared" si="65"/>
        <v>0</v>
      </c>
      <c r="F144" s="37">
        <f t="shared" si="64"/>
        <v>0</v>
      </c>
      <c r="G144" s="49"/>
      <c r="H144" s="49"/>
      <c r="I144" s="16"/>
      <c r="J144" s="17"/>
      <c r="K144" s="17"/>
      <c r="L144" s="19" t="e">
        <f>K144*100/F144</f>
        <v>#DIV/0!</v>
      </c>
      <c r="M144" s="17" t="e">
        <f t="shared" si="62"/>
        <v>#DIV/0!</v>
      </c>
      <c r="N144" s="17"/>
    </row>
    <row r="145" spans="1:14" ht="11.25" customHeight="1" hidden="1">
      <c r="A145" s="20" t="s">
        <v>12</v>
      </c>
      <c r="B145" s="65" t="s">
        <v>7</v>
      </c>
      <c r="C145" s="50"/>
      <c r="D145" s="69"/>
      <c r="E145" s="50">
        <f t="shared" si="65"/>
        <v>0</v>
      </c>
      <c r="F145" s="37">
        <f t="shared" si="64"/>
        <v>0</v>
      </c>
      <c r="G145" s="49"/>
      <c r="H145" s="49"/>
      <c r="I145" s="16"/>
      <c r="J145" s="17"/>
      <c r="K145" s="17"/>
      <c r="L145" s="19"/>
      <c r="M145" s="17" t="e">
        <f t="shared" si="62"/>
        <v>#DIV/0!</v>
      </c>
      <c r="N145" s="17"/>
    </row>
    <row r="146" spans="1:14" ht="15.75" customHeight="1">
      <c r="A146" s="28" t="s">
        <v>37</v>
      </c>
      <c r="B146" s="15" t="s">
        <v>38</v>
      </c>
      <c r="C146" s="50">
        <v>222.5</v>
      </c>
      <c r="D146" s="69"/>
      <c r="E146" s="50">
        <f t="shared" si="65"/>
        <v>0</v>
      </c>
      <c r="F146" s="37">
        <f t="shared" si="64"/>
        <v>0</v>
      </c>
      <c r="G146" s="49"/>
      <c r="H146" s="49"/>
      <c r="I146" s="16"/>
      <c r="J146" s="17"/>
      <c r="K146" s="16">
        <v>-7</v>
      </c>
      <c r="L146" s="19"/>
      <c r="M146" s="17"/>
      <c r="N146" s="17"/>
    </row>
    <row r="147" spans="1:14" ht="15" customHeight="1">
      <c r="A147" s="53" t="s">
        <v>1</v>
      </c>
      <c r="B147" s="74" t="s">
        <v>0</v>
      </c>
      <c r="C147" s="79">
        <f>C148+C149</f>
        <v>63066.6</v>
      </c>
      <c r="D147" s="70">
        <f>D148+D149</f>
        <v>51023.7</v>
      </c>
      <c r="E147" s="70">
        <f aca="true" t="shared" si="66" ref="E147:K147">E148+E149</f>
        <v>61757.700000000004</v>
      </c>
      <c r="F147" s="70">
        <f t="shared" si="66"/>
        <v>49441</v>
      </c>
      <c r="G147" s="70">
        <f t="shared" si="66"/>
        <v>14196.6</v>
      </c>
      <c r="H147" s="70">
        <f t="shared" si="66"/>
        <v>17019.8</v>
      </c>
      <c r="I147" s="70">
        <f t="shared" si="66"/>
        <v>17798.5</v>
      </c>
      <c r="J147" s="70">
        <f t="shared" si="66"/>
        <v>12742.8</v>
      </c>
      <c r="K147" s="70">
        <f t="shared" si="66"/>
        <v>46898.2</v>
      </c>
      <c r="L147" s="25">
        <f>K147*100/F147</f>
        <v>94.85690014360551</v>
      </c>
      <c r="M147" s="22">
        <f>K147*100/E147</f>
        <v>75.93903270361429</v>
      </c>
      <c r="N147" s="22">
        <f>K147*100/D147</f>
        <v>91.91454167377121</v>
      </c>
    </row>
    <row r="148" spans="1:14" ht="18" customHeight="1">
      <c r="A148" s="66" t="s">
        <v>52</v>
      </c>
      <c r="B148" s="75" t="s">
        <v>20</v>
      </c>
      <c r="C148" s="50">
        <v>63066.6</v>
      </c>
      <c r="D148" s="69">
        <v>51023.7</v>
      </c>
      <c r="E148" s="50">
        <f>G148+H148+I148+J148</f>
        <v>62183.8</v>
      </c>
      <c r="F148" s="37">
        <f t="shared" si="64"/>
        <v>49441</v>
      </c>
      <c r="G148" s="49">
        <v>14196.6</v>
      </c>
      <c r="H148" s="49">
        <v>17019.8</v>
      </c>
      <c r="I148" s="16">
        <v>18224.6</v>
      </c>
      <c r="J148" s="17">
        <v>12742.8</v>
      </c>
      <c r="K148" s="17">
        <v>46898.2</v>
      </c>
      <c r="L148" s="19">
        <f>K148*100/F148</f>
        <v>94.85690014360551</v>
      </c>
      <c r="M148" s="17">
        <f>K148*100/E148</f>
        <v>75.4186781766312</v>
      </c>
      <c r="N148" s="17">
        <f>K148*100/D148</f>
        <v>91.91454167377121</v>
      </c>
    </row>
    <row r="149" spans="1:14" ht="12.75" customHeight="1">
      <c r="A149" s="66" t="s">
        <v>51</v>
      </c>
      <c r="B149" s="18" t="s">
        <v>49</v>
      </c>
      <c r="C149" s="59"/>
      <c r="D149" s="33"/>
      <c r="E149" s="50">
        <f t="shared" si="65"/>
        <v>-426.1</v>
      </c>
      <c r="F149" s="37">
        <f>G149</f>
        <v>0</v>
      </c>
      <c r="G149" s="56"/>
      <c r="H149" s="56"/>
      <c r="I149" s="16">
        <v>-426.1</v>
      </c>
      <c r="J149" s="17"/>
      <c r="K149" s="17"/>
      <c r="L149" s="19"/>
      <c r="M149" s="17"/>
      <c r="N149" s="17"/>
    </row>
    <row r="150" spans="1:14" ht="14.25" customHeight="1">
      <c r="A150" s="20"/>
      <c r="B150" s="21" t="s">
        <v>4</v>
      </c>
      <c r="C150" s="22">
        <f aca="true" t="shared" si="67" ref="C150:K150">C147+C136</f>
        <v>76388.1</v>
      </c>
      <c r="D150" s="22">
        <f t="shared" si="67"/>
        <v>62489.299999999996</v>
      </c>
      <c r="E150" s="22">
        <f t="shared" si="67"/>
        <v>75449.40000000001</v>
      </c>
      <c r="F150" s="22">
        <f t="shared" si="67"/>
        <v>60262</v>
      </c>
      <c r="G150" s="52">
        <f t="shared" si="67"/>
        <v>17061.3</v>
      </c>
      <c r="H150" s="52">
        <f t="shared" si="67"/>
        <v>19884.399999999998</v>
      </c>
      <c r="I150" s="52">
        <f t="shared" si="67"/>
        <v>22890.2</v>
      </c>
      <c r="J150" s="22">
        <f t="shared" si="67"/>
        <v>15613.5</v>
      </c>
      <c r="K150" s="22">
        <f t="shared" si="67"/>
        <v>58949.5</v>
      </c>
      <c r="L150" s="25">
        <f>K150*100/F150</f>
        <v>97.82201055391457</v>
      </c>
      <c r="M150" s="22">
        <f>K150*100/E150</f>
        <v>78.13117135457671</v>
      </c>
      <c r="N150" s="22">
        <f>K150*100/D150</f>
        <v>94.3353502119563</v>
      </c>
    </row>
    <row r="151" spans="1:14" ht="12.75">
      <c r="A151" s="193"/>
      <c r="B151" s="194"/>
      <c r="C151" s="194"/>
      <c r="D151" s="194"/>
      <c r="E151" s="194"/>
      <c r="F151" s="194"/>
      <c r="G151" s="194"/>
      <c r="H151" s="194"/>
      <c r="I151" s="194"/>
      <c r="J151" s="194"/>
      <c r="K151" s="194"/>
      <c r="L151" s="25"/>
      <c r="M151" s="22"/>
      <c r="N151" s="17"/>
    </row>
    <row r="152" spans="1:14" ht="12.75">
      <c r="A152" s="185" t="s">
        <v>30</v>
      </c>
      <c r="B152" s="186"/>
      <c r="C152" s="186"/>
      <c r="D152" s="186"/>
      <c r="E152" s="186"/>
      <c r="F152" s="186"/>
      <c r="G152" s="186"/>
      <c r="H152" s="186"/>
      <c r="I152" s="186"/>
      <c r="J152" s="186"/>
      <c r="K152" s="186"/>
      <c r="L152" s="186"/>
      <c r="M152" s="186"/>
      <c r="N152" s="186"/>
    </row>
    <row r="153" spans="1:14" ht="12.75">
      <c r="A153" s="23" t="s">
        <v>3</v>
      </c>
      <c r="B153" s="24" t="s">
        <v>53</v>
      </c>
      <c r="C153" s="68">
        <f>C154+C157+C159+C161+C158+C162+C160+C163+C156+C155</f>
        <v>31637.5</v>
      </c>
      <c r="D153" s="68">
        <f>D154+D157+D159+D161+D158+D162+D160+D163+D156+D155</f>
        <v>27003.5</v>
      </c>
      <c r="E153" s="25">
        <f aca="true" t="shared" si="68" ref="E153:J153">E154+E157+E159+E161+E158+E162+E160+E163+E156+E155</f>
        <v>29811.300000000003</v>
      </c>
      <c r="F153" s="25">
        <f t="shared" si="68"/>
        <v>22061.9</v>
      </c>
      <c r="G153" s="25">
        <f t="shared" si="68"/>
        <v>6217.299999999999</v>
      </c>
      <c r="H153" s="25">
        <f t="shared" si="68"/>
        <v>7756.099999999999</v>
      </c>
      <c r="I153" s="25">
        <f t="shared" si="68"/>
        <v>8088.5</v>
      </c>
      <c r="J153" s="25">
        <f t="shared" si="68"/>
        <v>7749.4</v>
      </c>
      <c r="K153" s="25">
        <f>K154+K157+K159+K161+K158+K162+K160+K163+K156+K155</f>
        <v>23984.000000000004</v>
      </c>
      <c r="L153" s="25">
        <f aca="true" t="shared" si="69" ref="L153:L160">K153*100/F153</f>
        <v>108.7123049238733</v>
      </c>
      <c r="M153" s="22">
        <f aca="true" t="shared" si="70" ref="M153:M160">K153*100/E153</f>
        <v>80.45271423923144</v>
      </c>
      <c r="N153" s="83">
        <f aca="true" t="shared" si="71" ref="N153:N160">K153*100/D153</f>
        <v>88.81811617012612</v>
      </c>
    </row>
    <row r="154" spans="1:14" ht="12.75">
      <c r="A154" s="12" t="s">
        <v>63</v>
      </c>
      <c r="B154" s="46" t="s">
        <v>64</v>
      </c>
      <c r="C154" s="64">
        <v>17298.1</v>
      </c>
      <c r="D154" s="69">
        <v>15500</v>
      </c>
      <c r="E154" s="49">
        <f>G154+H154+I154+J154</f>
        <v>16569.7</v>
      </c>
      <c r="F154" s="37">
        <f aca="true" t="shared" si="72" ref="F154:F165">G154+H154+I154</f>
        <v>12455.7</v>
      </c>
      <c r="G154" s="49">
        <v>3584</v>
      </c>
      <c r="H154" s="49">
        <v>3906</v>
      </c>
      <c r="I154" s="16">
        <v>4965.7</v>
      </c>
      <c r="J154" s="17">
        <v>4114</v>
      </c>
      <c r="K154" s="17">
        <v>13749</v>
      </c>
      <c r="L154" s="19">
        <f t="shared" si="69"/>
        <v>110.38319805390303</v>
      </c>
      <c r="M154" s="17">
        <f t="shared" si="70"/>
        <v>82.97675878259714</v>
      </c>
      <c r="N154" s="82">
        <f t="shared" si="71"/>
        <v>88.70322580645161</v>
      </c>
    </row>
    <row r="155" spans="1:14" ht="25.5" customHeight="1">
      <c r="A155" s="12" t="s">
        <v>62</v>
      </c>
      <c r="B155" s="26" t="s">
        <v>61</v>
      </c>
      <c r="C155" s="49">
        <v>9351</v>
      </c>
      <c r="D155" s="69">
        <v>7987.7</v>
      </c>
      <c r="E155" s="49">
        <f>G155+H155+I155+J155</f>
        <v>8547.3</v>
      </c>
      <c r="F155" s="37">
        <f t="shared" si="72"/>
        <v>6524.7</v>
      </c>
      <c r="G155" s="49">
        <v>1984.1</v>
      </c>
      <c r="H155" s="49">
        <v>1995</v>
      </c>
      <c r="I155" s="16">
        <v>2545.6</v>
      </c>
      <c r="J155" s="17">
        <v>2022.6</v>
      </c>
      <c r="K155" s="17">
        <v>7171.7</v>
      </c>
      <c r="L155" s="19">
        <f t="shared" si="69"/>
        <v>109.91616472788021</v>
      </c>
      <c r="M155" s="17">
        <f t="shared" si="70"/>
        <v>83.90602880441777</v>
      </c>
      <c r="N155" s="82">
        <f t="shared" si="71"/>
        <v>89.7842933510272</v>
      </c>
    </row>
    <row r="156" spans="1:14" ht="12.75" customHeight="1">
      <c r="A156" s="12" t="s">
        <v>8</v>
      </c>
      <c r="B156" s="26" t="s">
        <v>5</v>
      </c>
      <c r="C156" s="49">
        <v>76.7</v>
      </c>
      <c r="D156" s="69">
        <v>12</v>
      </c>
      <c r="E156" s="49">
        <f aca="true" t="shared" si="73" ref="E156:E167">G156+H156+I156+J156</f>
        <v>12</v>
      </c>
      <c r="F156" s="37">
        <f t="shared" si="72"/>
        <v>12</v>
      </c>
      <c r="G156" s="49">
        <v>12</v>
      </c>
      <c r="H156" s="49"/>
      <c r="I156" s="16"/>
      <c r="J156" s="17"/>
      <c r="K156" s="17">
        <v>3.8</v>
      </c>
      <c r="L156" s="19">
        <f t="shared" si="69"/>
        <v>31.666666666666668</v>
      </c>
      <c r="M156" s="17">
        <f t="shared" si="70"/>
        <v>31.666666666666668</v>
      </c>
      <c r="N156" s="82">
        <f t="shared" si="71"/>
        <v>31.666666666666668</v>
      </c>
    </row>
    <row r="157" spans="1:14" ht="12.75">
      <c r="A157" s="12" t="s">
        <v>9</v>
      </c>
      <c r="B157" s="26" t="s">
        <v>6</v>
      </c>
      <c r="C157" s="49">
        <v>2756.8</v>
      </c>
      <c r="D157" s="69">
        <v>1742</v>
      </c>
      <c r="E157" s="49">
        <f t="shared" si="73"/>
        <v>1742</v>
      </c>
      <c r="F157" s="37">
        <f t="shared" si="72"/>
        <v>726.1</v>
      </c>
      <c r="G157" s="49">
        <v>110.2</v>
      </c>
      <c r="H157" s="49">
        <v>489.9</v>
      </c>
      <c r="I157" s="16">
        <v>126</v>
      </c>
      <c r="J157" s="17">
        <v>1015.9</v>
      </c>
      <c r="K157" s="17">
        <v>822.1</v>
      </c>
      <c r="L157" s="19">
        <f t="shared" si="69"/>
        <v>113.22131937749621</v>
      </c>
      <c r="M157" s="17">
        <f t="shared" si="70"/>
        <v>47.19288174512055</v>
      </c>
      <c r="N157" s="82">
        <f t="shared" si="71"/>
        <v>47.19288174512055</v>
      </c>
    </row>
    <row r="158" spans="1:14" ht="12.75">
      <c r="A158" s="12" t="s">
        <v>10</v>
      </c>
      <c r="B158" s="26" t="s">
        <v>21</v>
      </c>
      <c r="C158" s="49">
        <v>73.5</v>
      </c>
      <c r="D158" s="69">
        <v>71.7</v>
      </c>
      <c r="E158" s="49">
        <f t="shared" si="73"/>
        <v>71.7</v>
      </c>
      <c r="F158" s="37">
        <f t="shared" si="72"/>
        <v>55.400000000000006</v>
      </c>
      <c r="G158" s="49">
        <v>21</v>
      </c>
      <c r="H158" s="49">
        <v>20.2</v>
      </c>
      <c r="I158" s="16">
        <v>14.2</v>
      </c>
      <c r="J158" s="17">
        <v>16.3</v>
      </c>
      <c r="K158" s="17">
        <v>49.5</v>
      </c>
      <c r="L158" s="19">
        <f t="shared" si="69"/>
        <v>89.35018050541515</v>
      </c>
      <c r="M158" s="17">
        <f t="shared" si="70"/>
        <v>69.0376569037657</v>
      </c>
      <c r="N158" s="82">
        <f t="shared" si="71"/>
        <v>69.0376569037657</v>
      </c>
    </row>
    <row r="159" spans="1:14" ht="22.5">
      <c r="A159" s="13" t="s">
        <v>11</v>
      </c>
      <c r="B159" s="26" t="s">
        <v>17</v>
      </c>
      <c r="C159" s="49">
        <v>678.2</v>
      </c>
      <c r="D159" s="69">
        <v>437.6</v>
      </c>
      <c r="E159" s="49">
        <f t="shared" si="73"/>
        <v>946.2</v>
      </c>
      <c r="F159" s="37">
        <f t="shared" si="72"/>
        <v>829.6</v>
      </c>
      <c r="G159" s="49">
        <v>107.5</v>
      </c>
      <c r="H159" s="49">
        <v>615.1</v>
      </c>
      <c r="I159" s="16">
        <v>107</v>
      </c>
      <c r="J159" s="17">
        <v>116.6</v>
      </c>
      <c r="K159" s="17">
        <v>664.7</v>
      </c>
      <c r="L159" s="19">
        <f t="shared" si="69"/>
        <v>80.12295081967213</v>
      </c>
      <c r="M159" s="17">
        <f t="shared" si="70"/>
        <v>70.24941872754174</v>
      </c>
      <c r="N159" s="82">
        <f t="shared" si="71"/>
        <v>151.89670932358317</v>
      </c>
    </row>
    <row r="160" spans="1:14" ht="24" customHeight="1">
      <c r="A160" s="28" t="s">
        <v>40</v>
      </c>
      <c r="B160" s="26" t="s">
        <v>41</v>
      </c>
      <c r="C160" s="49">
        <v>1381.8</v>
      </c>
      <c r="D160" s="69">
        <v>1252.5</v>
      </c>
      <c r="E160" s="49">
        <f t="shared" si="73"/>
        <v>1552.5</v>
      </c>
      <c r="F160" s="37">
        <f t="shared" si="72"/>
        <v>1088.5</v>
      </c>
      <c r="G160" s="49">
        <v>398.5</v>
      </c>
      <c r="H160" s="49">
        <v>210</v>
      </c>
      <c r="I160" s="16">
        <v>480</v>
      </c>
      <c r="J160" s="17">
        <v>464</v>
      </c>
      <c r="K160" s="17">
        <v>1161.3</v>
      </c>
      <c r="L160" s="19">
        <f t="shared" si="69"/>
        <v>106.68810289389067</v>
      </c>
      <c r="M160" s="17">
        <f t="shared" si="70"/>
        <v>74.80193236714976</v>
      </c>
      <c r="N160" s="82">
        <f t="shared" si="71"/>
        <v>92.7185628742515</v>
      </c>
    </row>
    <row r="161" spans="1:14" ht="18" customHeight="1" hidden="1">
      <c r="A161" s="27" t="s">
        <v>18</v>
      </c>
      <c r="B161" s="26" t="s">
        <v>15</v>
      </c>
      <c r="C161" s="49"/>
      <c r="D161" s="69"/>
      <c r="E161" s="49">
        <f t="shared" si="73"/>
        <v>0</v>
      </c>
      <c r="F161" s="37">
        <f t="shared" si="72"/>
        <v>0</v>
      </c>
      <c r="G161" s="49"/>
      <c r="H161" s="49"/>
      <c r="I161" s="16"/>
      <c r="J161" s="17"/>
      <c r="K161" s="17"/>
      <c r="L161" s="19" t="e">
        <f aca="true" t="shared" si="74" ref="L161:L168">K161*100/F161</f>
        <v>#DIV/0!</v>
      </c>
      <c r="M161" s="17" t="e">
        <f aca="true" t="shared" si="75" ref="M161:M168">K161*100/E161</f>
        <v>#DIV/0!</v>
      </c>
      <c r="N161" s="82"/>
    </row>
    <row r="162" spans="1:14" ht="21" customHeight="1">
      <c r="A162" s="20" t="s">
        <v>12</v>
      </c>
      <c r="B162" s="26" t="s">
        <v>7</v>
      </c>
      <c r="C162" s="49">
        <v>12.9</v>
      </c>
      <c r="D162" s="69"/>
      <c r="E162" s="49">
        <f t="shared" si="73"/>
        <v>14.2</v>
      </c>
      <c r="F162" s="37">
        <f t="shared" si="72"/>
        <v>14.2</v>
      </c>
      <c r="G162" s="49"/>
      <c r="H162" s="49">
        <v>14.2</v>
      </c>
      <c r="I162" s="16"/>
      <c r="J162" s="17"/>
      <c r="K162" s="17">
        <v>14.2</v>
      </c>
      <c r="L162" s="19">
        <f t="shared" si="74"/>
        <v>100</v>
      </c>
      <c r="M162" s="17">
        <f t="shared" si="75"/>
        <v>100</v>
      </c>
      <c r="N162" s="82"/>
    </row>
    <row r="163" spans="1:14" ht="14.25" customHeight="1">
      <c r="A163" s="27" t="s">
        <v>37</v>
      </c>
      <c r="B163" s="15" t="s">
        <v>38</v>
      </c>
      <c r="C163" s="77">
        <v>8.5</v>
      </c>
      <c r="D163" s="69"/>
      <c r="E163" s="49">
        <f t="shared" si="73"/>
        <v>355.7</v>
      </c>
      <c r="F163" s="37">
        <f t="shared" si="72"/>
        <v>355.7</v>
      </c>
      <c r="G163" s="49"/>
      <c r="H163" s="49">
        <v>505.7</v>
      </c>
      <c r="I163" s="16">
        <v>-150</v>
      </c>
      <c r="J163" s="17"/>
      <c r="K163" s="17">
        <v>347.7</v>
      </c>
      <c r="L163" s="19">
        <f t="shared" si="74"/>
        <v>97.7509136913129</v>
      </c>
      <c r="M163" s="17">
        <f t="shared" si="75"/>
        <v>97.7509136913129</v>
      </c>
      <c r="N163" s="82"/>
    </row>
    <row r="164" spans="1:14" ht="17.25" customHeight="1">
      <c r="A164" s="23" t="s">
        <v>1</v>
      </c>
      <c r="B164" s="30" t="s">
        <v>0</v>
      </c>
      <c r="C164" s="70">
        <f>C165+C166+C167</f>
        <v>62115.9</v>
      </c>
      <c r="D164" s="70">
        <f>D165+D166+D167</f>
        <v>38065.3</v>
      </c>
      <c r="E164" s="31">
        <f aca="true" t="shared" si="76" ref="E164:J164">E165+E166+E167</f>
        <v>66258.8</v>
      </c>
      <c r="F164" s="31">
        <f t="shared" si="76"/>
        <v>56779.9</v>
      </c>
      <c r="G164" s="31">
        <f t="shared" si="76"/>
        <v>9516.2</v>
      </c>
      <c r="H164" s="31">
        <f t="shared" si="76"/>
        <v>31261.2</v>
      </c>
      <c r="I164" s="31">
        <f t="shared" si="76"/>
        <v>16002.5</v>
      </c>
      <c r="J164" s="31">
        <f t="shared" si="76"/>
        <v>9478.9</v>
      </c>
      <c r="K164" s="31">
        <f>K165+K166+K167</f>
        <v>40331.1</v>
      </c>
      <c r="L164" s="25">
        <f t="shared" si="74"/>
        <v>71.03059357272556</v>
      </c>
      <c r="M164" s="22">
        <f t="shared" si="75"/>
        <v>60.86904682849674</v>
      </c>
      <c r="N164" s="83">
        <f>K164*100/D164</f>
        <v>105.95240284458548</v>
      </c>
    </row>
    <row r="165" spans="1:14" ht="23.25" customHeight="1">
      <c r="A165" s="66" t="s">
        <v>52</v>
      </c>
      <c r="B165" s="32" t="s">
        <v>20</v>
      </c>
      <c r="C165" s="49">
        <v>62115.9</v>
      </c>
      <c r="D165" s="69">
        <v>38065.3</v>
      </c>
      <c r="E165" s="49">
        <f t="shared" si="73"/>
        <v>66258.8</v>
      </c>
      <c r="F165" s="37">
        <f t="shared" si="72"/>
        <v>56779.9</v>
      </c>
      <c r="G165" s="49">
        <v>9516.2</v>
      </c>
      <c r="H165" s="49">
        <v>31261.2</v>
      </c>
      <c r="I165" s="16">
        <v>16002.5</v>
      </c>
      <c r="J165" s="17">
        <v>9478.9</v>
      </c>
      <c r="K165" s="17">
        <v>40331.1</v>
      </c>
      <c r="L165" s="19">
        <f t="shared" si="74"/>
        <v>71.03059357272556</v>
      </c>
      <c r="M165" s="17">
        <f t="shared" si="75"/>
        <v>60.86904682849674</v>
      </c>
      <c r="N165" s="82">
        <f>K165*100/D165</f>
        <v>105.95240284458548</v>
      </c>
    </row>
    <row r="166" spans="1:14" ht="15.75" customHeight="1" hidden="1">
      <c r="A166" s="66" t="s">
        <v>60</v>
      </c>
      <c r="B166" s="33" t="s">
        <v>19</v>
      </c>
      <c r="C166" s="56"/>
      <c r="D166" s="33"/>
      <c r="E166" s="49">
        <f t="shared" si="73"/>
        <v>0</v>
      </c>
      <c r="F166" s="37">
        <f>G166</f>
        <v>0</v>
      </c>
      <c r="G166" s="49"/>
      <c r="H166" s="49"/>
      <c r="I166" s="16"/>
      <c r="J166" s="17"/>
      <c r="K166" s="17"/>
      <c r="L166" s="19" t="e">
        <f t="shared" si="74"/>
        <v>#DIV/0!</v>
      </c>
      <c r="M166" s="17" t="e">
        <f t="shared" si="75"/>
        <v>#DIV/0!</v>
      </c>
      <c r="N166" s="82"/>
    </row>
    <row r="167" spans="1:14" ht="39.75" customHeight="1" hidden="1">
      <c r="A167" s="66" t="s">
        <v>51</v>
      </c>
      <c r="B167" s="18" t="s">
        <v>49</v>
      </c>
      <c r="C167" s="81"/>
      <c r="D167" s="33"/>
      <c r="E167" s="49">
        <f t="shared" si="73"/>
        <v>0</v>
      </c>
      <c r="F167" s="37">
        <f>G167</f>
        <v>0</v>
      </c>
      <c r="G167" s="49"/>
      <c r="H167" s="49"/>
      <c r="I167" s="16"/>
      <c r="J167" s="17"/>
      <c r="K167" s="17"/>
      <c r="L167" s="19" t="e">
        <f t="shared" si="74"/>
        <v>#DIV/0!</v>
      </c>
      <c r="M167" s="17" t="e">
        <f t="shared" si="75"/>
        <v>#DIV/0!</v>
      </c>
      <c r="N167" s="82"/>
    </row>
    <row r="168" spans="1:14" ht="14.25" customHeight="1">
      <c r="A168" s="20"/>
      <c r="B168" s="21" t="s">
        <v>4</v>
      </c>
      <c r="C168" s="52">
        <f aca="true" t="shared" si="77" ref="C168:J168">C164+C153</f>
        <v>93753.4</v>
      </c>
      <c r="D168" s="22">
        <f t="shared" si="77"/>
        <v>65068.8</v>
      </c>
      <c r="E168" s="22">
        <f>E164+E153</f>
        <v>96070.1</v>
      </c>
      <c r="F168" s="22">
        <f t="shared" si="77"/>
        <v>78841.8</v>
      </c>
      <c r="G168" s="22">
        <f t="shared" si="77"/>
        <v>15733.5</v>
      </c>
      <c r="H168" s="22">
        <f t="shared" si="77"/>
        <v>39017.3</v>
      </c>
      <c r="I168" s="22">
        <f t="shared" si="77"/>
        <v>24091</v>
      </c>
      <c r="J168" s="22">
        <f t="shared" si="77"/>
        <v>17228.3</v>
      </c>
      <c r="K168" s="22">
        <f>K164+K153</f>
        <v>64315.100000000006</v>
      </c>
      <c r="L168" s="25">
        <f t="shared" si="74"/>
        <v>81.57487525652637</v>
      </c>
      <c r="M168" s="22">
        <f t="shared" si="75"/>
        <v>66.94601129800012</v>
      </c>
      <c r="N168" s="83">
        <f>K168*100/D168</f>
        <v>98.84168756762074</v>
      </c>
    </row>
    <row r="169" spans="1:14" ht="12.75">
      <c r="A169" s="180"/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  <c r="L169" s="25"/>
      <c r="M169" s="22"/>
      <c r="N169" s="82"/>
    </row>
    <row r="170" spans="1:14" ht="12.75">
      <c r="A170" s="185" t="s">
        <v>31</v>
      </c>
      <c r="B170" s="186"/>
      <c r="C170" s="186"/>
      <c r="D170" s="186"/>
      <c r="E170" s="186"/>
      <c r="F170" s="186"/>
      <c r="G170" s="186"/>
      <c r="H170" s="186"/>
      <c r="I170" s="186"/>
      <c r="J170" s="186"/>
      <c r="K170" s="186"/>
      <c r="L170" s="186"/>
      <c r="M170" s="186"/>
      <c r="N170" s="186"/>
    </row>
    <row r="171" spans="1:14" ht="12.75">
      <c r="A171" s="23" t="s">
        <v>3</v>
      </c>
      <c r="B171" s="24" t="s">
        <v>53</v>
      </c>
      <c r="C171" s="68">
        <f>C172+C175+C176+C177+C179+C180+C181+C178+C173+C174</f>
        <v>8757.4</v>
      </c>
      <c r="D171" s="68">
        <f>D172+D175+D176+D177+D179+D180+D181+D178+D173+D174</f>
        <v>7389.3</v>
      </c>
      <c r="E171" s="25">
        <f aca="true" t="shared" si="78" ref="E171:J171">E172+E175+E176+E177+E179+E180+E181+E178+E173+E174</f>
        <v>7619.3</v>
      </c>
      <c r="F171" s="25">
        <f t="shared" si="78"/>
        <v>5388.2</v>
      </c>
      <c r="G171" s="25">
        <f t="shared" si="78"/>
        <v>1712.1999999999998</v>
      </c>
      <c r="H171" s="25">
        <f t="shared" si="78"/>
        <v>1833</v>
      </c>
      <c r="I171" s="25">
        <f t="shared" si="78"/>
        <v>1843</v>
      </c>
      <c r="J171" s="25">
        <f t="shared" si="78"/>
        <v>2231.1</v>
      </c>
      <c r="K171" s="25">
        <f>K172+K175+K176+K177+K179+K180+K181+K178+K173+K174</f>
        <v>6582.6</v>
      </c>
      <c r="L171" s="25">
        <f aca="true" t="shared" si="79" ref="L171:L179">K171*100/F171</f>
        <v>122.16695742548532</v>
      </c>
      <c r="M171" s="22">
        <f aca="true" t="shared" si="80" ref="M171:M179">K171*100/E171</f>
        <v>86.39376320659377</v>
      </c>
      <c r="N171" s="83">
        <f aca="true" t="shared" si="81" ref="N171:N177">K171*100/D171</f>
        <v>89.08286305874711</v>
      </c>
    </row>
    <row r="172" spans="1:14" ht="12.75">
      <c r="A172" s="12" t="s">
        <v>63</v>
      </c>
      <c r="B172" s="46" t="s">
        <v>64</v>
      </c>
      <c r="C172" s="64">
        <v>3317</v>
      </c>
      <c r="D172" s="69">
        <v>2770</v>
      </c>
      <c r="E172" s="49">
        <f>G172+H172+I172+J172</f>
        <v>2770</v>
      </c>
      <c r="F172" s="37">
        <f aca="true" t="shared" si="82" ref="F172:F184">G172+H172+I172</f>
        <v>2077.2</v>
      </c>
      <c r="G172" s="50">
        <v>692.4</v>
      </c>
      <c r="H172" s="50">
        <v>692.4</v>
      </c>
      <c r="I172" s="50">
        <v>692.4</v>
      </c>
      <c r="J172" s="50">
        <v>692.8</v>
      </c>
      <c r="K172" s="17">
        <v>2427.4</v>
      </c>
      <c r="L172" s="19">
        <f t="shared" si="79"/>
        <v>116.85923358367033</v>
      </c>
      <c r="M172" s="17">
        <f t="shared" si="80"/>
        <v>87.63176895306859</v>
      </c>
      <c r="N172" s="82">
        <f t="shared" si="81"/>
        <v>87.63176895306859</v>
      </c>
    </row>
    <row r="173" spans="1:14" ht="26.25" customHeight="1">
      <c r="A173" s="12" t="s">
        <v>62</v>
      </c>
      <c r="B173" s="26" t="s">
        <v>61</v>
      </c>
      <c r="C173" s="49">
        <v>3850.9</v>
      </c>
      <c r="D173" s="69">
        <v>3287.8</v>
      </c>
      <c r="E173" s="49">
        <f>G173+H173+I173+J173</f>
        <v>3287.8</v>
      </c>
      <c r="F173" s="37">
        <f t="shared" si="82"/>
        <v>2463.8</v>
      </c>
      <c r="G173" s="50">
        <v>821.3</v>
      </c>
      <c r="H173" s="50">
        <v>821.2</v>
      </c>
      <c r="I173" s="50">
        <v>821.3</v>
      </c>
      <c r="J173" s="50">
        <v>824</v>
      </c>
      <c r="K173" s="17">
        <v>2951.9</v>
      </c>
      <c r="L173" s="19">
        <f t="shared" si="79"/>
        <v>119.81086127120707</v>
      </c>
      <c r="M173" s="17">
        <f t="shared" si="80"/>
        <v>89.78344181519557</v>
      </c>
      <c r="N173" s="82">
        <f t="shared" si="81"/>
        <v>89.78344181519557</v>
      </c>
    </row>
    <row r="174" spans="1:14" ht="17.25" customHeight="1">
      <c r="A174" s="12" t="s">
        <v>8</v>
      </c>
      <c r="B174" s="26" t="s">
        <v>5</v>
      </c>
      <c r="C174" s="49">
        <v>6.4</v>
      </c>
      <c r="D174" s="69">
        <v>2</v>
      </c>
      <c r="E174" s="49">
        <f>G174+H174+I174+J174</f>
        <v>7</v>
      </c>
      <c r="F174" s="37">
        <f t="shared" si="82"/>
        <v>7</v>
      </c>
      <c r="G174" s="50"/>
      <c r="H174" s="50">
        <v>7</v>
      </c>
      <c r="I174" s="16"/>
      <c r="J174" s="17"/>
      <c r="K174" s="17">
        <v>7</v>
      </c>
      <c r="L174" s="19">
        <f t="shared" si="79"/>
        <v>100</v>
      </c>
      <c r="M174" s="17">
        <f t="shared" si="80"/>
        <v>100</v>
      </c>
      <c r="N174" s="82">
        <f t="shared" si="81"/>
        <v>350</v>
      </c>
    </row>
    <row r="175" spans="1:14" ht="12.75">
      <c r="A175" s="12" t="s">
        <v>9</v>
      </c>
      <c r="B175" s="26" t="s">
        <v>6</v>
      </c>
      <c r="C175" s="49">
        <v>869.6</v>
      </c>
      <c r="D175" s="69">
        <v>752</v>
      </c>
      <c r="E175" s="49">
        <f>G175+H175+I175+J175</f>
        <v>752</v>
      </c>
      <c r="F175" s="37">
        <f t="shared" si="82"/>
        <v>190.8</v>
      </c>
      <c r="G175" s="50">
        <v>2</v>
      </c>
      <c r="H175" s="50">
        <v>1</v>
      </c>
      <c r="I175" s="16">
        <v>187.8</v>
      </c>
      <c r="J175" s="17">
        <v>561.2</v>
      </c>
      <c r="K175" s="17">
        <v>234.6</v>
      </c>
      <c r="L175" s="19">
        <f t="shared" si="79"/>
        <v>122.95597484276729</v>
      </c>
      <c r="M175" s="17">
        <f t="shared" si="80"/>
        <v>31.1968085106383</v>
      </c>
      <c r="N175" s="82">
        <f t="shared" si="81"/>
        <v>31.1968085106383</v>
      </c>
    </row>
    <row r="176" spans="1:14" ht="12.75">
      <c r="A176" s="12" t="s">
        <v>10</v>
      </c>
      <c r="B176" s="26" t="s">
        <v>21</v>
      </c>
      <c r="C176" s="49">
        <v>7</v>
      </c>
      <c r="D176" s="69">
        <v>15.8</v>
      </c>
      <c r="E176" s="49">
        <f aca="true" t="shared" si="83" ref="E176:E183">G176+H176+I176+J176</f>
        <v>15.799999999999999</v>
      </c>
      <c r="F176" s="37">
        <f t="shared" si="82"/>
        <v>11.7</v>
      </c>
      <c r="G176" s="50">
        <v>3.9</v>
      </c>
      <c r="H176" s="50">
        <v>3.9</v>
      </c>
      <c r="I176" s="50">
        <v>3.9</v>
      </c>
      <c r="J176" s="17">
        <v>4.1</v>
      </c>
      <c r="K176" s="17">
        <v>4.6</v>
      </c>
      <c r="L176" s="19">
        <f t="shared" si="79"/>
        <v>39.31623931623931</v>
      </c>
      <c r="M176" s="17">
        <f t="shared" si="80"/>
        <v>29.11392405063291</v>
      </c>
      <c r="N176" s="82">
        <f t="shared" si="81"/>
        <v>29.113924050632907</v>
      </c>
    </row>
    <row r="177" spans="1:14" ht="23.25" customHeight="1">
      <c r="A177" s="13" t="s">
        <v>11</v>
      </c>
      <c r="B177" s="26" t="s">
        <v>17</v>
      </c>
      <c r="C177" s="49">
        <v>698.8</v>
      </c>
      <c r="D177" s="69">
        <v>561.7</v>
      </c>
      <c r="E177" s="49">
        <f t="shared" si="83"/>
        <v>786.7</v>
      </c>
      <c r="F177" s="37">
        <f t="shared" si="82"/>
        <v>637.7</v>
      </c>
      <c r="G177" s="50">
        <v>192.6</v>
      </c>
      <c r="H177" s="50">
        <v>307.5</v>
      </c>
      <c r="I177" s="50">
        <v>137.6</v>
      </c>
      <c r="J177" s="17">
        <v>149</v>
      </c>
      <c r="K177" s="17">
        <v>937.8</v>
      </c>
      <c r="L177" s="19">
        <f t="shared" si="79"/>
        <v>147.05974596205112</v>
      </c>
      <c r="M177" s="17">
        <f t="shared" si="80"/>
        <v>119.20681327062412</v>
      </c>
      <c r="N177" s="82">
        <f t="shared" si="81"/>
        <v>166.95745059640376</v>
      </c>
    </row>
    <row r="178" spans="1:14" ht="14.25" customHeight="1" hidden="1">
      <c r="A178" s="28" t="s">
        <v>40</v>
      </c>
      <c r="B178" s="26" t="s">
        <v>41</v>
      </c>
      <c r="C178" s="49"/>
      <c r="D178" s="69"/>
      <c r="E178" s="49">
        <f t="shared" si="83"/>
        <v>0</v>
      </c>
      <c r="F178" s="37">
        <f t="shared" si="82"/>
        <v>0</v>
      </c>
      <c r="G178" s="50"/>
      <c r="H178" s="50"/>
      <c r="I178" s="16"/>
      <c r="J178" s="17"/>
      <c r="K178" s="17"/>
      <c r="L178" s="19"/>
      <c r="M178" s="17"/>
      <c r="N178" s="82"/>
    </row>
    <row r="179" spans="1:14" ht="10.5" customHeight="1" hidden="1">
      <c r="A179" s="27" t="s">
        <v>18</v>
      </c>
      <c r="B179" s="26" t="s">
        <v>15</v>
      </c>
      <c r="C179" s="49">
        <v>0.9</v>
      </c>
      <c r="D179" s="69"/>
      <c r="E179" s="49">
        <f t="shared" si="83"/>
        <v>0</v>
      </c>
      <c r="F179" s="37">
        <f t="shared" si="82"/>
        <v>0</v>
      </c>
      <c r="G179" s="50"/>
      <c r="H179" s="50"/>
      <c r="I179" s="16"/>
      <c r="J179" s="17"/>
      <c r="K179" s="17"/>
      <c r="L179" s="19" t="e">
        <f t="shared" si="79"/>
        <v>#DIV/0!</v>
      </c>
      <c r="M179" s="17" t="e">
        <f t="shared" si="80"/>
        <v>#DIV/0!</v>
      </c>
      <c r="N179" s="82"/>
    </row>
    <row r="180" spans="1:14" ht="10.5" customHeight="1" hidden="1">
      <c r="A180" s="20" t="s">
        <v>12</v>
      </c>
      <c r="B180" s="26" t="s">
        <v>7</v>
      </c>
      <c r="C180" s="49">
        <v>6.9</v>
      </c>
      <c r="D180" s="69"/>
      <c r="E180" s="49">
        <f t="shared" si="83"/>
        <v>0</v>
      </c>
      <c r="F180" s="37">
        <f t="shared" si="82"/>
        <v>0</v>
      </c>
      <c r="G180" s="50"/>
      <c r="H180" s="50"/>
      <c r="I180" s="16"/>
      <c r="J180" s="17"/>
      <c r="K180" s="17"/>
      <c r="L180" s="19"/>
      <c r="M180" s="17"/>
      <c r="N180" s="82"/>
    </row>
    <row r="181" spans="1:14" ht="17.25" customHeight="1">
      <c r="A181" s="51" t="s">
        <v>37</v>
      </c>
      <c r="B181" s="15" t="s">
        <v>38</v>
      </c>
      <c r="C181" s="77">
        <v>-0.1</v>
      </c>
      <c r="D181" s="69"/>
      <c r="E181" s="49">
        <f t="shared" si="83"/>
        <v>0</v>
      </c>
      <c r="F181" s="37">
        <f t="shared" si="82"/>
        <v>0</v>
      </c>
      <c r="G181" s="50"/>
      <c r="H181" s="50"/>
      <c r="I181" s="16"/>
      <c r="J181" s="17"/>
      <c r="K181" s="17">
        <v>19.3</v>
      </c>
      <c r="L181" s="25"/>
      <c r="M181" s="22"/>
      <c r="N181" s="82"/>
    </row>
    <row r="182" spans="1:14" ht="14.25" customHeight="1">
      <c r="A182" s="23" t="s">
        <v>1</v>
      </c>
      <c r="B182" s="30" t="s">
        <v>0</v>
      </c>
      <c r="C182" s="70">
        <f>C183+C184</f>
        <v>32995.3</v>
      </c>
      <c r="D182" s="70">
        <f>D183+D184</f>
        <v>31881.8</v>
      </c>
      <c r="E182" s="31">
        <f>E183+E184+0.1</f>
        <v>43089.19999999999</v>
      </c>
      <c r="F182" s="54">
        <f aca="true" t="shared" si="84" ref="F182:K182">F183+F184</f>
        <v>35117.899999999994</v>
      </c>
      <c r="G182" s="54">
        <f t="shared" si="84"/>
        <v>8952.7</v>
      </c>
      <c r="H182" s="54">
        <f t="shared" si="84"/>
        <v>10193.7</v>
      </c>
      <c r="I182" s="31">
        <f t="shared" si="84"/>
        <v>15971.5</v>
      </c>
      <c r="J182" s="31">
        <f t="shared" si="84"/>
        <v>7971.2</v>
      </c>
      <c r="K182" s="31">
        <f t="shared" si="84"/>
        <v>29659.3</v>
      </c>
      <c r="L182" s="25">
        <f>K182*100/F182</f>
        <v>84.45635986206466</v>
      </c>
      <c r="M182" s="22">
        <f>K182*100/E182</f>
        <v>68.83232921474524</v>
      </c>
      <c r="N182" s="83">
        <f>K182*100/D182</f>
        <v>93.02893814025558</v>
      </c>
    </row>
    <row r="183" spans="1:14" ht="27.75" customHeight="1">
      <c r="A183" s="66" t="s">
        <v>52</v>
      </c>
      <c r="B183" s="32" t="s">
        <v>20</v>
      </c>
      <c r="C183" s="49">
        <v>32930.3</v>
      </c>
      <c r="D183" s="69">
        <v>31881.8</v>
      </c>
      <c r="E183" s="49">
        <f t="shared" si="83"/>
        <v>43053.899999999994</v>
      </c>
      <c r="F183" s="37">
        <f t="shared" si="82"/>
        <v>35082.7</v>
      </c>
      <c r="G183" s="50">
        <v>8952.7</v>
      </c>
      <c r="H183" s="50">
        <v>10158.5</v>
      </c>
      <c r="I183" s="50">
        <v>15971.5</v>
      </c>
      <c r="J183" s="50">
        <v>7971.2</v>
      </c>
      <c r="K183" s="17">
        <v>29624.1</v>
      </c>
      <c r="L183" s="19">
        <f>K183*100/F183</f>
        <v>84.44076425132616</v>
      </c>
      <c r="M183" s="17">
        <f>K183*100/E183</f>
        <v>68.80700703072196</v>
      </c>
      <c r="N183" s="82">
        <f>K183*100/D183</f>
        <v>92.91853032137458</v>
      </c>
    </row>
    <row r="184" spans="1:14" ht="13.5" customHeight="1">
      <c r="A184" s="14" t="s">
        <v>2</v>
      </c>
      <c r="B184" s="33" t="s">
        <v>19</v>
      </c>
      <c r="C184" s="56">
        <v>65</v>
      </c>
      <c r="D184" s="55"/>
      <c r="E184" s="49">
        <f>G184+H184+I184+J184</f>
        <v>35.2</v>
      </c>
      <c r="F184" s="37">
        <f t="shared" si="82"/>
        <v>35.2</v>
      </c>
      <c r="G184" s="55"/>
      <c r="H184" s="55">
        <v>35.2</v>
      </c>
      <c r="I184" s="16"/>
      <c r="J184" s="17"/>
      <c r="K184" s="17">
        <v>35.2</v>
      </c>
      <c r="L184" s="19">
        <f>K184*100/F184</f>
        <v>100</v>
      </c>
      <c r="M184" s="17">
        <f>K184*100/E184</f>
        <v>100</v>
      </c>
      <c r="N184" s="82"/>
    </row>
    <row r="185" spans="1:14" ht="15.75" customHeight="1">
      <c r="A185" s="20"/>
      <c r="B185" s="21" t="s">
        <v>4</v>
      </c>
      <c r="C185" s="22">
        <f aca="true" t="shared" si="85" ref="C185:J185">C182+C171</f>
        <v>41752.700000000004</v>
      </c>
      <c r="D185" s="22">
        <f t="shared" si="85"/>
        <v>39271.1</v>
      </c>
      <c r="E185" s="22">
        <f t="shared" si="85"/>
        <v>50708.49999999999</v>
      </c>
      <c r="F185" s="22">
        <f t="shared" si="85"/>
        <v>40506.09999999999</v>
      </c>
      <c r="G185" s="22">
        <f t="shared" si="85"/>
        <v>10664.900000000001</v>
      </c>
      <c r="H185" s="22">
        <f t="shared" si="85"/>
        <v>12026.7</v>
      </c>
      <c r="I185" s="22">
        <f t="shared" si="85"/>
        <v>17814.5</v>
      </c>
      <c r="J185" s="22">
        <f t="shared" si="85"/>
        <v>10202.3</v>
      </c>
      <c r="K185" s="22">
        <f>K182+K171</f>
        <v>36241.9</v>
      </c>
      <c r="L185" s="25">
        <f>K185*100/F185</f>
        <v>89.47269670494076</v>
      </c>
      <c r="M185" s="22">
        <f>K185*100/E185</f>
        <v>71.47105514854512</v>
      </c>
      <c r="N185" s="83">
        <f>K185*100/D185</f>
        <v>92.28643964645758</v>
      </c>
    </row>
    <row r="186" spans="1:14" ht="12.75">
      <c r="A186" s="180"/>
      <c r="B186" s="181"/>
      <c r="C186" s="181"/>
      <c r="D186" s="181"/>
      <c r="E186" s="181"/>
      <c r="F186" s="181"/>
      <c r="G186" s="181"/>
      <c r="H186" s="181"/>
      <c r="I186" s="181"/>
      <c r="J186" s="181"/>
      <c r="K186" s="181"/>
      <c r="L186" s="25"/>
      <c r="M186" s="22"/>
      <c r="N186" s="82"/>
    </row>
    <row r="187" spans="1:14" ht="12.75">
      <c r="A187" s="185" t="s">
        <v>32</v>
      </c>
      <c r="B187" s="186"/>
      <c r="C187" s="186"/>
      <c r="D187" s="186"/>
      <c r="E187" s="186"/>
      <c r="F187" s="186"/>
      <c r="G187" s="186"/>
      <c r="H187" s="186"/>
      <c r="I187" s="186"/>
      <c r="J187" s="186"/>
      <c r="K187" s="186"/>
      <c r="L187" s="186"/>
      <c r="M187" s="186"/>
      <c r="N187" s="186"/>
    </row>
    <row r="188" spans="1:14" ht="12.75">
      <c r="A188" s="23" t="s">
        <v>3</v>
      </c>
      <c r="B188" s="24" t="s">
        <v>53</v>
      </c>
      <c r="C188" s="68">
        <f>C189+C191+C192+C193+C194+C196+C198+C197+C195+C190</f>
        <v>38251.7</v>
      </c>
      <c r="D188" s="68">
        <f>D189+D191+D192+D193+D194+D196+D198+D197+D195+D190</f>
        <v>29388.1</v>
      </c>
      <c r="E188" s="25">
        <f aca="true" t="shared" si="86" ref="E188:J188">E189+E191+E192+E193+E194+E196+E198+E197+E195+E190</f>
        <v>32560.6</v>
      </c>
      <c r="F188" s="25">
        <f t="shared" si="86"/>
        <v>24437.699999999997</v>
      </c>
      <c r="G188" s="25">
        <f t="shared" si="86"/>
        <v>6788.500000000001</v>
      </c>
      <c r="H188" s="25">
        <f t="shared" si="86"/>
        <v>8855.199999999999</v>
      </c>
      <c r="I188" s="25">
        <f t="shared" si="86"/>
        <v>8794</v>
      </c>
      <c r="J188" s="25">
        <f t="shared" si="86"/>
        <v>8122.9</v>
      </c>
      <c r="K188" s="25">
        <f>K189+K191+K192+K193+K194+K196+K198+K197+K195+K190</f>
        <v>26118.200000000004</v>
      </c>
      <c r="L188" s="25">
        <f>K188*100/F188</f>
        <v>106.87667006305834</v>
      </c>
      <c r="M188" s="22">
        <f aca="true" t="shared" si="87" ref="M188:M194">K188*100/E188</f>
        <v>80.21412381835718</v>
      </c>
      <c r="N188" s="22">
        <f aca="true" t="shared" si="88" ref="N188:N194">K188*100/D188</f>
        <v>88.87338752760473</v>
      </c>
    </row>
    <row r="189" spans="1:14" ht="12.75">
      <c r="A189" s="12" t="s">
        <v>63</v>
      </c>
      <c r="B189" s="46" t="s">
        <v>64</v>
      </c>
      <c r="C189" s="64">
        <v>22837.6</v>
      </c>
      <c r="D189" s="69">
        <v>20000</v>
      </c>
      <c r="E189" s="49">
        <f>G189+H189+I189+J189</f>
        <v>22088.4</v>
      </c>
      <c r="F189" s="37">
        <f aca="true" t="shared" si="89" ref="F189:F200">G189+H189+I189</f>
        <v>17124.9</v>
      </c>
      <c r="G189" s="49">
        <v>4950</v>
      </c>
      <c r="H189" s="49">
        <v>6153</v>
      </c>
      <c r="I189" s="49">
        <v>6021.9</v>
      </c>
      <c r="J189" s="17">
        <v>4963.5</v>
      </c>
      <c r="K189" s="17">
        <v>18342.3</v>
      </c>
      <c r="L189" s="19">
        <f>K189*100/F189</f>
        <v>107.1089466215861</v>
      </c>
      <c r="M189" s="17">
        <f t="shared" si="87"/>
        <v>83.04041940566088</v>
      </c>
      <c r="N189" s="17">
        <f t="shared" si="88"/>
        <v>91.7115</v>
      </c>
    </row>
    <row r="190" spans="1:14" ht="23.25" customHeight="1">
      <c r="A190" s="12" t="s">
        <v>62</v>
      </c>
      <c r="B190" s="26" t="s">
        <v>61</v>
      </c>
      <c r="C190" s="49">
        <v>6258.7</v>
      </c>
      <c r="D190" s="69">
        <v>5577.1</v>
      </c>
      <c r="E190" s="49">
        <f>G190+H190+I190+J190</f>
        <v>5614.5</v>
      </c>
      <c r="F190" s="37">
        <f t="shared" si="89"/>
        <v>4217.9</v>
      </c>
      <c r="G190" s="49">
        <v>1393.5</v>
      </c>
      <c r="H190" s="49">
        <v>1430.9</v>
      </c>
      <c r="I190" s="49">
        <v>1393.5</v>
      </c>
      <c r="J190" s="17">
        <v>1396.6</v>
      </c>
      <c r="K190" s="17">
        <v>5007.4</v>
      </c>
      <c r="L190" s="19">
        <f>K190*100/F190</f>
        <v>118.71784537329002</v>
      </c>
      <c r="M190" s="17">
        <f t="shared" si="87"/>
        <v>89.18692670763201</v>
      </c>
      <c r="N190" s="17">
        <f t="shared" si="88"/>
        <v>89.7850137168062</v>
      </c>
    </row>
    <row r="191" spans="1:14" ht="16.5" customHeight="1">
      <c r="A191" s="12" t="s">
        <v>8</v>
      </c>
      <c r="B191" s="26" t="s">
        <v>5</v>
      </c>
      <c r="C191" s="49">
        <v>34.9</v>
      </c>
      <c r="D191" s="69"/>
      <c r="E191" s="49">
        <f aca="true" t="shared" si="90" ref="E191:E201">G191+H191+I191+J191</f>
        <v>82.4</v>
      </c>
      <c r="F191" s="37">
        <f t="shared" si="89"/>
        <v>82.4</v>
      </c>
      <c r="G191" s="49"/>
      <c r="H191" s="49">
        <v>55.3</v>
      </c>
      <c r="I191" s="16">
        <v>27.1</v>
      </c>
      <c r="J191" s="17"/>
      <c r="K191" s="17">
        <v>82.4</v>
      </c>
      <c r="L191" s="19">
        <f>K191*100/F191</f>
        <v>100</v>
      </c>
      <c r="M191" s="17">
        <f>K191*100/E191</f>
        <v>100</v>
      </c>
      <c r="N191" s="17"/>
    </row>
    <row r="192" spans="1:14" ht="12.75">
      <c r="A192" s="12" t="s">
        <v>9</v>
      </c>
      <c r="B192" s="26" t="s">
        <v>6</v>
      </c>
      <c r="C192" s="49">
        <v>3530.1</v>
      </c>
      <c r="D192" s="69">
        <v>2807</v>
      </c>
      <c r="E192" s="49">
        <f t="shared" si="90"/>
        <v>2807</v>
      </c>
      <c r="F192" s="37">
        <f t="shared" si="89"/>
        <v>1267.4</v>
      </c>
      <c r="G192" s="49">
        <v>66</v>
      </c>
      <c r="H192" s="49">
        <v>341.7</v>
      </c>
      <c r="I192" s="16">
        <v>859.7</v>
      </c>
      <c r="J192" s="17">
        <v>1539.6</v>
      </c>
      <c r="K192" s="17">
        <v>1013.2</v>
      </c>
      <c r="L192" s="19">
        <f aca="true" t="shared" si="91" ref="L192:L197">K192*100/F192</f>
        <v>79.94319078428278</v>
      </c>
      <c r="M192" s="17">
        <f t="shared" si="87"/>
        <v>36.09547559672248</v>
      </c>
      <c r="N192" s="17">
        <f t="shared" si="88"/>
        <v>36.09547559672248</v>
      </c>
    </row>
    <row r="193" spans="1:14" ht="12.75">
      <c r="A193" s="12" t="s">
        <v>10</v>
      </c>
      <c r="B193" s="26" t="s">
        <v>21</v>
      </c>
      <c r="C193" s="49">
        <v>87.2</v>
      </c>
      <c r="D193" s="69">
        <v>121</v>
      </c>
      <c r="E193" s="49">
        <f t="shared" si="90"/>
        <v>63.6</v>
      </c>
      <c r="F193" s="37">
        <f t="shared" si="89"/>
        <v>49.1</v>
      </c>
      <c r="G193" s="49">
        <v>18.1</v>
      </c>
      <c r="H193" s="49">
        <v>16.5</v>
      </c>
      <c r="I193" s="16">
        <v>14.5</v>
      </c>
      <c r="J193" s="17">
        <v>14.5</v>
      </c>
      <c r="K193" s="17">
        <v>42.2</v>
      </c>
      <c r="L193" s="19">
        <f t="shared" si="91"/>
        <v>85.94704684317719</v>
      </c>
      <c r="M193" s="17">
        <f t="shared" si="87"/>
        <v>66.35220125786164</v>
      </c>
      <c r="N193" s="17">
        <f t="shared" si="88"/>
        <v>34.87603305785124</v>
      </c>
    </row>
    <row r="194" spans="1:14" ht="22.5">
      <c r="A194" s="13" t="s">
        <v>11</v>
      </c>
      <c r="B194" s="26" t="s">
        <v>17</v>
      </c>
      <c r="C194" s="49">
        <v>692.5</v>
      </c>
      <c r="D194" s="69">
        <v>653</v>
      </c>
      <c r="E194" s="49">
        <f t="shared" si="90"/>
        <v>974.8</v>
      </c>
      <c r="F194" s="37">
        <f t="shared" si="89"/>
        <v>766.1</v>
      </c>
      <c r="G194" s="49">
        <v>168.3</v>
      </c>
      <c r="H194" s="49">
        <v>353.2</v>
      </c>
      <c r="I194" s="16">
        <v>244.6</v>
      </c>
      <c r="J194" s="17">
        <v>208.7</v>
      </c>
      <c r="K194" s="17">
        <v>859.9</v>
      </c>
      <c r="L194" s="19">
        <f t="shared" si="91"/>
        <v>112.24383239785928</v>
      </c>
      <c r="M194" s="17">
        <f t="shared" si="87"/>
        <v>88.2129667624128</v>
      </c>
      <c r="N194" s="17">
        <f t="shared" si="88"/>
        <v>131.68453292496173</v>
      </c>
    </row>
    <row r="195" spans="1:14" ht="25.5" customHeight="1">
      <c r="A195" s="27" t="s">
        <v>40</v>
      </c>
      <c r="B195" s="26" t="s">
        <v>41</v>
      </c>
      <c r="C195" s="49">
        <v>1341</v>
      </c>
      <c r="D195" s="69">
        <v>130</v>
      </c>
      <c r="E195" s="49">
        <f t="shared" si="90"/>
        <v>92.6</v>
      </c>
      <c r="F195" s="37">
        <f t="shared" si="89"/>
        <v>92.6</v>
      </c>
      <c r="G195" s="49">
        <v>92.6</v>
      </c>
      <c r="H195" s="49"/>
      <c r="I195" s="16"/>
      <c r="J195" s="17"/>
      <c r="K195" s="17">
        <v>23.1</v>
      </c>
      <c r="L195" s="19">
        <f t="shared" si="91"/>
        <v>24.946004319654428</v>
      </c>
      <c r="M195" s="17">
        <f>K195*100/E195</f>
        <v>24.946004319654428</v>
      </c>
      <c r="N195" s="17">
        <f>K195*100/D195</f>
        <v>17.76923076923077</v>
      </c>
    </row>
    <row r="196" spans="1:14" ht="22.5" customHeight="1">
      <c r="A196" s="27" t="s">
        <v>18</v>
      </c>
      <c r="B196" s="26" t="s">
        <v>15</v>
      </c>
      <c r="C196" s="49">
        <v>3469.7</v>
      </c>
      <c r="D196" s="69">
        <v>100</v>
      </c>
      <c r="E196" s="49">
        <f t="shared" si="90"/>
        <v>837.0999999999999</v>
      </c>
      <c r="F196" s="37">
        <f t="shared" si="89"/>
        <v>837.0999999999999</v>
      </c>
      <c r="G196" s="49">
        <v>100</v>
      </c>
      <c r="H196" s="49">
        <v>504.4</v>
      </c>
      <c r="I196" s="16">
        <v>232.7</v>
      </c>
      <c r="J196" s="17"/>
      <c r="K196" s="17">
        <v>747.5</v>
      </c>
      <c r="L196" s="19">
        <f t="shared" si="91"/>
        <v>89.29638036076933</v>
      </c>
      <c r="M196" s="17">
        <f>K196*100/E196</f>
        <v>89.29638036076933</v>
      </c>
      <c r="N196" s="17">
        <f>K196*100/D196</f>
        <v>747.5</v>
      </c>
    </row>
    <row r="197" spans="1:14" ht="13.5" customHeight="1">
      <c r="A197" s="20" t="s">
        <v>12</v>
      </c>
      <c r="B197" s="26" t="s">
        <v>7</v>
      </c>
      <c r="C197" s="49"/>
      <c r="D197" s="69"/>
      <c r="E197" s="49">
        <f t="shared" si="90"/>
        <v>0.2</v>
      </c>
      <c r="F197" s="37">
        <f t="shared" si="89"/>
        <v>0.2</v>
      </c>
      <c r="G197" s="49"/>
      <c r="H197" s="49">
        <v>0.2</v>
      </c>
      <c r="I197" s="16"/>
      <c r="J197" s="17"/>
      <c r="K197" s="17">
        <v>0.2</v>
      </c>
      <c r="L197" s="19">
        <f t="shared" si="91"/>
        <v>100</v>
      </c>
      <c r="M197" s="17">
        <f>K197*100/E197</f>
        <v>100</v>
      </c>
      <c r="N197" s="17"/>
    </row>
    <row r="198" spans="1:14" ht="13.5" customHeight="1">
      <c r="A198" s="51" t="s">
        <v>37</v>
      </c>
      <c r="B198" s="15" t="s">
        <v>38</v>
      </c>
      <c r="C198" s="77"/>
      <c r="D198" s="69"/>
      <c r="E198" s="49">
        <f t="shared" si="90"/>
        <v>0</v>
      </c>
      <c r="F198" s="37">
        <f t="shared" si="89"/>
        <v>0</v>
      </c>
      <c r="G198" s="49"/>
      <c r="H198" s="49"/>
      <c r="I198" s="16"/>
      <c r="J198" s="17"/>
      <c r="K198" s="17"/>
      <c r="L198" s="25"/>
      <c r="M198" s="22"/>
      <c r="N198" s="17"/>
    </row>
    <row r="199" spans="1:14" ht="21.75" customHeight="1">
      <c r="A199" s="53" t="s">
        <v>1</v>
      </c>
      <c r="B199" s="30" t="s">
        <v>0</v>
      </c>
      <c r="C199" s="68">
        <f>C200+C201</f>
        <v>44864.4</v>
      </c>
      <c r="D199" s="68">
        <f>D200+D201</f>
        <v>29955.2</v>
      </c>
      <c r="E199" s="52">
        <f>E200+E201</f>
        <v>38119.4</v>
      </c>
      <c r="F199" s="52">
        <f>F200</f>
        <v>30498.8</v>
      </c>
      <c r="G199" s="52">
        <f>G200</f>
        <v>9017.4</v>
      </c>
      <c r="H199" s="52">
        <f>H200</f>
        <v>12467.1</v>
      </c>
      <c r="I199" s="52">
        <f>I200</f>
        <v>9014.3</v>
      </c>
      <c r="J199" s="52">
        <f>J200</f>
        <v>7486</v>
      </c>
      <c r="K199" s="52">
        <f>K200+K201</f>
        <v>34028.6</v>
      </c>
      <c r="L199" s="25">
        <f>K199*100/F199</f>
        <v>111.57357010767637</v>
      </c>
      <c r="M199" s="22">
        <f>K199*100/E199</f>
        <v>89.26845648147662</v>
      </c>
      <c r="N199" s="22">
        <f>K199*100/D199</f>
        <v>113.59830680482854</v>
      </c>
    </row>
    <row r="200" spans="1:14" ht="28.5" customHeight="1">
      <c r="A200" s="67" t="s">
        <v>52</v>
      </c>
      <c r="B200" s="32" t="s">
        <v>20</v>
      </c>
      <c r="C200" s="49">
        <v>44699.4</v>
      </c>
      <c r="D200" s="69">
        <v>29955.2</v>
      </c>
      <c r="E200" s="49">
        <f t="shared" si="90"/>
        <v>37984.8</v>
      </c>
      <c r="F200" s="37">
        <f t="shared" si="89"/>
        <v>30498.8</v>
      </c>
      <c r="G200" s="49">
        <v>9017.4</v>
      </c>
      <c r="H200" s="49">
        <v>12467.1</v>
      </c>
      <c r="I200" s="49">
        <v>9014.3</v>
      </c>
      <c r="J200" s="17">
        <v>7486</v>
      </c>
      <c r="K200" s="17">
        <v>33894</v>
      </c>
      <c r="L200" s="19">
        <f>K200*100/F200</f>
        <v>111.13224126850892</v>
      </c>
      <c r="M200" s="17">
        <f>K200*100/E200</f>
        <v>89.23042901371075</v>
      </c>
      <c r="N200" s="17">
        <f>K200*100/D200</f>
        <v>113.14896912722999</v>
      </c>
    </row>
    <row r="201" spans="1:14" ht="25.5" customHeight="1">
      <c r="A201" s="66" t="s">
        <v>68</v>
      </c>
      <c r="B201" s="32" t="s">
        <v>69</v>
      </c>
      <c r="C201" s="49">
        <v>165</v>
      </c>
      <c r="D201" s="49"/>
      <c r="E201" s="49">
        <f t="shared" si="90"/>
        <v>134.6</v>
      </c>
      <c r="F201" s="37">
        <f>G201+H201+I201</f>
        <v>134.6</v>
      </c>
      <c r="G201" s="49"/>
      <c r="H201" s="49"/>
      <c r="I201" s="16">
        <v>134.6</v>
      </c>
      <c r="J201" s="17"/>
      <c r="K201" s="17">
        <v>134.6</v>
      </c>
      <c r="L201" s="19">
        <f>K201*100/F201</f>
        <v>100</v>
      </c>
      <c r="M201" s="17">
        <f>K201*100/E201</f>
        <v>100</v>
      </c>
      <c r="N201" s="17"/>
    </row>
    <row r="202" spans="1:14" ht="15" customHeight="1">
      <c r="A202" s="20"/>
      <c r="B202" s="21" t="s">
        <v>4</v>
      </c>
      <c r="C202" s="22">
        <f aca="true" t="shared" si="92" ref="C202:J202">C199+C188</f>
        <v>83116.1</v>
      </c>
      <c r="D202" s="22">
        <f t="shared" si="92"/>
        <v>59343.3</v>
      </c>
      <c r="E202" s="22">
        <f t="shared" si="92"/>
        <v>70680</v>
      </c>
      <c r="F202" s="22">
        <f t="shared" si="92"/>
        <v>54936.5</v>
      </c>
      <c r="G202" s="22">
        <f t="shared" si="92"/>
        <v>15805.900000000001</v>
      </c>
      <c r="H202" s="22">
        <f t="shared" si="92"/>
        <v>21322.3</v>
      </c>
      <c r="I202" s="22">
        <f t="shared" si="92"/>
        <v>17808.3</v>
      </c>
      <c r="J202" s="22">
        <f t="shared" si="92"/>
        <v>15608.9</v>
      </c>
      <c r="K202" s="22">
        <f>K199+K188</f>
        <v>60146.8</v>
      </c>
      <c r="L202" s="25">
        <f>K202*100/F202</f>
        <v>109.48422269347337</v>
      </c>
      <c r="M202" s="22">
        <f>K202*100/E202</f>
        <v>85.09734012450481</v>
      </c>
      <c r="N202" s="22">
        <f>K202*100/D202</f>
        <v>101.35398604391733</v>
      </c>
    </row>
    <row r="203" spans="1:14" ht="12.75">
      <c r="A203" s="180"/>
      <c r="B203" s="181"/>
      <c r="C203" s="181"/>
      <c r="D203" s="181"/>
      <c r="E203" s="181"/>
      <c r="F203" s="181"/>
      <c r="G203" s="181"/>
      <c r="H203" s="181"/>
      <c r="I203" s="181"/>
      <c r="J203" s="181"/>
      <c r="K203" s="181"/>
      <c r="L203" s="25"/>
      <c r="M203" s="22"/>
      <c r="N203" s="17"/>
    </row>
    <row r="204" spans="1:14" ht="12.75">
      <c r="A204" s="185" t="s">
        <v>33</v>
      </c>
      <c r="B204" s="186"/>
      <c r="C204" s="186"/>
      <c r="D204" s="186"/>
      <c r="E204" s="186"/>
      <c r="F204" s="186"/>
      <c r="G204" s="186"/>
      <c r="H204" s="186"/>
      <c r="I204" s="186"/>
      <c r="J204" s="186"/>
      <c r="K204" s="186"/>
      <c r="L204" s="186"/>
      <c r="M204" s="186"/>
      <c r="N204" s="186"/>
    </row>
    <row r="205" spans="1:14" ht="12.75">
      <c r="A205" s="23" t="s">
        <v>3</v>
      </c>
      <c r="B205" s="24" t="s">
        <v>53</v>
      </c>
      <c r="C205" s="68">
        <f>C206+C209+C211+C212+C210+C213+C214+C208+C207</f>
        <v>6994.4</v>
      </c>
      <c r="D205" s="68">
        <f>D206+D209+D211+D212+D210+D213+D214+D208+D207</f>
        <v>6063</v>
      </c>
      <c r="E205" s="25">
        <f aca="true" t="shared" si="93" ref="E205:J205">E206+E209+E211+E212+E210+E213+E214+E208+E207</f>
        <v>6476.299999999999</v>
      </c>
      <c r="F205" s="25">
        <f t="shared" si="93"/>
        <v>4789.4</v>
      </c>
      <c r="G205" s="25">
        <f t="shared" si="93"/>
        <v>1485.1</v>
      </c>
      <c r="H205" s="25">
        <f t="shared" si="93"/>
        <v>1784.1</v>
      </c>
      <c r="I205" s="25">
        <f t="shared" si="93"/>
        <v>1520.1999999999998</v>
      </c>
      <c r="J205" s="25">
        <f t="shared" si="93"/>
        <v>1686.9</v>
      </c>
      <c r="K205" s="25">
        <f>K206+K209+K211+K212+K210+K213+K214+K208+K207</f>
        <v>5497</v>
      </c>
      <c r="L205" s="25">
        <f>K205*100/F205</f>
        <v>114.77429323088488</v>
      </c>
      <c r="M205" s="22">
        <f aca="true" t="shared" si="94" ref="M205:M211">K205*100/E205</f>
        <v>84.87871161002425</v>
      </c>
      <c r="N205" s="22">
        <f aca="true" t="shared" si="95" ref="N205:N212">K205*100/D205</f>
        <v>90.66468744845785</v>
      </c>
    </row>
    <row r="206" spans="1:14" ht="12.75">
      <c r="A206" s="12" t="s">
        <v>63</v>
      </c>
      <c r="B206" s="46" t="s">
        <v>64</v>
      </c>
      <c r="C206" s="64">
        <v>1441.7</v>
      </c>
      <c r="D206" s="69">
        <v>1380</v>
      </c>
      <c r="E206" s="49">
        <f>G206+H206+I206+J206</f>
        <v>1380</v>
      </c>
      <c r="F206" s="37">
        <f aca="true" t="shared" si="96" ref="F206:F217">G206+H206+I206</f>
        <v>1035</v>
      </c>
      <c r="G206" s="49">
        <v>345</v>
      </c>
      <c r="H206" s="49">
        <v>345</v>
      </c>
      <c r="I206" s="49">
        <v>345</v>
      </c>
      <c r="J206" s="49">
        <v>345</v>
      </c>
      <c r="K206" s="17">
        <v>1004.4</v>
      </c>
      <c r="L206" s="19">
        <f>K206*100/F206</f>
        <v>97.04347826086956</v>
      </c>
      <c r="M206" s="17">
        <f t="shared" si="94"/>
        <v>72.78260869565217</v>
      </c>
      <c r="N206" s="17">
        <f t="shared" si="95"/>
        <v>72.78260869565217</v>
      </c>
    </row>
    <row r="207" spans="1:14" ht="24" customHeight="1">
      <c r="A207" s="12" t="s">
        <v>62</v>
      </c>
      <c r="B207" s="26" t="s">
        <v>61</v>
      </c>
      <c r="C207" s="49">
        <v>4790.9</v>
      </c>
      <c r="D207" s="69">
        <v>4250.6</v>
      </c>
      <c r="E207" s="49">
        <f>G207+H207+I207+J207</f>
        <v>4250.599999999999</v>
      </c>
      <c r="F207" s="37">
        <f t="shared" si="96"/>
        <v>3186.8999999999996</v>
      </c>
      <c r="G207" s="49">
        <v>1062.3</v>
      </c>
      <c r="H207" s="49">
        <v>1062.3</v>
      </c>
      <c r="I207" s="49">
        <v>1062.3</v>
      </c>
      <c r="J207" s="16">
        <v>1063.7</v>
      </c>
      <c r="K207" s="17">
        <v>3816.4</v>
      </c>
      <c r="L207" s="19">
        <f>K207*100/F207</f>
        <v>119.75273777024697</v>
      </c>
      <c r="M207" s="17">
        <f t="shared" si="94"/>
        <v>89.78497153343059</v>
      </c>
      <c r="N207" s="17">
        <f t="shared" si="95"/>
        <v>89.78497153343056</v>
      </c>
    </row>
    <row r="208" spans="1:14" ht="12.75" hidden="1">
      <c r="A208" s="12" t="s">
        <v>8</v>
      </c>
      <c r="B208" s="26" t="s">
        <v>5</v>
      </c>
      <c r="C208" s="49"/>
      <c r="D208" s="69"/>
      <c r="E208" s="49">
        <f aca="true" t="shared" si="97" ref="E208:E217">G208+H208+I208+J208</f>
        <v>0</v>
      </c>
      <c r="F208" s="37">
        <f t="shared" si="96"/>
        <v>0</v>
      </c>
      <c r="G208" s="49"/>
      <c r="H208" s="49"/>
      <c r="I208" s="16"/>
      <c r="J208" s="16"/>
      <c r="K208" s="17"/>
      <c r="L208" s="19"/>
      <c r="M208" s="17" t="e">
        <f t="shared" si="94"/>
        <v>#DIV/0!</v>
      </c>
      <c r="N208" s="17" t="e">
        <f t="shared" si="95"/>
        <v>#DIV/0!</v>
      </c>
    </row>
    <row r="209" spans="1:14" ht="12.75">
      <c r="A209" s="12" t="s">
        <v>9</v>
      </c>
      <c r="B209" s="26" t="s">
        <v>6</v>
      </c>
      <c r="C209" s="49">
        <v>373.4</v>
      </c>
      <c r="D209" s="69">
        <v>270.1</v>
      </c>
      <c r="E209" s="49">
        <f t="shared" si="97"/>
        <v>270.1</v>
      </c>
      <c r="F209" s="37">
        <f t="shared" si="96"/>
        <v>95.5</v>
      </c>
      <c r="G209" s="49">
        <v>37.5</v>
      </c>
      <c r="H209" s="49">
        <v>26.5</v>
      </c>
      <c r="I209" s="16">
        <v>31.5</v>
      </c>
      <c r="J209" s="16">
        <v>174.6</v>
      </c>
      <c r="K209" s="17">
        <v>134.4</v>
      </c>
      <c r="L209" s="19">
        <f>K209*100/F209</f>
        <v>140.7329842931937</v>
      </c>
      <c r="M209" s="17">
        <f t="shared" si="94"/>
        <v>49.759348389485375</v>
      </c>
      <c r="N209" s="17">
        <f t="shared" si="95"/>
        <v>49.759348389485375</v>
      </c>
    </row>
    <row r="210" spans="1:14" ht="12.75">
      <c r="A210" s="12" t="s">
        <v>10</v>
      </c>
      <c r="B210" s="26" t="s">
        <v>21</v>
      </c>
      <c r="C210" s="49">
        <v>8.5</v>
      </c>
      <c r="D210" s="69">
        <v>19</v>
      </c>
      <c r="E210" s="49">
        <f t="shared" si="97"/>
        <v>19</v>
      </c>
      <c r="F210" s="37">
        <f t="shared" si="96"/>
        <v>13.5</v>
      </c>
      <c r="G210" s="49">
        <v>4.5</v>
      </c>
      <c r="H210" s="49">
        <v>4.5</v>
      </c>
      <c r="I210" s="49">
        <v>4.5</v>
      </c>
      <c r="J210" s="16">
        <v>5.5</v>
      </c>
      <c r="K210" s="17">
        <v>14.1</v>
      </c>
      <c r="L210" s="19">
        <f>K210*100/F210</f>
        <v>104.44444444444444</v>
      </c>
      <c r="M210" s="17">
        <f t="shared" si="94"/>
        <v>74.21052631578948</v>
      </c>
      <c r="N210" s="17">
        <f t="shared" si="95"/>
        <v>74.21052631578948</v>
      </c>
    </row>
    <row r="211" spans="1:14" ht="22.5">
      <c r="A211" s="13" t="s">
        <v>11</v>
      </c>
      <c r="B211" s="26" t="s">
        <v>17</v>
      </c>
      <c r="C211" s="49">
        <v>246.7</v>
      </c>
      <c r="D211" s="69">
        <v>143.3</v>
      </c>
      <c r="E211" s="49">
        <f t="shared" si="97"/>
        <v>246.6</v>
      </c>
      <c r="F211" s="37">
        <f t="shared" si="96"/>
        <v>148.5</v>
      </c>
      <c r="G211" s="49">
        <v>35.8</v>
      </c>
      <c r="H211" s="49">
        <v>35.8</v>
      </c>
      <c r="I211" s="49">
        <v>76.9</v>
      </c>
      <c r="J211" s="16">
        <v>98.1</v>
      </c>
      <c r="K211" s="17">
        <v>185.6</v>
      </c>
      <c r="L211" s="19">
        <f>K211*100/F211</f>
        <v>124.98316498316498</v>
      </c>
      <c r="M211" s="17">
        <f t="shared" si="94"/>
        <v>75.26358475263585</v>
      </c>
      <c r="N211" s="17">
        <f t="shared" si="95"/>
        <v>129.5184926727146</v>
      </c>
    </row>
    <row r="212" spans="1:14" ht="22.5" hidden="1">
      <c r="A212" s="27" t="s">
        <v>18</v>
      </c>
      <c r="B212" s="26" t="s">
        <v>15</v>
      </c>
      <c r="C212" s="49"/>
      <c r="D212" s="69"/>
      <c r="E212" s="49">
        <f t="shared" si="97"/>
        <v>0</v>
      </c>
      <c r="F212" s="37">
        <f t="shared" si="96"/>
        <v>0</v>
      </c>
      <c r="G212" s="49"/>
      <c r="H212" s="49"/>
      <c r="I212" s="16"/>
      <c r="J212" s="16"/>
      <c r="K212" s="17"/>
      <c r="L212" s="19" t="e">
        <f>K212*100/F212</f>
        <v>#DIV/0!</v>
      </c>
      <c r="M212" s="17" t="e">
        <f>K212*100/E212</f>
        <v>#DIV/0!</v>
      </c>
      <c r="N212" s="17" t="e">
        <f t="shared" si="95"/>
        <v>#DIV/0!</v>
      </c>
    </row>
    <row r="213" spans="1:14" ht="16.5" customHeight="1">
      <c r="A213" s="27" t="s">
        <v>12</v>
      </c>
      <c r="B213" s="26" t="s">
        <v>7</v>
      </c>
      <c r="C213" s="49">
        <v>5.2</v>
      </c>
      <c r="D213" s="69"/>
      <c r="E213" s="49">
        <f t="shared" si="97"/>
        <v>0</v>
      </c>
      <c r="F213" s="37">
        <f t="shared" si="96"/>
        <v>0</v>
      </c>
      <c r="G213" s="49"/>
      <c r="H213" s="49"/>
      <c r="I213" s="16"/>
      <c r="J213" s="16"/>
      <c r="K213" s="17">
        <v>29.4</v>
      </c>
      <c r="L213" s="19"/>
      <c r="M213" s="17"/>
      <c r="N213" s="17"/>
    </row>
    <row r="214" spans="1:14" ht="12" customHeight="1">
      <c r="A214" s="51" t="s">
        <v>37</v>
      </c>
      <c r="B214" s="15" t="s">
        <v>38</v>
      </c>
      <c r="C214" s="77">
        <v>128</v>
      </c>
      <c r="D214" s="69"/>
      <c r="E214" s="49">
        <f t="shared" si="97"/>
        <v>310</v>
      </c>
      <c r="F214" s="37">
        <f t="shared" si="96"/>
        <v>310</v>
      </c>
      <c r="G214" s="49"/>
      <c r="H214" s="49">
        <v>310</v>
      </c>
      <c r="I214" s="16"/>
      <c r="J214" s="16"/>
      <c r="K214" s="17">
        <v>312.7</v>
      </c>
      <c r="L214" s="19">
        <f>K214*100/F214</f>
        <v>100.87096774193549</v>
      </c>
      <c r="M214" s="17">
        <f>K214*100/E214</f>
        <v>100.87096774193549</v>
      </c>
      <c r="N214" s="17"/>
    </row>
    <row r="215" spans="1:14" ht="15" customHeight="1">
      <c r="A215" s="23" t="s">
        <v>1</v>
      </c>
      <c r="B215" s="30" t="s">
        <v>0</v>
      </c>
      <c r="C215" s="70">
        <f>C216+C217</f>
        <v>44993.100000000006</v>
      </c>
      <c r="D215" s="70">
        <f>D216+D217</f>
        <v>31010.6</v>
      </c>
      <c r="E215" s="31">
        <f>E216+E217</f>
        <v>44276.399999999994</v>
      </c>
      <c r="F215" s="31">
        <f>F216</f>
        <v>34276.6</v>
      </c>
      <c r="G215" s="31">
        <f>G216</f>
        <v>7003.1</v>
      </c>
      <c r="H215" s="31">
        <f>H216</f>
        <v>8322.8</v>
      </c>
      <c r="I215" s="31">
        <f>I216</f>
        <v>18950.7</v>
      </c>
      <c r="J215" s="31">
        <f>J216</f>
        <v>9309.8</v>
      </c>
      <c r="K215" s="31">
        <f>K216+K217</f>
        <v>28867.1</v>
      </c>
      <c r="L215" s="25">
        <f>K215*100/F215</f>
        <v>84.21809631060258</v>
      </c>
      <c r="M215" s="22">
        <f>K215*100/E215</f>
        <v>65.19748669720212</v>
      </c>
      <c r="N215" s="22">
        <f>K215*100/D215</f>
        <v>93.08784738121804</v>
      </c>
    </row>
    <row r="216" spans="1:14" ht="28.5" customHeight="1">
      <c r="A216" s="66" t="s">
        <v>52</v>
      </c>
      <c r="B216" s="32" t="s">
        <v>20</v>
      </c>
      <c r="C216" s="49">
        <v>44874.3</v>
      </c>
      <c r="D216" s="69">
        <v>31010.6</v>
      </c>
      <c r="E216" s="49">
        <f t="shared" si="97"/>
        <v>43586.399999999994</v>
      </c>
      <c r="F216" s="37">
        <f t="shared" si="96"/>
        <v>34276.6</v>
      </c>
      <c r="G216" s="49">
        <v>7003.1</v>
      </c>
      <c r="H216" s="49">
        <v>8322.8</v>
      </c>
      <c r="I216" s="16">
        <v>18950.7</v>
      </c>
      <c r="J216" s="16">
        <v>9309.8</v>
      </c>
      <c r="K216" s="17">
        <v>28177.1</v>
      </c>
      <c r="L216" s="19">
        <f>K216*100/F216</f>
        <v>82.20506117876336</v>
      </c>
      <c r="M216" s="17">
        <f>K216*100/E216</f>
        <v>64.64654112291909</v>
      </c>
      <c r="N216" s="17">
        <f>K216*100/D216</f>
        <v>90.86280175165912</v>
      </c>
    </row>
    <row r="217" spans="1:14" ht="16.5" customHeight="1">
      <c r="A217" s="66" t="s">
        <v>60</v>
      </c>
      <c r="B217" s="33" t="s">
        <v>19</v>
      </c>
      <c r="C217" s="56">
        <v>118.8</v>
      </c>
      <c r="D217" s="49"/>
      <c r="E217" s="49">
        <f t="shared" si="97"/>
        <v>690</v>
      </c>
      <c r="F217" s="37">
        <f t="shared" si="96"/>
        <v>690</v>
      </c>
      <c r="G217" s="49"/>
      <c r="H217" s="49">
        <v>690</v>
      </c>
      <c r="I217" s="16"/>
      <c r="J217" s="16"/>
      <c r="K217" s="17">
        <v>690</v>
      </c>
      <c r="L217" s="19">
        <f>K217*100/F217</f>
        <v>100</v>
      </c>
      <c r="M217" s="17">
        <f>K217*100/E217</f>
        <v>100</v>
      </c>
      <c r="N217" s="17"/>
    </row>
    <row r="218" spans="1:14" ht="15" customHeight="1">
      <c r="A218" s="20"/>
      <c r="B218" s="21" t="s">
        <v>4</v>
      </c>
      <c r="C218" s="52">
        <f aca="true" t="shared" si="98" ref="C218:J218">C215+C205</f>
        <v>51987.50000000001</v>
      </c>
      <c r="D218" s="22">
        <f t="shared" si="98"/>
        <v>37073.6</v>
      </c>
      <c r="E218" s="22">
        <f t="shared" si="98"/>
        <v>50752.7</v>
      </c>
      <c r="F218" s="22">
        <f t="shared" si="98"/>
        <v>39066</v>
      </c>
      <c r="G218" s="52">
        <f t="shared" si="98"/>
        <v>8488.2</v>
      </c>
      <c r="H218" s="52">
        <f t="shared" si="98"/>
        <v>10106.9</v>
      </c>
      <c r="I218" s="52">
        <f t="shared" si="98"/>
        <v>20470.9</v>
      </c>
      <c r="J218" s="52">
        <f t="shared" si="98"/>
        <v>10996.699999999999</v>
      </c>
      <c r="K218" s="22">
        <f>K215+K205</f>
        <v>34364.1</v>
      </c>
      <c r="L218" s="25">
        <f>K218*100/F218</f>
        <v>87.96421440638919</v>
      </c>
      <c r="M218" s="22">
        <f>K218*100/E218</f>
        <v>67.70891006783876</v>
      </c>
      <c r="N218" s="22">
        <f>K218*100/D218</f>
        <v>92.69156488714341</v>
      </c>
    </row>
    <row r="219" spans="1:14" ht="12.75">
      <c r="A219" s="180"/>
      <c r="B219" s="181"/>
      <c r="C219" s="181"/>
      <c r="D219" s="181"/>
      <c r="E219" s="181"/>
      <c r="F219" s="181"/>
      <c r="G219" s="181"/>
      <c r="H219" s="181"/>
      <c r="I219" s="181"/>
      <c r="J219" s="181"/>
      <c r="K219" s="181"/>
      <c r="L219" s="25"/>
      <c r="M219" s="22"/>
      <c r="N219" s="17"/>
    </row>
    <row r="220" spans="1:14" ht="12.75">
      <c r="A220" s="185" t="s">
        <v>34</v>
      </c>
      <c r="B220" s="186"/>
      <c r="C220" s="186"/>
      <c r="D220" s="186"/>
      <c r="E220" s="186"/>
      <c r="F220" s="186"/>
      <c r="G220" s="186"/>
      <c r="H220" s="186"/>
      <c r="I220" s="186"/>
      <c r="J220" s="186"/>
      <c r="K220" s="186"/>
      <c r="L220" s="186"/>
      <c r="M220" s="186"/>
      <c r="N220" s="186"/>
    </row>
    <row r="221" spans="1:14" ht="12.75">
      <c r="A221" s="23" t="s">
        <v>3</v>
      </c>
      <c r="B221" s="24" t="s">
        <v>53</v>
      </c>
      <c r="C221" s="25">
        <f>C222+C224+C225+C226+C228+C229+C231+C233+C230+C227+C234+C232+C223</f>
        <v>1343388.3</v>
      </c>
      <c r="D221" s="25">
        <f aca="true" t="shared" si="99" ref="D221:J221">D222+D224+D225+D226+D228+D229+D231+D233+D230+D227+D234+D232+D223</f>
        <v>1206937.7000000002</v>
      </c>
      <c r="E221" s="25">
        <f t="shared" si="99"/>
        <v>1325054.2000000004</v>
      </c>
      <c r="F221" s="25">
        <f t="shared" si="99"/>
        <v>1058208.4000000001</v>
      </c>
      <c r="G221" s="25">
        <f t="shared" si="99"/>
        <v>301038.3</v>
      </c>
      <c r="H221" s="25">
        <f t="shared" si="99"/>
        <v>400592.50000000006</v>
      </c>
      <c r="I221" s="25">
        <f t="shared" si="99"/>
        <v>356577.6000000001</v>
      </c>
      <c r="J221" s="25">
        <f t="shared" si="99"/>
        <v>266845.89999999997</v>
      </c>
      <c r="K221" s="25">
        <f>K222+K224+K225+K226+K228+K229+K231+K233+K230+K227+K234+K232+K223</f>
        <v>1113943.1000000003</v>
      </c>
      <c r="L221" s="25">
        <f aca="true" t="shared" si="100" ref="L221:L226">K221*100/F221</f>
        <v>105.2668926082991</v>
      </c>
      <c r="M221" s="22">
        <f aca="true" t="shared" si="101" ref="M221:M226">K221*100/E221</f>
        <v>84.06773851213029</v>
      </c>
      <c r="N221" s="22">
        <f aca="true" t="shared" si="102" ref="N221:N233">K221*100/D221</f>
        <v>92.29499583947043</v>
      </c>
    </row>
    <row r="222" spans="1:19" ht="12.75">
      <c r="A222" s="12" t="s">
        <v>63</v>
      </c>
      <c r="B222" s="46" t="s">
        <v>64</v>
      </c>
      <c r="C222" s="17">
        <f>C9+C32+C48+C66+C84+C103+C119+C137+C154+C172+C189+C206+0.1</f>
        <v>904660.3999999999</v>
      </c>
      <c r="D222" s="17">
        <f>D9+D32+D48+D66+D84+D103+D119+D137+D154+D172+D189+D206</f>
        <v>866156.9</v>
      </c>
      <c r="E222" s="49">
        <f>G222+H222+I222+J222-0.1</f>
        <v>933191.4000000001</v>
      </c>
      <c r="F222" s="37">
        <f aca="true" t="shared" si="103" ref="F222:F240">G222+H222+I222</f>
        <v>765831.9000000001</v>
      </c>
      <c r="G222" s="17">
        <f>G9+G32+G48+G66+G84+G103+G119+G137+G154+G172+G189+G206</f>
        <v>232603.7</v>
      </c>
      <c r="H222" s="17">
        <f>H9+H32+H48+H66+H84+H103+H119+H137+H154+H172+H189+H206</f>
        <v>269876.10000000003</v>
      </c>
      <c r="I222" s="17">
        <f>I9+I32+I48+I66+I84+I103+I119+I137+I154+I172+I189+I206</f>
        <v>263352.10000000003</v>
      </c>
      <c r="J222" s="17">
        <f>J9+J32+J48+J66+J84+J103+J119+J137+J154+J172+J189+J206</f>
        <v>167359.59999999998</v>
      </c>
      <c r="K222" s="17">
        <f>K9+K32+K48+K66+K84+K103+K119+K137+K154+K172+K189+K206</f>
        <v>808471.0000000001</v>
      </c>
      <c r="L222" s="19">
        <f t="shared" si="100"/>
        <v>105.56768397869037</v>
      </c>
      <c r="M222" s="17">
        <f t="shared" si="101"/>
        <v>86.63506757563347</v>
      </c>
      <c r="N222" s="17">
        <f t="shared" si="102"/>
        <v>93.34001726477041</v>
      </c>
      <c r="P222" s="84"/>
      <c r="Q222" s="2"/>
      <c r="R222" s="2"/>
      <c r="S222" s="2"/>
    </row>
    <row r="223" spans="1:16" ht="22.5">
      <c r="A223" s="12" t="s">
        <v>62</v>
      </c>
      <c r="B223" s="26" t="s">
        <v>61</v>
      </c>
      <c r="C223" s="17">
        <f>C10+C33+C49+C67+C85+C104+C121+C138+C155+C173+C190+C207+0.1</f>
        <v>66281.6</v>
      </c>
      <c r="D223" s="17">
        <f>D10+D33+D49+D67+D85+D104+D121+D138+D155+D173+D190+D207</f>
        <v>57105.1</v>
      </c>
      <c r="E223" s="49">
        <f aca="true" t="shared" si="104" ref="E223:E236">G223+H223+I223+J223</f>
        <v>59756.1</v>
      </c>
      <c r="F223" s="37">
        <f t="shared" si="103"/>
        <v>44993.399999999994</v>
      </c>
      <c r="G223" s="17">
        <f>G10+G33+G49+G67+G85+G104+G121+G138+G155+G173+G190+G207</f>
        <v>14264.199999999997</v>
      </c>
      <c r="H223" s="17">
        <f>H10+H33+H49+H67+H85+H104+H121+H138+H155+H173+H190+H207</f>
        <v>14480.499999999998</v>
      </c>
      <c r="I223" s="17">
        <f>I10+I33+I49+I67+I85+I104+I121+I138+I155+I173+I190+I207</f>
        <v>16248.699999999999</v>
      </c>
      <c r="J223" s="17">
        <f>J10+J33+J49+J67+J85+J104+J121+J138+J155+J173+J190+J207</f>
        <v>14762.700000000003</v>
      </c>
      <c r="K223" s="17">
        <f>K10+K33+K49+K67+K85+K104+K121+K138+K155+K173+K190+K207+0.1</f>
        <v>51271.6</v>
      </c>
      <c r="L223" s="19">
        <f t="shared" si="100"/>
        <v>113.9536020838612</v>
      </c>
      <c r="M223" s="17">
        <f t="shared" si="101"/>
        <v>85.8014495591245</v>
      </c>
      <c r="N223" s="17">
        <f t="shared" si="102"/>
        <v>89.78462519109502</v>
      </c>
      <c r="P223" s="84"/>
    </row>
    <row r="224" spans="1:14" ht="12.75">
      <c r="A224" s="12" t="s">
        <v>8</v>
      </c>
      <c r="B224" s="26" t="s">
        <v>5</v>
      </c>
      <c r="C224" s="17">
        <f>C11+C50+C68+C208+C156+C191+C86+C105+C174+C122+C139</f>
        <v>75530.49999999997</v>
      </c>
      <c r="D224" s="17">
        <f>D11+D50+D68+D208+D156+D191+D86+D105+D174+D122+D139</f>
        <v>68423</v>
      </c>
      <c r="E224" s="49">
        <f>G224+H224+I224+J224</f>
        <v>68750.8</v>
      </c>
      <c r="F224" s="37">
        <f t="shared" si="103"/>
        <v>57571.8</v>
      </c>
      <c r="G224" s="17">
        <f>G11+G50+G68+G208+G156+G191+G86+G105+G174+G122+G139</f>
        <v>6909.7</v>
      </c>
      <c r="H224" s="17">
        <f>H11+H50+H68+H208+H156+H191+H86+H105+H174+H122+H139</f>
        <v>40182.3</v>
      </c>
      <c r="I224" s="17">
        <f>I11+I50+I68+I208+I156+I191+I86+I105+I174+I122+I139</f>
        <v>10479.8</v>
      </c>
      <c r="J224" s="17">
        <f>J11+J50+J68+J208+J156+J191+J86+J105+J174+J122+J139</f>
        <v>11179</v>
      </c>
      <c r="K224" s="17">
        <f>K11+K50+K68+K208+K156+K191+K86+K105+K174+K122+K139+0.1</f>
        <v>55478.5</v>
      </c>
      <c r="L224" s="19">
        <f t="shared" si="100"/>
        <v>96.36401849516604</v>
      </c>
      <c r="M224" s="17">
        <f t="shared" si="101"/>
        <v>80.69506100292651</v>
      </c>
      <c r="N224" s="17">
        <f t="shared" si="102"/>
        <v>81.08165382985254</v>
      </c>
    </row>
    <row r="225" spans="1:14" ht="12.75">
      <c r="A225" s="12" t="s">
        <v>9</v>
      </c>
      <c r="B225" s="26" t="s">
        <v>6</v>
      </c>
      <c r="C225" s="17">
        <f>C12+C34+C51+C69+C87+C106+C123+C140+C157+C175+C192+C209</f>
        <v>51650.2</v>
      </c>
      <c r="D225" s="17">
        <f>D12+D34+D51+D69+D87+D106+D123+D140+D157+D175+D192+D209</f>
        <v>32370.8</v>
      </c>
      <c r="E225" s="49">
        <f t="shared" si="104"/>
        <v>41488</v>
      </c>
      <c r="F225" s="37">
        <f t="shared" si="103"/>
        <v>22691.9</v>
      </c>
      <c r="G225" s="17">
        <f>G12+G34+G51+G69+G87+G106+G123+G140+G157+G175+G192+G209</f>
        <v>5378.8</v>
      </c>
      <c r="H225" s="17">
        <f>H12+H34+H51+H69+H87+H106+H123+H140+H157+H175+H192+H209</f>
        <v>8870.9</v>
      </c>
      <c r="I225" s="17">
        <f>I12+I34+I51+I69+I87+I106+I123+I140+I157+I175+I192+I209</f>
        <v>8442.2</v>
      </c>
      <c r="J225" s="17">
        <f>J12+J34+J51+J69+J87+J106+J123+J140+J157+J175+J192+J209</f>
        <v>18796.1</v>
      </c>
      <c r="K225" s="17">
        <f>K12+K34+K51+K69+K87+K106+K123+K140+K157+K175+K192+K209</f>
        <v>23104.3</v>
      </c>
      <c r="L225" s="19">
        <f t="shared" si="100"/>
        <v>101.8173885835915</v>
      </c>
      <c r="M225" s="17">
        <f t="shared" si="101"/>
        <v>55.68911492479753</v>
      </c>
      <c r="N225" s="17">
        <f t="shared" si="102"/>
        <v>71.37389252041964</v>
      </c>
    </row>
    <row r="226" spans="1:14" ht="12.75">
      <c r="A226" s="12" t="s">
        <v>10</v>
      </c>
      <c r="B226" s="26" t="s">
        <v>21</v>
      </c>
      <c r="C226" s="17">
        <f>C13+C35+C52+C70+C88+C107+C124+C141+C158+C176+C193+C210</f>
        <v>5476.499999999999</v>
      </c>
      <c r="D226" s="17">
        <f>D13+D35+D52+D70+D88+D107+D124+D141+D158+D176+D193+D210</f>
        <v>4589.1</v>
      </c>
      <c r="E226" s="49">
        <f t="shared" si="104"/>
        <v>4720.9</v>
      </c>
      <c r="F226" s="37">
        <f t="shared" si="103"/>
        <v>3508</v>
      </c>
      <c r="G226" s="17">
        <f>G13+G35+G70+G88+G107+G124+G141+G158+G176+G193+G210+G52</f>
        <v>1164.3</v>
      </c>
      <c r="H226" s="17">
        <f>H13+H35+H70+H88+H107+H124+H141+H158+H176+H193+H210+H52</f>
        <v>1301.2</v>
      </c>
      <c r="I226" s="17">
        <f>I13+I35+I70+I88+I107+I124+I141+I158+I176+I193+I210+I52</f>
        <v>1042.5</v>
      </c>
      <c r="J226" s="17">
        <f>J13+J35+J70+J88+J107+J124+J141+J158+J176+J193+J210+J52</f>
        <v>1212.8999999999999</v>
      </c>
      <c r="K226" s="17">
        <f>K13+K35+K70+K88+K107+K124+K141+K158+K176+K193+K210+K52-0.1</f>
        <v>3588.7999999999993</v>
      </c>
      <c r="L226" s="19">
        <f t="shared" si="100"/>
        <v>102.30330672748003</v>
      </c>
      <c r="M226" s="17">
        <f t="shared" si="101"/>
        <v>76.01940307992119</v>
      </c>
      <c r="N226" s="17">
        <f t="shared" si="102"/>
        <v>78.20269769671611</v>
      </c>
    </row>
    <row r="227" spans="1:14" ht="22.5" hidden="1">
      <c r="A227" s="12" t="s">
        <v>35</v>
      </c>
      <c r="B227" s="26" t="s">
        <v>36</v>
      </c>
      <c r="C227" s="34">
        <f>C14</f>
        <v>0</v>
      </c>
      <c r="D227" s="34">
        <f>D14</f>
        <v>0</v>
      </c>
      <c r="E227" s="49">
        <f t="shared" si="104"/>
        <v>0</v>
      </c>
      <c r="F227" s="37">
        <f t="shared" si="103"/>
        <v>0</v>
      </c>
      <c r="G227" s="34">
        <f>G14</f>
        <v>0</v>
      </c>
      <c r="H227" s="34">
        <f>H14</f>
        <v>0</v>
      </c>
      <c r="I227" s="34">
        <f>I14</f>
        <v>0</v>
      </c>
      <c r="J227" s="34">
        <f>J14</f>
        <v>0</v>
      </c>
      <c r="K227" s="34">
        <f>K14</f>
        <v>0</v>
      </c>
      <c r="L227" s="19"/>
      <c r="M227" s="17"/>
      <c r="N227" s="17" t="e">
        <f t="shared" si="102"/>
        <v>#DIV/0!</v>
      </c>
    </row>
    <row r="228" spans="1:14" ht="22.5">
      <c r="A228" s="13" t="s">
        <v>11</v>
      </c>
      <c r="B228" s="26" t="s">
        <v>17</v>
      </c>
      <c r="C228" s="17">
        <f>C15+C36+C53+C71+C89+C108+C125+C142+C159+C177+C194+C211-0.1</f>
        <v>164610.9</v>
      </c>
      <c r="D228" s="17">
        <f>D15+D36+D53+D71+D89+D108+D125+D142+D159+D177+D194+D211</f>
        <v>133392</v>
      </c>
      <c r="E228" s="49">
        <f t="shared" si="104"/>
        <v>149081.1</v>
      </c>
      <c r="F228" s="17">
        <f aca="true" t="shared" si="105" ref="F228:K228">F15+F36+F53+F71+F89+F108+F125+F142+F159+F177+F194+F211</f>
        <v>108703.3</v>
      </c>
      <c r="G228" s="17">
        <f t="shared" si="105"/>
        <v>22302.6</v>
      </c>
      <c r="H228" s="17">
        <f t="shared" si="105"/>
        <v>44289.5</v>
      </c>
      <c r="I228" s="17">
        <f t="shared" si="105"/>
        <v>42111.200000000004</v>
      </c>
      <c r="J228" s="17">
        <f t="shared" si="105"/>
        <v>40377.79999999999</v>
      </c>
      <c r="K228" s="17">
        <f t="shared" si="105"/>
        <v>115271.09999999999</v>
      </c>
      <c r="L228" s="19">
        <f aca="true" t="shared" si="106" ref="L228:L233">K228*100/F228</f>
        <v>106.04195088833549</v>
      </c>
      <c r="M228" s="17">
        <f aca="true" t="shared" si="107" ref="M228:M233">K228*100/E228</f>
        <v>77.32106886788466</v>
      </c>
      <c r="N228" s="17">
        <f t="shared" si="102"/>
        <v>86.41530226700252</v>
      </c>
    </row>
    <row r="229" spans="1:14" ht="12.75">
      <c r="A229" s="27" t="s">
        <v>14</v>
      </c>
      <c r="B229" s="26" t="s">
        <v>13</v>
      </c>
      <c r="C229" s="17">
        <f>C16</f>
        <v>14701.1</v>
      </c>
      <c r="D229" s="17">
        <f>D16</f>
        <v>19334</v>
      </c>
      <c r="E229" s="49">
        <f t="shared" si="104"/>
        <v>25467.699999999997</v>
      </c>
      <c r="F229" s="37">
        <f t="shared" si="103"/>
        <v>19093.899999999998</v>
      </c>
      <c r="G229" s="17">
        <f>G16</f>
        <v>10198.8</v>
      </c>
      <c r="H229" s="17">
        <f>H16</f>
        <v>5258.9</v>
      </c>
      <c r="I229" s="17">
        <f>I16</f>
        <v>3636.2</v>
      </c>
      <c r="J229" s="17">
        <f>J16</f>
        <v>6373.8</v>
      </c>
      <c r="K229" s="17">
        <f>K16</f>
        <v>17792.6</v>
      </c>
      <c r="L229" s="19">
        <f t="shared" si="106"/>
        <v>93.18473439161198</v>
      </c>
      <c r="M229" s="17">
        <f t="shared" si="107"/>
        <v>69.8633955952049</v>
      </c>
      <c r="N229" s="17">
        <f t="shared" si="102"/>
        <v>92.02751629254162</v>
      </c>
    </row>
    <row r="230" spans="1:14" ht="22.5">
      <c r="A230" s="28" t="s">
        <v>40</v>
      </c>
      <c r="B230" s="26" t="s">
        <v>41</v>
      </c>
      <c r="C230" s="35">
        <f>C17+C90+C54+C109+C143+C160+C178+C195+C126+C72+C37-0.1</f>
        <v>3654</v>
      </c>
      <c r="D230" s="35">
        <f>D17+D90+D54+D109+D143+D160+D178+D195+D126+D72+D37</f>
        <v>1382.5</v>
      </c>
      <c r="E230" s="49">
        <f>G230+H230+I230+J230</f>
        <v>3263.7999999999997</v>
      </c>
      <c r="F230" s="37">
        <f t="shared" si="103"/>
        <v>2769.3999999999996</v>
      </c>
      <c r="G230" s="35">
        <f>G17+G90+G54+G109+G143+G160+G178+G195+G126+G72+G37</f>
        <v>503.9</v>
      </c>
      <c r="H230" s="35">
        <f>H17+H90+H54+H109+H143+H160+H178+H195+H126+H72+H37</f>
        <v>321.1</v>
      </c>
      <c r="I230" s="35">
        <f>I17+I90+I54+I109+I143+I160+I178+I195+I126+I72+I37</f>
        <v>1944.3999999999999</v>
      </c>
      <c r="J230" s="35">
        <f>J17+J90+J54+J109+J143+J160+J178+J195+J126+J72+J37</f>
        <v>494.4</v>
      </c>
      <c r="K230" s="35">
        <f>K17+K90+K54+K109+K143+K160+K178+K195+K126+K72+K37</f>
        <v>2775.3</v>
      </c>
      <c r="L230" s="19">
        <f t="shared" si="106"/>
        <v>100.21304253628946</v>
      </c>
      <c r="M230" s="17">
        <f t="shared" si="107"/>
        <v>85.03278387156077</v>
      </c>
      <c r="N230" s="17">
        <f t="shared" si="102"/>
        <v>200.74502712477397</v>
      </c>
    </row>
    <row r="231" spans="1:14" ht="22.5">
      <c r="A231" s="28" t="s">
        <v>18</v>
      </c>
      <c r="B231" s="26" t="s">
        <v>15</v>
      </c>
      <c r="C231" s="17">
        <f>C18+C38+C55+C73+C91+C127+C161+C179+C196+C212+C144</f>
        <v>33973.100000000006</v>
      </c>
      <c r="D231" s="17">
        <f aca="true" t="shared" si="108" ref="D231:J231">D18+D38+D55+D73+D91+D127+D161+D179+D196+D212+D144</f>
        <v>12052.199999999999</v>
      </c>
      <c r="E231" s="17">
        <f t="shared" si="108"/>
        <v>27010.4</v>
      </c>
      <c r="F231" s="17">
        <f t="shared" si="108"/>
        <v>21637.2</v>
      </c>
      <c r="G231" s="17">
        <f t="shared" si="108"/>
        <v>5318</v>
      </c>
      <c r="H231" s="17">
        <f t="shared" si="108"/>
        <v>8041.4</v>
      </c>
      <c r="I231" s="17">
        <f t="shared" si="108"/>
        <v>8277.8</v>
      </c>
      <c r="J231" s="17">
        <f t="shared" si="108"/>
        <v>5373.2</v>
      </c>
      <c r="K231" s="17">
        <f>K18+K38+K55+K73+K91+K127+K161+K179+K196+K212+K144-0.2</f>
        <v>23297.3</v>
      </c>
      <c r="L231" s="19">
        <f t="shared" si="106"/>
        <v>107.67243451093486</v>
      </c>
      <c r="M231" s="17">
        <f t="shared" si="107"/>
        <v>86.2530728904422</v>
      </c>
      <c r="N231" s="17">
        <f t="shared" si="102"/>
        <v>193.3032973233103</v>
      </c>
    </row>
    <row r="232" spans="1:14" ht="12.75">
      <c r="A232" s="28" t="s">
        <v>46</v>
      </c>
      <c r="B232" s="26" t="s">
        <v>47</v>
      </c>
      <c r="C232" s="17">
        <f>C19</f>
        <v>45</v>
      </c>
      <c r="D232" s="17">
        <f>D19</f>
        <v>18.6</v>
      </c>
      <c r="E232" s="49">
        <f t="shared" si="104"/>
        <v>18.6</v>
      </c>
      <c r="F232" s="37">
        <f t="shared" si="103"/>
        <v>0</v>
      </c>
      <c r="G232" s="17">
        <f>G19</f>
        <v>0</v>
      </c>
      <c r="H232" s="17">
        <f>H19</f>
        <v>0</v>
      </c>
      <c r="I232" s="17">
        <f>I19</f>
        <v>0</v>
      </c>
      <c r="J232" s="17">
        <f>J19</f>
        <v>18.6</v>
      </c>
      <c r="K232" s="17">
        <f>K19</f>
        <v>0</v>
      </c>
      <c r="L232" s="19" t="e">
        <f t="shared" si="106"/>
        <v>#DIV/0!</v>
      </c>
      <c r="M232" s="17">
        <f t="shared" si="107"/>
        <v>0</v>
      </c>
      <c r="N232" s="17">
        <f t="shared" si="102"/>
        <v>0</v>
      </c>
    </row>
    <row r="233" spans="1:14" ht="12.75">
      <c r="A233" s="20" t="s">
        <v>12</v>
      </c>
      <c r="B233" s="26" t="s">
        <v>7</v>
      </c>
      <c r="C233" s="17">
        <f>C20+C197+C213+C74+C145+C56+C162+C92+C180+C110+C128+0.2</f>
        <v>21780.800000000003</v>
      </c>
      <c r="D233" s="17">
        <f>D20+D197+D213+D74+D145+D56+D162+D92+D180+D110+D128</f>
        <v>12113.5</v>
      </c>
      <c r="E233" s="17">
        <f>E20+E197+E213+E74+E145+E56+E162+E92+E180+E110+E128</f>
        <v>10924.800000000001</v>
      </c>
      <c r="F233" s="37">
        <f t="shared" si="103"/>
        <v>10045</v>
      </c>
      <c r="G233" s="17">
        <f>G20+G197+G213+G74+G145+G56+G162+G92+G180</f>
        <v>2394.3</v>
      </c>
      <c r="H233" s="17">
        <f>H20+H197+H213+H74+H145+H56+H162+H92+H180</f>
        <v>6790</v>
      </c>
      <c r="I233" s="17">
        <f>I20+I197+I213+I74+I145+I56+I162+I92+I180</f>
        <v>860.7</v>
      </c>
      <c r="J233" s="17">
        <f>J20+J197+J213+J74+J145+J56+J162+J92+J180</f>
        <v>879.8</v>
      </c>
      <c r="K233" s="17">
        <f>K20+K197+K213+K74+K145+K56+K162+K92+K180+K110+K39</f>
        <v>11542.400000000001</v>
      </c>
      <c r="L233" s="19">
        <f t="shared" si="106"/>
        <v>114.90691886510704</v>
      </c>
      <c r="M233" s="17">
        <f t="shared" si="107"/>
        <v>105.6531927357938</v>
      </c>
      <c r="N233" s="17">
        <f t="shared" si="102"/>
        <v>95.28542535188015</v>
      </c>
    </row>
    <row r="234" spans="1:14" ht="11.25" customHeight="1">
      <c r="A234" s="29" t="s">
        <v>37</v>
      </c>
      <c r="B234" s="15" t="s">
        <v>38</v>
      </c>
      <c r="C234" s="17">
        <f>C21+C40+C57+C75+C93+C111+C129+C146+C163+C181+C198+C214+0.1</f>
        <v>1024.1999999999998</v>
      </c>
      <c r="D234" s="17">
        <f>D21+D40+D57+D75+D93+D111+D129+D146+D163+D181+D198+D214</f>
        <v>0</v>
      </c>
      <c r="E234" s="49">
        <f t="shared" si="104"/>
        <v>1380.6</v>
      </c>
      <c r="F234" s="37">
        <f t="shared" si="103"/>
        <v>1362.6</v>
      </c>
      <c r="G234" s="17">
        <v>0</v>
      </c>
      <c r="H234" s="17">
        <f>H21+H40+H57+H75+H93+H111+H129+H146+H163+H181+H198+H214</f>
        <v>1180.6</v>
      </c>
      <c r="I234" s="17">
        <f>I21+I40+I57+I75+I93+I111+I129+I146+I163+I181+I198+I214</f>
        <v>182</v>
      </c>
      <c r="J234" s="17">
        <f>J21+J40+J57+J75+J93+J111+J129+J146+J163+J181+J198+J214</f>
        <v>18</v>
      </c>
      <c r="K234" s="17">
        <f>K21+K40+K57+K75+K93+K111+K129+K146+K163+K181+K198+K214+0.1</f>
        <v>1350.2</v>
      </c>
      <c r="L234" s="19">
        <f>K234*100/F234</f>
        <v>99.08997504770292</v>
      </c>
      <c r="M234" s="17">
        <f>K234*100/E234</f>
        <v>97.79805881500798</v>
      </c>
      <c r="N234" s="17"/>
    </row>
    <row r="235" spans="1:14" ht="15.75" customHeight="1">
      <c r="A235" s="23" t="s">
        <v>1</v>
      </c>
      <c r="B235" s="30" t="s">
        <v>0</v>
      </c>
      <c r="C235" s="31">
        <f>C236+C238+C240+C239+C237</f>
        <v>3465421.9</v>
      </c>
      <c r="D235" s="31">
        <f>D236+D238+D240+D239+D237</f>
        <v>3967377.9</v>
      </c>
      <c r="E235" s="31">
        <f>E236+E238+E240+E239+E237+0.1</f>
        <v>4348229.999999999</v>
      </c>
      <c r="F235" s="31">
        <f>F236+F238+F240+F239+F237</f>
        <v>2623881.8</v>
      </c>
      <c r="G235" s="31">
        <f>G236+G238+G240+G239+G237</f>
        <v>596267.2999999999</v>
      </c>
      <c r="H235" s="31">
        <f>H236+H238+H240+H239+H237</f>
        <v>1019955.6</v>
      </c>
      <c r="I235" s="31">
        <f>I236+I238+I240+I239+I237</f>
        <v>1007658.9</v>
      </c>
      <c r="J235" s="31">
        <f>J236+J238+J240+J239+J237</f>
        <v>1724348.0999999999</v>
      </c>
      <c r="K235" s="31">
        <f>K236+K238+K240+K239+K237+0.1</f>
        <v>2513100.6</v>
      </c>
      <c r="L235" s="25">
        <f aca="true" t="shared" si="109" ref="L235:L241">K235*100/F235</f>
        <v>95.77796530316267</v>
      </c>
      <c r="M235" s="22">
        <f aca="true" t="shared" si="110" ref="M235:M241">K235*100/E235</f>
        <v>57.79594455675069</v>
      </c>
      <c r="N235" s="22">
        <f>K235*100/D235</f>
        <v>63.34411955059789</v>
      </c>
    </row>
    <row r="236" spans="1:14" ht="25.5" customHeight="1">
      <c r="A236" s="66" t="s">
        <v>52</v>
      </c>
      <c r="B236" s="32" t="s">
        <v>20</v>
      </c>
      <c r="C236" s="16">
        <f>C23-31022.4</f>
        <v>3427090.9</v>
      </c>
      <c r="D236" s="16">
        <f>D23-40965</f>
        <v>3967377.9</v>
      </c>
      <c r="E236" s="49">
        <f t="shared" si="104"/>
        <v>4269168.1</v>
      </c>
      <c r="F236" s="37">
        <f t="shared" si="103"/>
        <v>2575021.6999999997</v>
      </c>
      <c r="G236" s="16">
        <f>G23-7754.8</f>
        <v>599158.2</v>
      </c>
      <c r="H236" s="16">
        <f>H23-12791.1</f>
        <v>1013682.1</v>
      </c>
      <c r="I236" s="16">
        <f>I23-10401.6</f>
        <v>962181.4</v>
      </c>
      <c r="J236" s="16">
        <f>J23-10541.1</f>
        <v>1694146.4</v>
      </c>
      <c r="K236" s="16">
        <f>K23-23912.9</f>
        <v>2461780.5</v>
      </c>
      <c r="L236" s="19">
        <f t="shared" si="109"/>
        <v>95.60232055520154</v>
      </c>
      <c r="M236" s="17">
        <f t="shared" si="110"/>
        <v>57.66417349553418</v>
      </c>
      <c r="N236" s="17">
        <f>K236*100/D236</f>
        <v>62.0505674541364</v>
      </c>
    </row>
    <row r="237" spans="1:14" ht="24" customHeight="1">
      <c r="A237" s="66" t="s">
        <v>68</v>
      </c>
      <c r="B237" s="32" t="s">
        <v>69</v>
      </c>
      <c r="C237" s="16">
        <f>C24+C78+C97+C201+C132</f>
        <v>2008.4</v>
      </c>
      <c r="D237" s="16">
        <f aca="true" t="shared" si="111" ref="D237:K237">D24+D78+D97+D201+D132</f>
        <v>0</v>
      </c>
      <c r="E237" s="16">
        <f t="shared" si="111"/>
        <v>1553.6</v>
      </c>
      <c r="F237" s="16">
        <f t="shared" si="111"/>
        <v>1553.6</v>
      </c>
      <c r="G237" s="16">
        <f t="shared" si="111"/>
        <v>0</v>
      </c>
      <c r="H237" s="16">
        <f t="shared" si="111"/>
        <v>850</v>
      </c>
      <c r="I237" s="16">
        <f t="shared" si="111"/>
        <v>703.6</v>
      </c>
      <c r="J237" s="16">
        <f t="shared" si="111"/>
        <v>0</v>
      </c>
      <c r="K237" s="16">
        <f t="shared" si="111"/>
        <v>1987.3999999999999</v>
      </c>
      <c r="L237" s="19">
        <f t="shared" si="109"/>
        <v>127.92224510813595</v>
      </c>
      <c r="M237" s="17">
        <f t="shared" si="110"/>
        <v>127.92224510813595</v>
      </c>
      <c r="N237" s="16">
        <f>N24+N78+N97+N201+N132</f>
        <v>0</v>
      </c>
    </row>
    <row r="238" spans="1:14" ht="15" customHeight="1">
      <c r="A238" s="66" t="s">
        <v>60</v>
      </c>
      <c r="B238" s="33" t="s">
        <v>19</v>
      </c>
      <c r="C238" s="17">
        <f>C25+C98+C166+C217+C79+C114+C184</f>
        <v>42701.4</v>
      </c>
      <c r="D238" s="17">
        <f aca="true" t="shared" si="112" ref="D238:J238">D25+D98+D166+D217+D79+D114+D184</f>
        <v>0</v>
      </c>
      <c r="E238" s="17">
        <f t="shared" si="112"/>
        <v>81873.2</v>
      </c>
      <c r="F238" s="17">
        <f t="shared" si="112"/>
        <v>51671.5</v>
      </c>
      <c r="G238" s="17">
        <f t="shared" si="112"/>
        <v>1048</v>
      </c>
      <c r="H238" s="17">
        <f t="shared" si="112"/>
        <v>5423.5</v>
      </c>
      <c r="I238" s="17">
        <f t="shared" si="112"/>
        <v>45200</v>
      </c>
      <c r="J238" s="17">
        <f t="shared" si="112"/>
        <v>30201.7</v>
      </c>
      <c r="K238" s="17">
        <f>K25+K98+K166+K217+K79+K114+K184</f>
        <v>53271.5</v>
      </c>
      <c r="L238" s="19">
        <f t="shared" si="109"/>
        <v>103.09648452241565</v>
      </c>
      <c r="M238" s="17">
        <f t="shared" si="110"/>
        <v>65.06585793641875</v>
      </c>
      <c r="N238" s="17"/>
    </row>
    <row r="239" spans="1:14" ht="15.75" customHeight="1" hidden="1">
      <c r="A239" s="66" t="s">
        <v>59</v>
      </c>
      <c r="B239" s="15" t="s">
        <v>50</v>
      </c>
      <c r="C239" s="17"/>
      <c r="D239" s="17"/>
      <c r="E239" s="49">
        <f>470.7-470.7</f>
        <v>0</v>
      </c>
      <c r="F239" s="37">
        <f t="shared" si="103"/>
        <v>0</v>
      </c>
      <c r="G239" s="17">
        <f>-470.7+470.7</f>
        <v>0</v>
      </c>
      <c r="H239" s="17"/>
      <c r="I239" s="17"/>
      <c r="J239" s="17"/>
      <c r="K239" s="17"/>
      <c r="L239" s="19" t="e">
        <f t="shared" si="109"/>
        <v>#DIV/0!</v>
      </c>
      <c r="M239" s="17" t="e">
        <f t="shared" si="110"/>
        <v>#DIV/0!</v>
      </c>
      <c r="N239" s="17" t="e">
        <f>K239*100/D239</f>
        <v>#DIV/0!</v>
      </c>
    </row>
    <row r="240" spans="1:14" ht="14.25" customHeight="1">
      <c r="A240" s="66" t="s">
        <v>51</v>
      </c>
      <c r="B240" s="18" t="s">
        <v>49</v>
      </c>
      <c r="C240" s="17">
        <f>C27</f>
        <v>-6378.8</v>
      </c>
      <c r="D240" s="17">
        <f>D27</f>
        <v>0</v>
      </c>
      <c r="E240" s="49">
        <f>G240+H240+I240+J240</f>
        <v>-4365</v>
      </c>
      <c r="F240" s="37">
        <f t="shared" si="103"/>
        <v>-4365</v>
      </c>
      <c r="G240" s="17">
        <f>G27</f>
        <v>-3938.9</v>
      </c>
      <c r="H240" s="17">
        <f>H27</f>
        <v>0</v>
      </c>
      <c r="I240" s="17">
        <f>I27+I149</f>
        <v>-426.1</v>
      </c>
      <c r="J240" s="17">
        <f>J27</f>
        <v>0</v>
      </c>
      <c r="K240" s="17">
        <f>K27</f>
        <v>-3938.9</v>
      </c>
      <c r="L240" s="19">
        <f t="shared" si="109"/>
        <v>90.23825887743413</v>
      </c>
      <c r="M240" s="17">
        <f t="shared" si="110"/>
        <v>90.23825887743413</v>
      </c>
      <c r="N240" s="17"/>
    </row>
    <row r="241" spans="1:14" ht="13.5" customHeight="1">
      <c r="A241" s="20"/>
      <c r="B241" s="21" t="s">
        <v>4</v>
      </c>
      <c r="C241" s="22">
        <f>C235+C221</f>
        <v>4808810.2</v>
      </c>
      <c r="D241" s="22">
        <f aca="true" t="shared" si="113" ref="D241:J241">D235+D221</f>
        <v>5174315.6</v>
      </c>
      <c r="E241" s="22">
        <f>E235+E221</f>
        <v>5673284.199999999</v>
      </c>
      <c r="F241" s="22">
        <f t="shared" si="113"/>
        <v>3682090.2</v>
      </c>
      <c r="G241" s="22">
        <f t="shared" si="113"/>
        <v>897305.5999999999</v>
      </c>
      <c r="H241" s="22">
        <f t="shared" si="113"/>
        <v>1420548.1</v>
      </c>
      <c r="I241" s="22">
        <f t="shared" si="113"/>
        <v>1364236.5</v>
      </c>
      <c r="J241" s="22">
        <f t="shared" si="113"/>
        <v>1991193.9999999998</v>
      </c>
      <c r="K241" s="22">
        <f>K235+K221</f>
        <v>3627043.7</v>
      </c>
      <c r="L241" s="25">
        <f t="shared" si="109"/>
        <v>98.50502032785617</v>
      </c>
      <c r="M241" s="22">
        <f t="shared" si="110"/>
        <v>63.93199374711389</v>
      </c>
      <c r="N241" s="22">
        <f>K241*100/D241</f>
        <v>70.09707138853301</v>
      </c>
    </row>
    <row r="242" spans="2:9" ht="12.75">
      <c r="B242" s="8"/>
      <c r="C242" s="8"/>
      <c r="D242" s="8"/>
      <c r="E242" s="8"/>
      <c r="F242" s="8"/>
      <c r="G242" s="8"/>
      <c r="H242" s="8"/>
      <c r="I242" s="2"/>
    </row>
    <row r="243" spans="2:11" ht="12.75">
      <c r="B243" s="9" t="s">
        <v>45</v>
      </c>
      <c r="C243" s="9"/>
      <c r="D243" s="9"/>
      <c r="E243" s="48" t="e">
        <f>#REF!=E235-E236</f>
        <v>#REF!</v>
      </c>
      <c r="F243" s="9"/>
      <c r="G243" s="9"/>
      <c r="H243" s="9"/>
      <c r="I243" s="3"/>
      <c r="J243" s="3"/>
      <c r="K243" s="5"/>
    </row>
    <row r="244" spans="2:11" ht="12.75" hidden="1">
      <c r="B244" s="9"/>
      <c r="C244" s="9"/>
      <c r="D244" s="9"/>
      <c r="E244" s="9"/>
      <c r="F244" s="9"/>
      <c r="G244" s="9"/>
      <c r="H244" s="9"/>
      <c r="I244" s="3" t="s">
        <v>48</v>
      </c>
      <c r="J244" s="3">
        <f>J243-J221</f>
        <v>-266845.89999999997</v>
      </c>
      <c r="K244" s="4"/>
    </row>
    <row r="245" spans="1:11" ht="12.75" hidden="1">
      <c r="A245" s="2"/>
      <c r="B245" s="9"/>
      <c r="C245" s="9"/>
      <c r="D245" s="9"/>
      <c r="E245" s="9"/>
      <c r="F245" s="9"/>
      <c r="G245" s="9"/>
      <c r="H245" s="9"/>
      <c r="I245" s="6"/>
      <c r="J245" s="3"/>
      <c r="K245" s="5"/>
    </row>
    <row r="246" spans="2:11" ht="12.75" hidden="1">
      <c r="B246" s="10"/>
      <c r="C246" s="10"/>
      <c r="D246" s="10"/>
      <c r="E246" s="10"/>
      <c r="F246" s="10"/>
      <c r="G246" s="10"/>
      <c r="H246" s="10"/>
      <c r="I246" s="3"/>
      <c r="J246" s="3">
        <f>J245-J235</f>
        <v>-1724348.0999999999</v>
      </c>
      <c r="K246" s="5"/>
    </row>
    <row r="247" spans="2:11" ht="12.75" hidden="1">
      <c r="B247" s="10"/>
      <c r="C247" s="10"/>
      <c r="D247" s="10"/>
      <c r="E247" s="10"/>
      <c r="F247" s="10"/>
      <c r="G247" s="10"/>
      <c r="H247" s="10"/>
      <c r="I247" s="6"/>
      <c r="J247" s="3" t="e">
        <f>#REF!+#REF!+#REF!+#REF!+#REF!+#REF!+#REF!+#REF!+#REF!+#REF!</f>
        <v>#REF!</v>
      </c>
      <c r="K247" s="5"/>
    </row>
    <row r="248" spans="1:11" ht="12.75" hidden="1">
      <c r="A248" s="2">
        <f>J221+J235</f>
        <v>1991193.9999999998</v>
      </c>
      <c r="B248" s="11"/>
      <c r="C248" s="11"/>
      <c r="D248" s="11"/>
      <c r="E248" s="11"/>
      <c r="F248" s="11"/>
      <c r="G248" s="11"/>
      <c r="H248" s="11"/>
      <c r="I248" s="6"/>
      <c r="J248" s="3" t="e">
        <f>J247-#REF!</f>
        <v>#REF!</v>
      </c>
      <c r="K248" s="5"/>
    </row>
    <row r="249" spans="1:11" ht="12.75" hidden="1">
      <c r="A249" s="2" t="e">
        <f>#REF!+#REF!</f>
        <v>#REF!</v>
      </c>
      <c r="B249" s="10"/>
      <c r="C249" s="10"/>
      <c r="D249" s="10"/>
      <c r="E249" s="10"/>
      <c r="F249" s="10"/>
      <c r="G249" s="10"/>
      <c r="H249" s="10"/>
      <c r="I249" s="6"/>
      <c r="J249" s="3" t="e">
        <f>J243+J245+J247</f>
        <v>#REF!</v>
      </c>
      <c r="K249" s="5"/>
    </row>
    <row r="250" spans="1:11" ht="12.75" hidden="1">
      <c r="A250" s="2" t="e">
        <f>J221+#REF!</f>
        <v>#REF!</v>
      </c>
      <c r="B250" s="9"/>
      <c r="C250" s="9"/>
      <c r="D250" s="9"/>
      <c r="E250" s="9"/>
      <c r="F250" s="9"/>
      <c r="G250" s="9"/>
      <c r="H250" s="9"/>
      <c r="I250" s="6"/>
      <c r="J250" s="3">
        <f>J28+J44+J62+J80+J99+J115+J133+J150+J168+J185+J202+J218-J215-J199-J182-J164-J147-J130-J112-J95-J76-J41-J58</f>
        <v>2001735.1000000003</v>
      </c>
      <c r="K250" s="5"/>
    </row>
    <row r="251" spans="1:11" ht="12.75" hidden="1">
      <c r="A251" s="2" t="e">
        <f>J235+#REF!</f>
        <v>#REF!</v>
      </c>
      <c r="B251" s="9"/>
      <c r="C251" s="9"/>
      <c r="D251" s="9"/>
      <c r="E251" s="9"/>
      <c r="F251" s="9"/>
      <c r="G251" s="9"/>
      <c r="H251" s="9"/>
      <c r="I251" s="6"/>
      <c r="J251" s="3">
        <f>J250-J241</f>
        <v>10541.100000000559</v>
      </c>
      <c r="K251" s="5"/>
    </row>
    <row r="252" spans="2:11" ht="12.75" hidden="1">
      <c r="B252" s="9"/>
      <c r="C252" s="9"/>
      <c r="D252" s="9"/>
      <c r="E252" s="9"/>
      <c r="F252" s="9"/>
      <c r="G252" s="9"/>
      <c r="H252" s="9"/>
      <c r="I252" s="6"/>
      <c r="J252" s="3"/>
      <c r="K252" s="5"/>
    </row>
    <row r="253" spans="2:11" ht="12.75" hidden="1">
      <c r="B253" s="8"/>
      <c r="C253" s="8"/>
      <c r="D253" s="8"/>
      <c r="E253" s="8"/>
      <c r="F253" s="8"/>
      <c r="G253" s="8"/>
      <c r="H253" s="8"/>
      <c r="I253" s="5"/>
      <c r="J253" s="4"/>
      <c r="K253" s="5"/>
    </row>
    <row r="254" spans="2:11" ht="12.75">
      <c r="B254" s="8"/>
      <c r="C254" s="8"/>
      <c r="D254" s="8"/>
      <c r="E254" s="8"/>
      <c r="F254" s="36"/>
      <c r="G254" s="36"/>
      <c r="H254" s="36"/>
      <c r="I254" s="36"/>
      <c r="J254" s="36"/>
      <c r="K254" s="36"/>
    </row>
    <row r="255" spans="2:11" ht="16.5" customHeight="1">
      <c r="B255" s="8"/>
      <c r="C255" s="8"/>
      <c r="D255" s="8"/>
      <c r="E255" s="8"/>
      <c r="F255" s="8"/>
      <c r="G255" s="8"/>
      <c r="H255" s="8"/>
      <c r="I255" s="5"/>
      <c r="J255" s="4"/>
      <c r="K255" s="5"/>
    </row>
    <row r="256" spans="2:11" ht="21.75" customHeight="1">
      <c r="B256" s="8"/>
      <c r="C256" s="36"/>
      <c r="D256" s="36"/>
      <c r="E256" s="36"/>
      <c r="F256" s="36"/>
      <c r="G256" s="36"/>
      <c r="H256" s="36"/>
      <c r="I256" s="36"/>
      <c r="J256" s="36"/>
      <c r="K256" s="36"/>
    </row>
    <row r="257" spans="4:11" ht="12.75">
      <c r="D257" s="2"/>
      <c r="E257" s="2"/>
      <c r="F257" s="2"/>
      <c r="G257" s="2"/>
      <c r="H257" s="2"/>
      <c r="I257" s="2"/>
      <c r="J257" s="2"/>
      <c r="K257" s="2"/>
    </row>
    <row r="258" spans="9:11" ht="12.75">
      <c r="I258" s="5"/>
      <c r="J258" s="4"/>
      <c r="K258" s="5"/>
    </row>
    <row r="259" spans="9:11" ht="12.75">
      <c r="I259" s="5"/>
      <c r="J259" s="4"/>
      <c r="K259" s="5"/>
    </row>
    <row r="260" spans="2:11" ht="12.75">
      <c r="B260" s="8"/>
      <c r="C260" s="8"/>
      <c r="D260" s="8"/>
      <c r="E260" s="8"/>
      <c r="F260" s="8"/>
      <c r="G260" s="8"/>
      <c r="H260" s="8"/>
      <c r="I260" s="5"/>
      <c r="J260" s="4"/>
      <c r="K260" s="5"/>
    </row>
    <row r="261" spans="2:11" ht="12.75">
      <c r="B261" s="8"/>
      <c r="C261" s="8"/>
      <c r="D261" s="8"/>
      <c r="E261" s="8"/>
      <c r="F261" s="8"/>
      <c r="G261" s="8"/>
      <c r="H261" s="8"/>
      <c r="I261" s="5"/>
      <c r="J261" s="4"/>
      <c r="K261" s="5"/>
    </row>
    <row r="262" spans="2:11" ht="12.75">
      <c r="B262" s="8"/>
      <c r="C262" s="8"/>
      <c r="D262" s="8"/>
      <c r="E262" s="8"/>
      <c r="F262" s="8"/>
      <c r="G262" s="8"/>
      <c r="H262" s="8"/>
      <c r="I262" s="5"/>
      <c r="J262" s="4"/>
      <c r="K262" s="5"/>
    </row>
    <row r="263" spans="2:11" ht="12.75">
      <c r="B263" s="8"/>
      <c r="C263" s="8"/>
      <c r="D263" s="8"/>
      <c r="E263" s="8"/>
      <c r="F263" s="8"/>
      <c r="G263" s="8"/>
      <c r="H263" s="8"/>
      <c r="I263" s="5"/>
      <c r="J263" s="4"/>
      <c r="K263" s="5"/>
    </row>
    <row r="264" spans="2:11" ht="12.75">
      <c r="B264" s="8"/>
      <c r="C264" s="8"/>
      <c r="D264" s="8"/>
      <c r="E264" s="8"/>
      <c r="F264" s="8"/>
      <c r="G264" s="8"/>
      <c r="H264" s="8"/>
      <c r="I264" s="4"/>
      <c r="J264" s="4"/>
      <c r="K264" s="4"/>
    </row>
    <row r="265" spans="2:11" ht="12.75">
      <c r="B265" s="8"/>
      <c r="C265" s="8"/>
      <c r="D265" s="8"/>
      <c r="E265" s="8"/>
      <c r="F265" s="8"/>
      <c r="G265" s="8"/>
      <c r="H265" s="8"/>
      <c r="I265" s="5"/>
      <c r="J265" s="5"/>
      <c r="K265" s="5"/>
    </row>
    <row r="266" spans="2:11" ht="12.75">
      <c r="B266" s="8"/>
      <c r="C266" s="8"/>
      <c r="D266" s="8"/>
      <c r="E266" s="8"/>
      <c r="F266" s="8"/>
      <c r="G266" s="8"/>
      <c r="H266" s="8"/>
      <c r="I266" s="7"/>
      <c r="J266" s="4"/>
      <c r="K266" s="5"/>
    </row>
  </sheetData>
  <sheetProtection password="CF7A" sheet="1"/>
  <mergeCells count="39">
    <mergeCell ref="A219:K219"/>
    <mergeCell ref="A203:K203"/>
    <mergeCell ref="A169:K169"/>
    <mergeCell ref="A151:K151"/>
    <mergeCell ref="J4:J6"/>
    <mergeCell ref="G4:G6"/>
    <mergeCell ref="A134:K134"/>
    <mergeCell ref="A29:K29"/>
    <mergeCell ref="D4:D6"/>
    <mergeCell ref="F4:F6"/>
    <mergeCell ref="C4:C6"/>
    <mergeCell ref="A220:N220"/>
    <mergeCell ref="A204:N204"/>
    <mergeCell ref="A187:N187"/>
    <mergeCell ref="A170:N170"/>
    <mergeCell ref="A152:N152"/>
    <mergeCell ref="A135:N135"/>
    <mergeCell ref="A116:K116"/>
    <mergeCell ref="A186:K186"/>
    <mergeCell ref="L4:L6"/>
    <mergeCell ref="A81:K81"/>
    <mergeCell ref="A46:N46"/>
    <mergeCell ref="A1:N1"/>
    <mergeCell ref="M4:M6"/>
    <mergeCell ref="A2:K2"/>
    <mergeCell ref="E4:E6"/>
    <mergeCell ref="I4:I6"/>
    <mergeCell ref="A30:N30"/>
    <mergeCell ref="K4:K6"/>
    <mergeCell ref="A63:K63"/>
    <mergeCell ref="H4:H6"/>
    <mergeCell ref="A100:K100"/>
    <mergeCell ref="A64:N64"/>
    <mergeCell ref="A117:N117"/>
    <mergeCell ref="A101:N101"/>
    <mergeCell ref="A82:N82"/>
    <mergeCell ref="A7:N7"/>
    <mergeCell ref="N4:N6"/>
    <mergeCell ref="B45:K45"/>
  </mergeCells>
  <printOptions/>
  <pageMargins left="0" right="0" top="0.1968503937007874" bottom="0.1968503937007874" header="0.15748031496062992" footer="0.1968503937007874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4"/>
  <sheetViews>
    <sheetView tabSelected="1" zoomScale="85" zoomScaleNormal="85" zoomScalePageLayoutView="0" workbookViewId="0" topLeftCell="A4">
      <selection activeCell="H146" sqref="H146"/>
    </sheetView>
  </sheetViews>
  <sheetFormatPr defaultColWidth="9.00390625" defaultRowHeight="12.75"/>
  <cols>
    <col min="2" max="2" width="76.00390625" style="0" customWidth="1"/>
    <col min="3" max="3" width="13.50390625" style="0" customWidth="1"/>
    <col min="4" max="4" width="13.375" style="0" customWidth="1"/>
    <col min="5" max="5" width="8.25390625" style="0" customWidth="1"/>
    <col min="6" max="6" width="14.625" style="0" customWidth="1"/>
    <col min="7" max="7" width="12.50390625" style="0" customWidth="1"/>
    <col min="8" max="8" width="9.125" style="0" customWidth="1"/>
    <col min="9" max="9" width="13.00390625" style="0" hidden="1" customWidth="1"/>
    <col min="10" max="10" width="12.50390625" style="0" hidden="1" customWidth="1"/>
    <col min="11" max="11" width="13.875" style="0" customWidth="1"/>
    <col min="12" max="12" width="13.50390625" style="0" hidden="1" customWidth="1"/>
    <col min="13" max="13" width="12.50390625" style="0" hidden="1" customWidth="1"/>
    <col min="14" max="14" width="13.875" style="0" customWidth="1"/>
  </cols>
  <sheetData>
    <row r="1" spans="1:15" ht="15">
      <c r="A1" s="209" t="s">
        <v>76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1:15" ht="13.5" thickBot="1">
      <c r="A2" s="86"/>
      <c r="B2" s="87"/>
      <c r="C2" s="88"/>
      <c r="D2" s="89"/>
      <c r="E2" s="90"/>
      <c r="F2" s="91"/>
      <c r="G2" s="91"/>
      <c r="H2" s="92"/>
      <c r="I2" s="92"/>
      <c r="J2" s="92"/>
      <c r="K2" s="93"/>
      <c r="L2" s="92"/>
      <c r="M2" s="93"/>
      <c r="N2" s="94"/>
      <c r="O2" s="93"/>
    </row>
    <row r="3" spans="1:15" ht="13.5">
      <c r="A3" s="210" t="s">
        <v>77</v>
      </c>
      <c r="B3" s="212" t="s">
        <v>78</v>
      </c>
      <c r="C3" s="214" t="s">
        <v>79</v>
      </c>
      <c r="D3" s="214"/>
      <c r="E3" s="214"/>
      <c r="F3" s="215" t="s">
        <v>80</v>
      </c>
      <c r="G3" s="215"/>
      <c r="H3" s="215"/>
      <c r="I3" s="216" t="s">
        <v>81</v>
      </c>
      <c r="J3" s="217"/>
      <c r="K3" s="217"/>
      <c r="L3" s="217"/>
      <c r="M3" s="217"/>
      <c r="N3" s="217"/>
      <c r="O3" s="218"/>
    </row>
    <row r="4" spans="1:15" ht="12.75">
      <c r="A4" s="211"/>
      <c r="B4" s="213"/>
      <c r="C4" s="204" t="s">
        <v>82</v>
      </c>
      <c r="D4" s="204" t="s">
        <v>83</v>
      </c>
      <c r="E4" s="205" t="s">
        <v>84</v>
      </c>
      <c r="F4" s="204" t="s">
        <v>82</v>
      </c>
      <c r="G4" s="204" t="s">
        <v>83</v>
      </c>
      <c r="H4" s="205" t="s">
        <v>84</v>
      </c>
      <c r="I4" s="197" t="s">
        <v>290</v>
      </c>
      <c r="J4" s="197" t="s">
        <v>85</v>
      </c>
      <c r="K4" s="207" t="s">
        <v>82</v>
      </c>
      <c r="L4" s="197" t="s">
        <v>291</v>
      </c>
      <c r="M4" s="197" t="s">
        <v>85</v>
      </c>
      <c r="N4" s="198" t="s">
        <v>86</v>
      </c>
      <c r="O4" s="199" t="s">
        <v>84</v>
      </c>
    </row>
    <row r="5" spans="1:15" ht="59.25" customHeight="1">
      <c r="A5" s="211"/>
      <c r="B5" s="213"/>
      <c r="C5" s="219"/>
      <c r="D5" s="204"/>
      <c r="E5" s="220"/>
      <c r="F5" s="219"/>
      <c r="G5" s="204"/>
      <c r="H5" s="206"/>
      <c r="I5" s="197"/>
      <c r="J5" s="197"/>
      <c r="K5" s="208"/>
      <c r="L5" s="197"/>
      <c r="M5" s="197"/>
      <c r="N5" s="198"/>
      <c r="O5" s="200"/>
    </row>
    <row r="6" spans="1:15" ht="12.75">
      <c r="A6" s="211"/>
      <c r="B6" s="201" t="s">
        <v>87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</row>
    <row r="7" spans="1:15" ht="3" customHeight="1">
      <c r="A7" s="21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</row>
    <row r="8" spans="1:15" ht="12.75" hidden="1">
      <c r="A8" s="21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</row>
    <row r="9" spans="1:15" ht="13.5">
      <c r="A9" s="95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96"/>
      <c r="M9" s="100"/>
      <c r="N9" s="100"/>
      <c r="O9" s="101"/>
    </row>
    <row r="10" spans="1:15" ht="21" customHeight="1">
      <c r="A10" s="102" t="s">
        <v>88</v>
      </c>
      <c r="B10" s="103" t="s">
        <v>89</v>
      </c>
      <c r="C10" s="104">
        <f>SUM(C11:C18)</f>
        <v>523284.6</v>
      </c>
      <c r="D10" s="104">
        <f>SUM(D11:D18)</f>
        <v>275653.1</v>
      </c>
      <c r="E10" s="104">
        <f>D10/C10*100</f>
        <v>52.677472258881686</v>
      </c>
      <c r="F10" s="104">
        <f>F11+F12+F13+F14+F15+F17+F18+F16</f>
        <v>273598.2</v>
      </c>
      <c r="G10" s="104">
        <f>SUM(G11:G18)</f>
        <v>215674.99999999997</v>
      </c>
      <c r="H10" s="105">
        <f>G10/F10*100</f>
        <v>78.82910048384821</v>
      </c>
      <c r="I10" s="104">
        <f aca="true" t="shared" si="0" ref="I10:N10">SUM(I11:I18)</f>
        <v>796882.8</v>
      </c>
      <c r="J10" s="104">
        <f>SUM(J11:J18)</f>
        <v>9298.3</v>
      </c>
      <c r="K10" s="104">
        <f>SUM(K11:K18)</f>
        <v>787584.5000000001</v>
      </c>
      <c r="L10" s="104">
        <f t="shared" si="0"/>
        <v>491328.10000000003</v>
      </c>
      <c r="M10" s="104">
        <f t="shared" si="0"/>
        <v>4800.1</v>
      </c>
      <c r="N10" s="104">
        <f t="shared" si="0"/>
        <v>486528</v>
      </c>
      <c r="O10" s="106">
        <f>N10/K10*100</f>
        <v>61.77470480945219</v>
      </c>
    </row>
    <row r="11" spans="1:15" ht="21" customHeight="1">
      <c r="A11" s="107" t="s">
        <v>90</v>
      </c>
      <c r="B11" s="108" t="s">
        <v>91</v>
      </c>
      <c r="C11" s="109">
        <v>6709.8</v>
      </c>
      <c r="D11" s="109">
        <v>3952.8</v>
      </c>
      <c r="E11" s="97">
        <f>D11/C11*100</f>
        <v>58.9108468210677</v>
      </c>
      <c r="F11" s="110">
        <v>58030.6</v>
      </c>
      <c r="G11" s="110">
        <v>49204.4</v>
      </c>
      <c r="H11" s="98">
        <f>G11/F11*100</f>
        <v>84.79043814814943</v>
      </c>
      <c r="I11" s="111">
        <f>C11+F11</f>
        <v>64740.4</v>
      </c>
      <c r="J11" s="112"/>
      <c r="K11" s="113">
        <f>I11-J11</f>
        <v>64740.4</v>
      </c>
      <c r="L11" s="111">
        <f>D11+G11</f>
        <v>53157.200000000004</v>
      </c>
      <c r="M11" s="112"/>
      <c r="N11" s="113">
        <f>L11-M11</f>
        <v>53157.200000000004</v>
      </c>
      <c r="O11" s="99">
        <f aca="true" t="shared" si="1" ref="O11:O123">N11/K11*100</f>
        <v>82.10823535226844</v>
      </c>
    </row>
    <row r="12" spans="1:15" ht="21" customHeight="1">
      <c r="A12" s="107" t="s">
        <v>92</v>
      </c>
      <c r="B12" s="108" t="s">
        <v>93</v>
      </c>
      <c r="C12" s="109">
        <v>11730.7</v>
      </c>
      <c r="D12" s="109">
        <v>9161.1</v>
      </c>
      <c r="E12" s="97">
        <f aca="true" t="shared" si="2" ref="E12:E20">D12/C12*100</f>
        <v>78.09508383983905</v>
      </c>
      <c r="F12" s="110">
        <v>0</v>
      </c>
      <c r="G12" s="110"/>
      <c r="H12" s="98">
        <v>0</v>
      </c>
      <c r="I12" s="111">
        <f aca="true" t="shared" si="3" ref="I12:I18">C12+F12</f>
        <v>11730.7</v>
      </c>
      <c r="J12" s="112"/>
      <c r="K12" s="113">
        <f aca="true" t="shared" si="4" ref="K12:K18">I12-J12</f>
        <v>11730.7</v>
      </c>
      <c r="L12" s="111">
        <f aca="true" t="shared" si="5" ref="L12:L91">D12+G12</f>
        <v>9161.1</v>
      </c>
      <c r="M12" s="112"/>
      <c r="N12" s="113">
        <f aca="true" t="shared" si="6" ref="N12:N91">L12-M12</f>
        <v>9161.1</v>
      </c>
      <c r="O12" s="99">
        <f t="shared" si="1"/>
        <v>78.09508383983905</v>
      </c>
    </row>
    <row r="13" spans="1:15" ht="14.25" customHeight="1">
      <c r="A13" s="107" t="s">
        <v>94</v>
      </c>
      <c r="B13" s="108" t="s">
        <v>95</v>
      </c>
      <c r="C13" s="109">
        <v>218962.8</v>
      </c>
      <c r="D13" s="109">
        <v>139752.6</v>
      </c>
      <c r="E13" s="97">
        <f t="shared" si="2"/>
        <v>63.824814078007776</v>
      </c>
      <c r="F13" s="110">
        <v>152538</v>
      </c>
      <c r="G13" s="110">
        <v>122941.9</v>
      </c>
      <c r="H13" s="98">
        <f>G13/F13*100</f>
        <v>80.59755601882809</v>
      </c>
      <c r="I13" s="111">
        <f t="shared" si="3"/>
        <v>371500.8</v>
      </c>
      <c r="J13" s="112">
        <v>7129.6</v>
      </c>
      <c r="K13" s="113">
        <f t="shared" si="4"/>
        <v>364371.2</v>
      </c>
      <c r="L13" s="111">
        <f>D13+G13</f>
        <v>262694.5</v>
      </c>
      <c r="M13" s="112">
        <v>4058.8</v>
      </c>
      <c r="N13" s="113">
        <f>L13-M13</f>
        <v>258635.7</v>
      </c>
      <c r="O13" s="99">
        <f t="shared" si="1"/>
        <v>70.98137833066939</v>
      </c>
    </row>
    <row r="14" spans="1:15" ht="15" customHeight="1">
      <c r="A14" s="107" t="s">
        <v>96</v>
      </c>
      <c r="B14" s="108" t="s">
        <v>97</v>
      </c>
      <c r="C14" s="109">
        <v>1.4</v>
      </c>
      <c r="D14" s="109">
        <v>0</v>
      </c>
      <c r="E14" s="97">
        <f t="shared" si="2"/>
        <v>0</v>
      </c>
      <c r="F14" s="110">
        <v>0</v>
      </c>
      <c r="G14" s="110"/>
      <c r="H14" s="98">
        <v>0</v>
      </c>
      <c r="I14" s="111">
        <f t="shared" si="3"/>
        <v>1.4</v>
      </c>
      <c r="J14" s="112"/>
      <c r="K14" s="113">
        <f t="shared" si="4"/>
        <v>1.4</v>
      </c>
      <c r="L14" s="111">
        <f>D14+G14</f>
        <v>0</v>
      </c>
      <c r="M14" s="112"/>
      <c r="N14" s="113">
        <f>L14-M14</f>
        <v>0</v>
      </c>
      <c r="O14" s="99">
        <f t="shared" si="1"/>
        <v>0</v>
      </c>
    </row>
    <row r="15" spans="1:15" ht="18" customHeight="1">
      <c r="A15" s="107" t="s">
        <v>98</v>
      </c>
      <c r="B15" s="108" t="s">
        <v>99</v>
      </c>
      <c r="C15" s="109">
        <v>41261.9</v>
      </c>
      <c r="D15" s="109">
        <v>28412.2</v>
      </c>
      <c r="E15" s="97">
        <f t="shared" si="2"/>
        <v>68.85819605980336</v>
      </c>
      <c r="F15" s="110">
        <v>296.9</v>
      </c>
      <c r="G15" s="110">
        <v>69</v>
      </c>
      <c r="H15" s="98">
        <v>0</v>
      </c>
      <c r="I15" s="111">
        <f t="shared" si="3"/>
        <v>41558.8</v>
      </c>
      <c r="J15" s="112">
        <v>296.9</v>
      </c>
      <c r="K15" s="113">
        <f t="shared" si="4"/>
        <v>41261.9</v>
      </c>
      <c r="L15" s="111">
        <f>D15+G15</f>
        <v>28481.2</v>
      </c>
      <c r="M15" s="112">
        <v>69</v>
      </c>
      <c r="N15" s="113">
        <f t="shared" si="6"/>
        <v>28412.2</v>
      </c>
      <c r="O15" s="99">
        <f t="shared" si="1"/>
        <v>68.85819605980336</v>
      </c>
    </row>
    <row r="16" spans="1:15" ht="20.25" customHeight="1">
      <c r="A16" s="107" t="s">
        <v>100</v>
      </c>
      <c r="B16" s="108" t="s">
        <v>101</v>
      </c>
      <c r="C16" s="109"/>
      <c r="D16" s="109"/>
      <c r="E16" s="97"/>
      <c r="F16" s="110">
        <v>18509.9</v>
      </c>
      <c r="G16" s="110">
        <v>18509.9</v>
      </c>
      <c r="H16" s="98">
        <f>G16/F16*100</f>
        <v>100</v>
      </c>
      <c r="I16" s="111">
        <f t="shared" si="3"/>
        <v>18509.9</v>
      </c>
      <c r="J16" s="112"/>
      <c r="K16" s="113">
        <f t="shared" si="4"/>
        <v>18509.9</v>
      </c>
      <c r="L16" s="111">
        <f t="shared" si="5"/>
        <v>18509.9</v>
      </c>
      <c r="M16" s="112"/>
      <c r="N16" s="113">
        <f t="shared" si="6"/>
        <v>18509.9</v>
      </c>
      <c r="O16" s="99">
        <f t="shared" si="1"/>
        <v>100</v>
      </c>
    </row>
    <row r="17" spans="1:15" ht="18.75" customHeight="1">
      <c r="A17" s="95" t="s">
        <v>102</v>
      </c>
      <c r="B17" s="108" t="s">
        <v>103</v>
      </c>
      <c r="C17" s="109">
        <v>13791.5</v>
      </c>
      <c r="D17" s="109">
        <v>0</v>
      </c>
      <c r="E17" s="97">
        <f t="shared" si="2"/>
        <v>0</v>
      </c>
      <c r="F17" s="110">
        <v>1093</v>
      </c>
      <c r="G17" s="110"/>
      <c r="H17" s="98">
        <f>G17/F17*100</f>
        <v>0</v>
      </c>
      <c r="I17" s="111">
        <f t="shared" si="3"/>
        <v>14884.5</v>
      </c>
      <c r="J17" s="112"/>
      <c r="K17" s="113">
        <f t="shared" si="4"/>
        <v>14884.5</v>
      </c>
      <c r="L17" s="111">
        <f t="shared" si="5"/>
        <v>0</v>
      </c>
      <c r="M17" s="112"/>
      <c r="N17" s="113">
        <f t="shared" si="6"/>
        <v>0</v>
      </c>
      <c r="O17" s="99">
        <f t="shared" si="1"/>
        <v>0</v>
      </c>
    </row>
    <row r="18" spans="1:15" ht="17.25" customHeight="1">
      <c r="A18" s="107" t="s">
        <v>104</v>
      </c>
      <c r="B18" s="108" t="s">
        <v>105</v>
      </c>
      <c r="C18" s="109">
        <v>230826.5</v>
      </c>
      <c r="D18" s="109">
        <v>94374.4</v>
      </c>
      <c r="E18" s="97">
        <f t="shared" si="2"/>
        <v>40.885426933216074</v>
      </c>
      <c r="F18" s="110">
        <v>43129.8</v>
      </c>
      <c r="G18" s="110">
        <v>24949.8</v>
      </c>
      <c r="H18" s="98">
        <f>G18/F18*100</f>
        <v>57.848169942823745</v>
      </c>
      <c r="I18" s="111">
        <f t="shared" si="3"/>
        <v>273956.3</v>
      </c>
      <c r="J18" s="112">
        <v>1871.8</v>
      </c>
      <c r="K18" s="113">
        <f t="shared" si="4"/>
        <v>272084.5</v>
      </c>
      <c r="L18" s="111">
        <f>D18+G18</f>
        <v>119324.2</v>
      </c>
      <c r="M18" s="114">
        <v>672.3</v>
      </c>
      <c r="N18" s="113">
        <f t="shared" si="6"/>
        <v>118651.9</v>
      </c>
      <c r="O18" s="99">
        <f t="shared" si="1"/>
        <v>43.6084745731565</v>
      </c>
    </row>
    <row r="19" spans="1:15" ht="15" customHeight="1">
      <c r="A19" s="102" t="s">
        <v>106</v>
      </c>
      <c r="B19" s="103" t="s">
        <v>107</v>
      </c>
      <c r="C19" s="104">
        <f aca="true" t="shared" si="7" ref="C19:N19">C20</f>
        <v>4757.3</v>
      </c>
      <c r="D19" s="104">
        <f t="shared" si="7"/>
        <v>3167.2</v>
      </c>
      <c r="E19" s="104">
        <f t="shared" si="7"/>
        <v>66.5755785844912</v>
      </c>
      <c r="F19" s="104">
        <f t="shared" si="7"/>
        <v>4757.3</v>
      </c>
      <c r="G19" s="104">
        <f t="shared" si="7"/>
        <v>3165.5</v>
      </c>
      <c r="H19" s="115">
        <f t="shared" si="7"/>
        <v>66.53984402917621</v>
      </c>
      <c r="I19" s="104">
        <f>I20</f>
        <v>9514.6</v>
      </c>
      <c r="J19" s="104">
        <f>J20</f>
        <v>4757.3</v>
      </c>
      <c r="K19" s="104">
        <f>K20</f>
        <v>4757.3</v>
      </c>
      <c r="L19" s="104">
        <f t="shared" si="7"/>
        <v>6332.7</v>
      </c>
      <c r="M19" s="104">
        <f>M20</f>
        <v>3167.2</v>
      </c>
      <c r="N19" s="104">
        <f t="shared" si="7"/>
        <v>3165.5</v>
      </c>
      <c r="O19" s="116">
        <f t="shared" si="1"/>
        <v>66.53984402917621</v>
      </c>
    </row>
    <row r="20" spans="1:15" ht="18.75" customHeight="1">
      <c r="A20" s="117" t="s">
        <v>108</v>
      </c>
      <c r="B20" s="108" t="s">
        <v>109</v>
      </c>
      <c r="C20" s="109">
        <v>4757.3</v>
      </c>
      <c r="D20" s="109">
        <v>3167.2</v>
      </c>
      <c r="E20" s="97">
        <f t="shared" si="2"/>
        <v>66.5755785844912</v>
      </c>
      <c r="F20" s="110">
        <v>4757.3</v>
      </c>
      <c r="G20" s="110">
        <v>3165.5</v>
      </c>
      <c r="H20" s="98">
        <f aca="true" t="shared" si="8" ref="H20:H28">G20/F20*100</f>
        <v>66.53984402917621</v>
      </c>
      <c r="I20" s="111">
        <f aca="true" t="shared" si="9" ref="I20:I91">C20+F20</f>
        <v>9514.6</v>
      </c>
      <c r="J20" s="112">
        <v>4757.3</v>
      </c>
      <c r="K20" s="113">
        <f>I20-J20</f>
        <v>4757.3</v>
      </c>
      <c r="L20" s="111">
        <f>D20+G20</f>
        <v>6332.7</v>
      </c>
      <c r="M20" s="112">
        <v>3167.2</v>
      </c>
      <c r="N20" s="113">
        <f t="shared" si="6"/>
        <v>3165.5</v>
      </c>
      <c r="O20" s="99">
        <f t="shared" si="1"/>
        <v>66.53984402917621</v>
      </c>
    </row>
    <row r="21" spans="1:15" ht="20.25" customHeight="1">
      <c r="A21" s="102" t="s">
        <v>110</v>
      </c>
      <c r="B21" s="118" t="s">
        <v>111</v>
      </c>
      <c r="C21" s="104">
        <f>C23+C25+C22+C24</f>
        <v>35661.1</v>
      </c>
      <c r="D21" s="104">
        <f>D23+D25+D22+D24</f>
        <v>10527.599999999999</v>
      </c>
      <c r="E21" s="119">
        <f>D21/C21*100</f>
        <v>29.52124303512791</v>
      </c>
      <c r="F21" s="119">
        <f>F23+F25+F22+F24</f>
        <v>8903.1</v>
      </c>
      <c r="G21" s="119">
        <f>G23+G25+G22+G24</f>
        <v>3759.7</v>
      </c>
      <c r="H21" s="119">
        <f t="shared" si="8"/>
        <v>42.22911120845548</v>
      </c>
      <c r="I21" s="119">
        <f aca="true" t="shared" si="10" ref="I21:N21">SUM(I22:I25)</f>
        <v>44564.2</v>
      </c>
      <c r="J21" s="119">
        <f t="shared" si="10"/>
        <v>4897.3</v>
      </c>
      <c r="K21" s="119">
        <f t="shared" si="10"/>
        <v>39666.899999999994</v>
      </c>
      <c r="L21" s="119">
        <f t="shared" si="10"/>
        <v>14287.3</v>
      </c>
      <c r="M21" s="119">
        <f t="shared" si="10"/>
        <v>1672.3999999999999</v>
      </c>
      <c r="N21" s="119">
        <f t="shared" si="10"/>
        <v>12614.899999999998</v>
      </c>
      <c r="O21" s="120">
        <f>N21/K21*100</f>
        <v>31.802081836493397</v>
      </c>
    </row>
    <row r="22" spans="1:15" ht="13.5">
      <c r="A22" s="95" t="s">
        <v>112</v>
      </c>
      <c r="B22" s="108" t="s">
        <v>113</v>
      </c>
      <c r="C22" s="109">
        <v>7538</v>
      </c>
      <c r="D22" s="109">
        <v>5283.4</v>
      </c>
      <c r="E22" s="97">
        <f aca="true" t="shared" si="11" ref="E22:E136">D22/C22*100</f>
        <v>70.09020960466967</v>
      </c>
      <c r="F22" s="110">
        <v>1092.7</v>
      </c>
      <c r="G22" s="110">
        <v>628.8</v>
      </c>
      <c r="H22" s="98">
        <f t="shared" si="8"/>
        <v>57.54552942253134</v>
      </c>
      <c r="I22" s="111">
        <f>C22+F22</f>
        <v>8630.7</v>
      </c>
      <c r="J22" s="112">
        <v>1092.7</v>
      </c>
      <c r="K22" s="113">
        <f>I22-J22</f>
        <v>7538.000000000001</v>
      </c>
      <c r="L22" s="111">
        <f>D22+G22</f>
        <v>5912.2</v>
      </c>
      <c r="M22" s="112">
        <v>733.3</v>
      </c>
      <c r="N22" s="113">
        <f t="shared" si="6"/>
        <v>5178.9</v>
      </c>
      <c r="O22" s="99">
        <f>N22/K22*100</f>
        <v>68.70390023879011</v>
      </c>
    </row>
    <row r="23" spans="1:15" ht="13.5" hidden="1">
      <c r="A23" s="117" t="s">
        <v>114</v>
      </c>
      <c r="B23" s="108" t="s">
        <v>115</v>
      </c>
      <c r="C23" s="109">
        <v>0</v>
      </c>
      <c r="D23" s="109">
        <v>0</v>
      </c>
      <c r="E23" s="97" t="e">
        <f t="shared" si="11"/>
        <v>#DIV/0!</v>
      </c>
      <c r="F23" s="110"/>
      <c r="G23" s="110"/>
      <c r="H23" s="98" t="e">
        <f t="shared" si="8"/>
        <v>#DIV/0!</v>
      </c>
      <c r="I23" s="111">
        <f>C23+F23</f>
        <v>0</v>
      </c>
      <c r="J23" s="112"/>
      <c r="K23" s="113">
        <f>I23-J23</f>
        <v>0</v>
      </c>
      <c r="L23" s="111">
        <f>D23+G23</f>
        <v>0</v>
      </c>
      <c r="M23" s="112"/>
      <c r="N23" s="113">
        <f t="shared" si="6"/>
        <v>0</v>
      </c>
      <c r="O23" s="99" t="e">
        <f>N23/K23*100</f>
        <v>#DIV/0!</v>
      </c>
    </row>
    <row r="24" spans="1:15" ht="13.5">
      <c r="A24" s="117" t="s">
        <v>116</v>
      </c>
      <c r="B24" s="108" t="s">
        <v>117</v>
      </c>
      <c r="C24" s="109">
        <v>27944.5</v>
      </c>
      <c r="D24" s="109">
        <v>5182.4</v>
      </c>
      <c r="E24" s="97">
        <f t="shared" si="11"/>
        <v>18.545330923795376</v>
      </c>
      <c r="F24" s="110">
        <v>7651.7</v>
      </c>
      <c r="G24" s="110">
        <v>3085.4</v>
      </c>
      <c r="H24" s="98">
        <f t="shared" si="8"/>
        <v>40.32306546257695</v>
      </c>
      <c r="I24" s="111">
        <f>C24+F24</f>
        <v>35596.2</v>
      </c>
      <c r="J24" s="112">
        <v>3693.5</v>
      </c>
      <c r="K24" s="113">
        <f>I24-J24</f>
        <v>31902.699999999997</v>
      </c>
      <c r="L24" s="111">
        <f>D24+G24</f>
        <v>8267.8</v>
      </c>
      <c r="M24" s="112">
        <v>877.3</v>
      </c>
      <c r="N24" s="113">
        <f t="shared" si="6"/>
        <v>7390.499999999999</v>
      </c>
      <c r="O24" s="99">
        <f>N24/K24*100</f>
        <v>23.165750861212373</v>
      </c>
    </row>
    <row r="25" spans="1:15" ht="41.25" customHeight="1">
      <c r="A25" s="95" t="s">
        <v>118</v>
      </c>
      <c r="B25" s="108" t="s">
        <v>119</v>
      </c>
      <c r="C25" s="109">
        <v>178.6</v>
      </c>
      <c r="D25" s="109">
        <v>61.8</v>
      </c>
      <c r="E25" s="97">
        <f t="shared" si="11"/>
        <v>34.60246360582307</v>
      </c>
      <c r="F25" s="110">
        <v>158.7</v>
      </c>
      <c r="G25" s="110">
        <v>45.5</v>
      </c>
      <c r="H25" s="98">
        <f t="shared" si="8"/>
        <v>28.67044738500315</v>
      </c>
      <c r="I25" s="111">
        <f>C25+F25</f>
        <v>337.29999999999995</v>
      </c>
      <c r="J25" s="112">
        <v>111.1</v>
      </c>
      <c r="K25" s="113">
        <f>I25-J25</f>
        <v>226.19999999999996</v>
      </c>
      <c r="L25" s="111">
        <f>D25+G25</f>
        <v>107.3</v>
      </c>
      <c r="M25" s="112">
        <v>61.8</v>
      </c>
      <c r="N25" s="113">
        <f t="shared" si="6"/>
        <v>45.5</v>
      </c>
      <c r="O25" s="99">
        <f>N25/K25*100</f>
        <v>20.114942528735636</v>
      </c>
    </row>
    <row r="26" spans="1:15" ht="21" customHeight="1">
      <c r="A26" s="102" t="s">
        <v>120</v>
      </c>
      <c r="B26" s="103" t="s">
        <v>121</v>
      </c>
      <c r="C26" s="104">
        <f>SUM(C27:C58)</f>
        <v>211199.7</v>
      </c>
      <c r="D26" s="104">
        <f>SUM(D27:D58)</f>
        <v>159853.79999999996</v>
      </c>
      <c r="E26" s="104">
        <f>D26/C26*100</f>
        <v>75.68845978474398</v>
      </c>
      <c r="F26" s="104">
        <f>SUM(F27:F58)</f>
        <v>161753.09999999998</v>
      </c>
      <c r="G26" s="104">
        <f>SUM(G27:G58)</f>
        <v>100250.3</v>
      </c>
      <c r="H26" s="105">
        <f t="shared" si="8"/>
        <v>61.977359321088755</v>
      </c>
      <c r="I26" s="104">
        <f aca="true" t="shared" si="12" ref="I26:N26">SUM(I27:I58)</f>
        <v>372952.8</v>
      </c>
      <c r="J26" s="104">
        <f t="shared" si="12"/>
        <v>55912.3</v>
      </c>
      <c r="K26" s="104">
        <f>SUM(K27:K58)</f>
        <v>317040.5</v>
      </c>
      <c r="L26" s="104">
        <f t="shared" si="12"/>
        <v>260104.09999999995</v>
      </c>
      <c r="M26" s="104">
        <f t="shared" si="12"/>
        <v>40342.8</v>
      </c>
      <c r="N26" s="104">
        <f t="shared" si="12"/>
        <v>219761.29999999996</v>
      </c>
      <c r="O26" s="106">
        <f t="shared" si="1"/>
        <v>69.31647533990134</v>
      </c>
    </row>
    <row r="27" spans="1:15" ht="36" customHeight="1">
      <c r="A27" s="121" t="s">
        <v>122</v>
      </c>
      <c r="B27" s="122" t="s">
        <v>123</v>
      </c>
      <c r="C27" s="109">
        <v>49359.2</v>
      </c>
      <c r="D27" s="109">
        <v>34301</v>
      </c>
      <c r="E27" s="97">
        <f t="shared" si="11"/>
        <v>69.49261738439846</v>
      </c>
      <c r="F27" s="109">
        <v>30733.4</v>
      </c>
      <c r="G27" s="110">
        <v>21518.4</v>
      </c>
      <c r="H27" s="98">
        <f t="shared" si="8"/>
        <v>70.01633402096742</v>
      </c>
      <c r="I27" s="111">
        <f t="shared" si="9"/>
        <v>80092.6</v>
      </c>
      <c r="J27" s="112">
        <v>30733.4</v>
      </c>
      <c r="K27" s="113">
        <f>I27-J27</f>
        <v>49359.200000000004</v>
      </c>
      <c r="L27" s="111">
        <f>D27+G27</f>
        <v>55819.4</v>
      </c>
      <c r="M27" s="112">
        <v>23171.9</v>
      </c>
      <c r="N27" s="113">
        <f>L27-M27</f>
        <v>32647.5</v>
      </c>
      <c r="O27" s="99">
        <f t="shared" si="1"/>
        <v>66.14268464642863</v>
      </c>
    </row>
    <row r="28" spans="1:15" ht="21" customHeight="1">
      <c r="A28" s="107" t="s">
        <v>124</v>
      </c>
      <c r="B28" s="108" t="s">
        <v>125</v>
      </c>
      <c r="C28" s="109">
        <v>54899.8</v>
      </c>
      <c r="D28" s="109">
        <v>47211.8</v>
      </c>
      <c r="E28" s="97">
        <f t="shared" si="11"/>
        <v>85.99630599747175</v>
      </c>
      <c r="F28" s="110">
        <v>1949.2</v>
      </c>
      <c r="G28" s="110">
        <v>1299.2</v>
      </c>
      <c r="H28" s="98">
        <f t="shared" si="8"/>
        <v>66.65298584034475</v>
      </c>
      <c r="I28" s="111">
        <f t="shared" si="9"/>
        <v>56849</v>
      </c>
      <c r="J28" s="112">
        <v>1949.2</v>
      </c>
      <c r="K28" s="113">
        <f aca="true" t="shared" si="13" ref="K28:K60">I28-J28</f>
        <v>54899.8</v>
      </c>
      <c r="L28" s="111">
        <f t="shared" si="5"/>
        <v>48511</v>
      </c>
      <c r="M28" s="112">
        <v>1299.2</v>
      </c>
      <c r="N28" s="113">
        <f t="shared" si="6"/>
        <v>47211.8</v>
      </c>
      <c r="O28" s="99">
        <f t="shared" si="1"/>
        <v>85.99630599747175</v>
      </c>
    </row>
    <row r="29" spans="1:15" ht="21.75" customHeight="1">
      <c r="A29" s="107" t="s">
        <v>126</v>
      </c>
      <c r="B29" s="108" t="s">
        <v>127</v>
      </c>
      <c r="C29" s="109">
        <v>8044</v>
      </c>
      <c r="D29" s="109">
        <v>5061</v>
      </c>
      <c r="E29" s="97">
        <f t="shared" si="11"/>
        <v>62.91645947289906</v>
      </c>
      <c r="F29" s="110"/>
      <c r="G29" s="110">
        <v>0</v>
      </c>
      <c r="H29" s="98">
        <v>0</v>
      </c>
      <c r="I29" s="111">
        <f t="shared" si="9"/>
        <v>8044</v>
      </c>
      <c r="J29" s="112"/>
      <c r="K29" s="113">
        <f t="shared" si="13"/>
        <v>8044</v>
      </c>
      <c r="L29" s="111">
        <f t="shared" si="5"/>
        <v>5061</v>
      </c>
      <c r="M29" s="112"/>
      <c r="N29" s="113">
        <f t="shared" si="6"/>
        <v>5061</v>
      </c>
      <c r="O29" s="99">
        <f t="shared" si="1"/>
        <v>62.91645947289906</v>
      </c>
    </row>
    <row r="30" spans="1:15" ht="29.25" customHeight="1">
      <c r="A30" s="107" t="s">
        <v>126</v>
      </c>
      <c r="B30" s="108" t="s">
        <v>128</v>
      </c>
      <c r="C30" s="109">
        <v>21416.5</v>
      </c>
      <c r="D30" s="109">
        <v>16817.6</v>
      </c>
      <c r="E30" s="97">
        <f t="shared" si="11"/>
        <v>78.52636985501832</v>
      </c>
      <c r="F30" s="110">
        <v>24715.2</v>
      </c>
      <c r="G30" s="110">
        <v>15196.8</v>
      </c>
      <c r="H30" s="98">
        <f>G30/F30*100</f>
        <v>61.48766750825403</v>
      </c>
      <c r="I30" s="111">
        <f t="shared" si="9"/>
        <v>46131.7</v>
      </c>
      <c r="J30" s="112">
        <v>3161.5</v>
      </c>
      <c r="K30" s="113">
        <f t="shared" si="13"/>
        <v>42970.2</v>
      </c>
      <c r="L30" s="111">
        <f t="shared" si="5"/>
        <v>32014.399999999998</v>
      </c>
      <c r="M30" s="112">
        <v>1580.8</v>
      </c>
      <c r="N30" s="113">
        <f t="shared" si="6"/>
        <v>30433.6</v>
      </c>
      <c r="O30" s="99">
        <f t="shared" si="1"/>
        <v>70.8248972543763</v>
      </c>
    </row>
    <row r="31" spans="1:15" ht="23.25" customHeight="1">
      <c r="A31" s="107" t="s">
        <v>126</v>
      </c>
      <c r="B31" s="108" t="s">
        <v>129</v>
      </c>
      <c r="C31" s="109">
        <v>33566.6</v>
      </c>
      <c r="D31" s="109">
        <v>29117.3</v>
      </c>
      <c r="E31" s="97">
        <f t="shared" si="11"/>
        <v>86.74485947340511</v>
      </c>
      <c r="F31" s="110">
        <v>0</v>
      </c>
      <c r="G31" s="110"/>
      <c r="H31" s="98">
        <v>0</v>
      </c>
      <c r="I31" s="111">
        <f t="shared" si="9"/>
        <v>33566.6</v>
      </c>
      <c r="J31" s="112"/>
      <c r="K31" s="113">
        <f t="shared" si="13"/>
        <v>33566.6</v>
      </c>
      <c r="L31" s="111">
        <f t="shared" si="5"/>
        <v>29117.3</v>
      </c>
      <c r="M31" s="112"/>
      <c r="N31" s="113">
        <f t="shared" si="6"/>
        <v>29117.3</v>
      </c>
      <c r="O31" s="99">
        <f t="shared" si="1"/>
        <v>86.74485947340511</v>
      </c>
    </row>
    <row r="32" spans="1:15" ht="27" hidden="1">
      <c r="A32" s="107" t="s">
        <v>130</v>
      </c>
      <c r="B32" s="123" t="s">
        <v>131</v>
      </c>
      <c r="C32" s="109"/>
      <c r="D32" s="109"/>
      <c r="E32" s="97"/>
      <c r="F32" s="110">
        <v>0</v>
      </c>
      <c r="G32" s="110"/>
      <c r="H32" s="98"/>
      <c r="I32" s="111">
        <f t="shared" si="9"/>
        <v>0</v>
      </c>
      <c r="J32" s="112"/>
      <c r="K32" s="113">
        <f t="shared" si="13"/>
        <v>0</v>
      </c>
      <c r="L32" s="111">
        <f t="shared" si="5"/>
        <v>0</v>
      </c>
      <c r="M32" s="112"/>
      <c r="N32" s="113">
        <f t="shared" si="6"/>
        <v>0</v>
      </c>
      <c r="O32" s="99"/>
    </row>
    <row r="33" spans="1:15" ht="27" hidden="1">
      <c r="A33" s="95" t="s">
        <v>130</v>
      </c>
      <c r="B33" s="123" t="s">
        <v>132</v>
      </c>
      <c r="C33" s="109"/>
      <c r="D33" s="109"/>
      <c r="E33" s="97"/>
      <c r="F33" s="110">
        <v>0</v>
      </c>
      <c r="G33" s="110"/>
      <c r="H33" s="98"/>
      <c r="I33" s="111">
        <f t="shared" si="9"/>
        <v>0</v>
      </c>
      <c r="J33" s="112"/>
      <c r="K33" s="113">
        <f t="shared" si="13"/>
        <v>0</v>
      </c>
      <c r="L33" s="111">
        <f t="shared" si="5"/>
        <v>0</v>
      </c>
      <c r="M33" s="112"/>
      <c r="N33" s="113">
        <f t="shared" si="6"/>
        <v>0</v>
      </c>
      <c r="O33" s="99"/>
    </row>
    <row r="34" spans="1:15" ht="27" hidden="1">
      <c r="A34" s="95" t="s">
        <v>130</v>
      </c>
      <c r="B34" s="108" t="s">
        <v>133</v>
      </c>
      <c r="C34" s="109"/>
      <c r="D34" s="109"/>
      <c r="E34" s="97" t="e">
        <f t="shared" si="11"/>
        <v>#DIV/0!</v>
      </c>
      <c r="F34" s="110">
        <v>0</v>
      </c>
      <c r="G34" s="110"/>
      <c r="H34" s="98" t="e">
        <f>G34/F34*100</f>
        <v>#DIV/0!</v>
      </c>
      <c r="I34" s="111">
        <f t="shared" si="9"/>
        <v>0</v>
      </c>
      <c r="J34" s="112"/>
      <c r="K34" s="113">
        <f t="shared" si="13"/>
        <v>0</v>
      </c>
      <c r="L34" s="111">
        <f t="shared" si="5"/>
        <v>0</v>
      </c>
      <c r="M34" s="112"/>
      <c r="N34" s="113">
        <f t="shared" si="6"/>
        <v>0</v>
      </c>
      <c r="O34" s="99" t="e">
        <f t="shared" si="1"/>
        <v>#DIV/0!</v>
      </c>
    </row>
    <row r="35" spans="1:15" ht="54.75" hidden="1">
      <c r="A35" s="95" t="s">
        <v>130</v>
      </c>
      <c r="B35" s="108" t="s">
        <v>292</v>
      </c>
      <c r="C35" s="109"/>
      <c r="D35" s="109"/>
      <c r="E35" s="97" t="e">
        <f t="shared" si="11"/>
        <v>#DIV/0!</v>
      </c>
      <c r="F35" s="110"/>
      <c r="G35" s="110"/>
      <c r="H35" s="98" t="e">
        <f>G35/F35*100</f>
        <v>#DIV/0!</v>
      </c>
      <c r="I35" s="111">
        <f t="shared" si="9"/>
        <v>0</v>
      </c>
      <c r="J35" s="112"/>
      <c r="K35" s="113">
        <f t="shared" si="13"/>
        <v>0</v>
      </c>
      <c r="L35" s="111">
        <f t="shared" si="5"/>
        <v>0</v>
      </c>
      <c r="M35" s="112"/>
      <c r="N35" s="113">
        <f t="shared" si="6"/>
        <v>0</v>
      </c>
      <c r="O35" s="99" t="e">
        <f t="shared" si="1"/>
        <v>#DIV/0!</v>
      </c>
    </row>
    <row r="36" spans="1:15" ht="41.25" hidden="1">
      <c r="A36" s="95" t="s">
        <v>130</v>
      </c>
      <c r="B36" s="108" t="s">
        <v>134</v>
      </c>
      <c r="C36" s="109"/>
      <c r="D36" s="109"/>
      <c r="E36" s="97" t="e">
        <f t="shared" si="11"/>
        <v>#DIV/0!</v>
      </c>
      <c r="F36" s="110"/>
      <c r="G36" s="110"/>
      <c r="H36" s="98" t="e">
        <f aca="true" t="shared" si="14" ref="H36:H58">G36/F36*100</f>
        <v>#DIV/0!</v>
      </c>
      <c r="I36" s="111">
        <f t="shared" si="9"/>
        <v>0</v>
      </c>
      <c r="J36" s="112"/>
      <c r="K36" s="113">
        <f t="shared" si="13"/>
        <v>0</v>
      </c>
      <c r="L36" s="111">
        <f t="shared" si="5"/>
        <v>0</v>
      </c>
      <c r="M36" s="112"/>
      <c r="N36" s="113">
        <f t="shared" si="6"/>
        <v>0</v>
      </c>
      <c r="O36" s="99" t="e">
        <f t="shared" si="1"/>
        <v>#DIV/0!</v>
      </c>
    </row>
    <row r="37" spans="1:15" ht="13.5" hidden="1">
      <c r="A37" s="95" t="s">
        <v>130</v>
      </c>
      <c r="B37" s="108" t="s">
        <v>135</v>
      </c>
      <c r="C37" s="109"/>
      <c r="D37" s="109"/>
      <c r="E37" s="97" t="e">
        <f t="shared" si="11"/>
        <v>#DIV/0!</v>
      </c>
      <c r="F37" s="110"/>
      <c r="G37" s="110"/>
      <c r="H37" s="98" t="e">
        <f t="shared" si="14"/>
        <v>#DIV/0!</v>
      </c>
      <c r="I37" s="111">
        <f t="shared" si="9"/>
        <v>0</v>
      </c>
      <c r="J37" s="112"/>
      <c r="K37" s="113">
        <f t="shared" si="13"/>
        <v>0</v>
      </c>
      <c r="L37" s="111">
        <f t="shared" si="5"/>
        <v>0</v>
      </c>
      <c r="M37" s="112"/>
      <c r="N37" s="113">
        <f t="shared" si="6"/>
        <v>0</v>
      </c>
      <c r="O37" s="99" t="e">
        <f t="shared" si="1"/>
        <v>#DIV/0!</v>
      </c>
    </row>
    <row r="38" spans="1:15" ht="41.25">
      <c r="A38" s="121" t="s">
        <v>130</v>
      </c>
      <c r="B38" s="108" t="s">
        <v>293</v>
      </c>
      <c r="C38" s="109">
        <v>20029.6</v>
      </c>
      <c r="D38" s="109">
        <v>14545.9</v>
      </c>
      <c r="E38" s="97">
        <f t="shared" si="11"/>
        <v>72.62201941127132</v>
      </c>
      <c r="F38" s="110">
        <v>98453</v>
      </c>
      <c r="G38" s="110">
        <v>59022.4</v>
      </c>
      <c r="H38" s="98">
        <f t="shared" si="14"/>
        <v>59.94982377378039</v>
      </c>
      <c r="I38" s="111">
        <f t="shared" si="9"/>
        <v>118482.6</v>
      </c>
      <c r="J38" s="112">
        <v>18887.2</v>
      </c>
      <c r="K38" s="113">
        <f t="shared" si="13"/>
        <v>99595.40000000001</v>
      </c>
      <c r="L38" s="111">
        <f t="shared" si="5"/>
        <v>73568.3</v>
      </c>
      <c r="M38" s="112">
        <v>14210.7</v>
      </c>
      <c r="N38" s="113">
        <f t="shared" si="6"/>
        <v>59357.600000000006</v>
      </c>
      <c r="O38" s="99">
        <f t="shared" si="1"/>
        <v>59.59873648782976</v>
      </c>
    </row>
    <row r="39" spans="1:15" ht="27" hidden="1">
      <c r="A39" s="121" t="s">
        <v>130</v>
      </c>
      <c r="B39" s="108" t="s">
        <v>136</v>
      </c>
      <c r="C39" s="109"/>
      <c r="D39" s="109"/>
      <c r="E39" s="97"/>
      <c r="F39" s="110"/>
      <c r="G39" s="110"/>
      <c r="H39" s="98" t="e">
        <f t="shared" si="14"/>
        <v>#DIV/0!</v>
      </c>
      <c r="I39" s="111">
        <f t="shared" si="9"/>
        <v>0</v>
      </c>
      <c r="J39" s="112"/>
      <c r="K39" s="113">
        <f t="shared" si="13"/>
        <v>0</v>
      </c>
      <c r="L39" s="111">
        <f t="shared" si="5"/>
        <v>0</v>
      </c>
      <c r="M39" s="112"/>
      <c r="N39" s="113">
        <f t="shared" si="6"/>
        <v>0</v>
      </c>
      <c r="O39" s="99" t="e">
        <f t="shared" si="1"/>
        <v>#DIV/0!</v>
      </c>
    </row>
    <row r="40" spans="1:15" ht="27" hidden="1">
      <c r="A40" s="95" t="s">
        <v>130</v>
      </c>
      <c r="B40" s="108" t="s">
        <v>137</v>
      </c>
      <c r="C40" s="109"/>
      <c r="D40" s="109"/>
      <c r="E40" s="97" t="e">
        <f t="shared" si="11"/>
        <v>#DIV/0!</v>
      </c>
      <c r="F40" s="110">
        <v>0</v>
      </c>
      <c r="G40" s="110"/>
      <c r="H40" s="98" t="e">
        <f t="shared" si="14"/>
        <v>#DIV/0!</v>
      </c>
      <c r="I40" s="111">
        <f t="shared" si="9"/>
        <v>0</v>
      </c>
      <c r="J40" s="112"/>
      <c r="K40" s="113">
        <f t="shared" si="13"/>
        <v>0</v>
      </c>
      <c r="L40" s="111">
        <f t="shared" si="5"/>
        <v>0</v>
      </c>
      <c r="M40" s="112"/>
      <c r="N40" s="113">
        <f t="shared" si="6"/>
        <v>0</v>
      </c>
      <c r="O40" s="99" t="e">
        <f t="shared" si="1"/>
        <v>#DIV/0!</v>
      </c>
    </row>
    <row r="41" spans="1:15" ht="13.5" hidden="1">
      <c r="A41" s="95" t="s">
        <v>130</v>
      </c>
      <c r="B41" s="108" t="s">
        <v>138</v>
      </c>
      <c r="C41" s="109"/>
      <c r="D41" s="109"/>
      <c r="E41" s="97"/>
      <c r="F41" s="110"/>
      <c r="G41" s="110"/>
      <c r="H41" s="98" t="e">
        <f t="shared" si="14"/>
        <v>#DIV/0!</v>
      </c>
      <c r="I41" s="111">
        <f t="shared" si="9"/>
        <v>0</v>
      </c>
      <c r="J41" s="112"/>
      <c r="K41" s="113">
        <f t="shared" si="13"/>
        <v>0</v>
      </c>
      <c r="L41" s="111">
        <f t="shared" si="5"/>
        <v>0</v>
      </c>
      <c r="M41" s="112"/>
      <c r="N41" s="113">
        <f t="shared" si="6"/>
        <v>0</v>
      </c>
      <c r="O41" s="99" t="e">
        <f t="shared" si="1"/>
        <v>#DIV/0!</v>
      </c>
    </row>
    <row r="42" spans="1:15" ht="27" hidden="1">
      <c r="A42" s="95" t="s">
        <v>130</v>
      </c>
      <c r="B42" s="108" t="s">
        <v>139</v>
      </c>
      <c r="C42" s="109"/>
      <c r="D42" s="109"/>
      <c r="E42" s="97"/>
      <c r="F42" s="110"/>
      <c r="G42" s="110"/>
      <c r="H42" s="98" t="e">
        <f t="shared" si="14"/>
        <v>#DIV/0!</v>
      </c>
      <c r="I42" s="111">
        <f t="shared" si="9"/>
        <v>0</v>
      </c>
      <c r="J42" s="112"/>
      <c r="K42" s="113">
        <f t="shared" si="13"/>
        <v>0</v>
      </c>
      <c r="L42" s="111">
        <f t="shared" si="5"/>
        <v>0</v>
      </c>
      <c r="M42" s="112"/>
      <c r="N42" s="113">
        <f t="shared" si="6"/>
        <v>0</v>
      </c>
      <c r="O42" s="99" t="e">
        <f t="shared" si="1"/>
        <v>#DIV/0!</v>
      </c>
    </row>
    <row r="43" spans="1:15" ht="27" hidden="1">
      <c r="A43" s="95" t="s">
        <v>130</v>
      </c>
      <c r="B43" s="108" t="s">
        <v>140</v>
      </c>
      <c r="C43" s="109">
        <v>0</v>
      </c>
      <c r="D43" s="109"/>
      <c r="E43" s="97"/>
      <c r="F43" s="110"/>
      <c r="G43" s="110"/>
      <c r="H43" s="98" t="e">
        <f t="shared" si="14"/>
        <v>#DIV/0!</v>
      </c>
      <c r="I43" s="111">
        <f t="shared" si="9"/>
        <v>0</v>
      </c>
      <c r="J43" s="112"/>
      <c r="K43" s="113">
        <f t="shared" si="13"/>
        <v>0</v>
      </c>
      <c r="L43" s="111">
        <f t="shared" si="5"/>
        <v>0</v>
      </c>
      <c r="M43" s="112"/>
      <c r="N43" s="113">
        <f t="shared" si="6"/>
        <v>0</v>
      </c>
      <c r="O43" s="99" t="e">
        <f t="shared" si="1"/>
        <v>#DIV/0!</v>
      </c>
    </row>
    <row r="44" spans="1:15" ht="13.5" hidden="1">
      <c r="A44" s="95" t="s">
        <v>130</v>
      </c>
      <c r="B44" s="108" t="s">
        <v>141</v>
      </c>
      <c r="C44" s="109"/>
      <c r="D44" s="109"/>
      <c r="E44" s="109"/>
      <c r="F44" s="110"/>
      <c r="G44" s="110"/>
      <c r="H44" s="98" t="e">
        <f t="shared" si="14"/>
        <v>#DIV/0!</v>
      </c>
      <c r="I44" s="111">
        <f t="shared" si="9"/>
        <v>0</v>
      </c>
      <c r="J44" s="112"/>
      <c r="K44" s="113">
        <f t="shared" si="13"/>
        <v>0</v>
      </c>
      <c r="L44" s="111">
        <f t="shared" si="5"/>
        <v>0</v>
      </c>
      <c r="M44" s="112"/>
      <c r="N44" s="113">
        <f t="shared" si="6"/>
        <v>0</v>
      </c>
      <c r="O44" s="99" t="e">
        <f t="shared" si="1"/>
        <v>#DIV/0!</v>
      </c>
    </row>
    <row r="45" spans="1:15" ht="27" hidden="1">
      <c r="A45" s="95" t="s">
        <v>130</v>
      </c>
      <c r="B45" s="108" t="s">
        <v>142</v>
      </c>
      <c r="C45" s="109"/>
      <c r="D45" s="109"/>
      <c r="E45" s="97"/>
      <c r="F45" s="110"/>
      <c r="G45" s="110"/>
      <c r="H45" s="98" t="e">
        <f t="shared" si="14"/>
        <v>#DIV/0!</v>
      </c>
      <c r="I45" s="111">
        <f t="shared" si="9"/>
        <v>0</v>
      </c>
      <c r="J45" s="112"/>
      <c r="K45" s="113">
        <f t="shared" si="13"/>
        <v>0</v>
      </c>
      <c r="L45" s="111">
        <f t="shared" si="5"/>
        <v>0</v>
      </c>
      <c r="M45" s="112"/>
      <c r="N45" s="113">
        <f t="shared" si="6"/>
        <v>0</v>
      </c>
      <c r="O45" s="99" t="e">
        <f t="shared" si="1"/>
        <v>#DIV/0!</v>
      </c>
    </row>
    <row r="46" spans="1:15" ht="13.5">
      <c r="A46" s="117" t="s">
        <v>143</v>
      </c>
      <c r="B46" s="108" t="s">
        <v>144</v>
      </c>
      <c r="C46" s="109">
        <v>6066.5</v>
      </c>
      <c r="D46" s="109">
        <v>3750.6</v>
      </c>
      <c r="E46" s="97">
        <f t="shared" si="11"/>
        <v>61.82477540591774</v>
      </c>
      <c r="F46" s="110">
        <v>4626.3</v>
      </c>
      <c r="G46" s="110">
        <v>3038.2</v>
      </c>
      <c r="H46" s="110">
        <f t="shared" si="14"/>
        <v>65.67235155523852</v>
      </c>
      <c r="I46" s="111">
        <f t="shared" si="9"/>
        <v>10692.8</v>
      </c>
      <c r="J46" s="112"/>
      <c r="K46" s="113">
        <f t="shared" si="13"/>
        <v>10692.8</v>
      </c>
      <c r="L46" s="111">
        <f t="shared" si="5"/>
        <v>6788.799999999999</v>
      </c>
      <c r="M46" s="112"/>
      <c r="N46" s="113">
        <f t="shared" si="6"/>
        <v>6788.799999999999</v>
      </c>
      <c r="O46" s="99">
        <f t="shared" si="1"/>
        <v>63.4894508454287</v>
      </c>
    </row>
    <row r="47" spans="1:15" ht="48" customHeight="1">
      <c r="A47" s="107" t="s">
        <v>145</v>
      </c>
      <c r="B47" s="123" t="s">
        <v>146</v>
      </c>
      <c r="C47" s="109">
        <v>3500</v>
      </c>
      <c r="D47" s="109">
        <v>1657.3</v>
      </c>
      <c r="E47" s="109">
        <f t="shared" si="11"/>
        <v>47.35142857142857</v>
      </c>
      <c r="F47" s="110">
        <v>1276</v>
      </c>
      <c r="G47" s="110">
        <v>175.3</v>
      </c>
      <c r="H47" s="110">
        <f t="shared" si="14"/>
        <v>13.738244514106585</v>
      </c>
      <c r="I47" s="111">
        <f t="shared" si="9"/>
        <v>4776</v>
      </c>
      <c r="J47" s="112">
        <v>1181</v>
      </c>
      <c r="K47" s="113">
        <f t="shared" si="13"/>
        <v>3595</v>
      </c>
      <c r="L47" s="111">
        <f t="shared" si="5"/>
        <v>1832.6</v>
      </c>
      <c r="M47" s="112">
        <v>80.2</v>
      </c>
      <c r="N47" s="113">
        <f t="shared" si="6"/>
        <v>1752.3999999999999</v>
      </c>
      <c r="O47" s="99">
        <f t="shared" si="1"/>
        <v>48.74547983310153</v>
      </c>
    </row>
    <row r="48" spans="1:15" ht="27" hidden="1">
      <c r="A48" s="107" t="s">
        <v>145</v>
      </c>
      <c r="B48" s="123" t="s">
        <v>147</v>
      </c>
      <c r="C48" s="109"/>
      <c r="D48" s="109"/>
      <c r="E48" s="109" t="e">
        <f t="shared" si="11"/>
        <v>#DIV/0!</v>
      </c>
      <c r="F48" s="110">
        <v>0</v>
      </c>
      <c r="G48" s="110">
        <v>0</v>
      </c>
      <c r="H48" s="110" t="e">
        <f t="shared" si="14"/>
        <v>#DIV/0!</v>
      </c>
      <c r="I48" s="111">
        <f t="shared" si="9"/>
        <v>0</v>
      </c>
      <c r="J48" s="112"/>
      <c r="K48" s="113">
        <f t="shared" si="13"/>
        <v>0</v>
      </c>
      <c r="L48" s="111">
        <f t="shared" si="5"/>
        <v>0</v>
      </c>
      <c r="M48" s="112"/>
      <c r="N48" s="113">
        <f t="shared" si="6"/>
        <v>0</v>
      </c>
      <c r="O48" s="99" t="e">
        <f t="shared" si="1"/>
        <v>#DIV/0!</v>
      </c>
    </row>
    <row r="49" spans="1:15" ht="41.25">
      <c r="A49" s="107" t="s">
        <v>145</v>
      </c>
      <c r="B49" s="123" t="s">
        <v>148</v>
      </c>
      <c r="C49" s="109">
        <v>6535.5</v>
      </c>
      <c r="D49" s="110">
        <v>6010.9</v>
      </c>
      <c r="E49" s="97">
        <f t="shared" si="11"/>
        <v>91.97307015530563</v>
      </c>
      <c r="F49" s="110">
        <v>0</v>
      </c>
      <c r="G49" s="110"/>
      <c r="H49" s="110" t="e">
        <f t="shared" si="14"/>
        <v>#DIV/0!</v>
      </c>
      <c r="I49" s="111">
        <f t="shared" si="9"/>
        <v>6535.5</v>
      </c>
      <c r="J49" s="112"/>
      <c r="K49" s="113">
        <f t="shared" si="13"/>
        <v>6535.5</v>
      </c>
      <c r="L49" s="111">
        <f t="shared" si="5"/>
        <v>6010.9</v>
      </c>
      <c r="M49" s="112"/>
      <c r="N49" s="113">
        <f t="shared" si="6"/>
        <v>6010.9</v>
      </c>
      <c r="O49" s="99">
        <f t="shared" si="1"/>
        <v>91.97307015530563</v>
      </c>
    </row>
    <row r="50" spans="1:15" ht="27" hidden="1">
      <c r="A50" s="95" t="s">
        <v>145</v>
      </c>
      <c r="B50" s="123" t="s">
        <v>149</v>
      </c>
      <c r="C50" s="109"/>
      <c r="D50" s="110">
        <v>0</v>
      </c>
      <c r="E50" s="109" t="e">
        <f t="shared" si="11"/>
        <v>#DIV/0!</v>
      </c>
      <c r="F50" s="110"/>
      <c r="G50" s="110"/>
      <c r="H50" s="110" t="e">
        <f t="shared" si="14"/>
        <v>#DIV/0!</v>
      </c>
      <c r="I50" s="111">
        <f t="shared" si="9"/>
        <v>0</v>
      </c>
      <c r="J50" s="112"/>
      <c r="K50" s="113">
        <f t="shared" si="13"/>
        <v>0</v>
      </c>
      <c r="L50" s="111">
        <f t="shared" si="5"/>
        <v>0</v>
      </c>
      <c r="M50" s="112"/>
      <c r="N50" s="113">
        <f t="shared" si="6"/>
        <v>0</v>
      </c>
      <c r="O50" s="99" t="e">
        <f t="shared" si="1"/>
        <v>#DIV/0!</v>
      </c>
    </row>
    <row r="51" spans="1:15" ht="41.25" hidden="1">
      <c r="A51" s="95" t="s">
        <v>145</v>
      </c>
      <c r="B51" s="123" t="s">
        <v>150</v>
      </c>
      <c r="C51" s="109"/>
      <c r="D51" s="110"/>
      <c r="E51" s="109" t="e">
        <f>D51/C51*100</f>
        <v>#DIV/0!</v>
      </c>
      <c r="F51" s="110"/>
      <c r="G51" s="110"/>
      <c r="H51" s="110" t="e">
        <f>G51/F51*100</f>
        <v>#DIV/0!</v>
      </c>
      <c r="I51" s="111">
        <f t="shared" si="9"/>
        <v>0</v>
      </c>
      <c r="J51" s="112"/>
      <c r="K51" s="113">
        <f t="shared" si="13"/>
        <v>0</v>
      </c>
      <c r="L51" s="111">
        <f t="shared" si="5"/>
        <v>0</v>
      </c>
      <c r="M51" s="112"/>
      <c r="N51" s="113">
        <f t="shared" si="6"/>
        <v>0</v>
      </c>
      <c r="O51" s="99" t="e">
        <f>N51/K51*100</f>
        <v>#DIV/0!</v>
      </c>
    </row>
    <row r="52" spans="1:15" ht="27">
      <c r="A52" s="95" t="s">
        <v>145</v>
      </c>
      <c r="B52" s="123" t="s">
        <v>151</v>
      </c>
      <c r="C52" s="109">
        <v>1952.4</v>
      </c>
      <c r="D52" s="110">
        <v>1380.4</v>
      </c>
      <c r="E52" s="109">
        <f t="shared" si="11"/>
        <v>70.70272485146486</v>
      </c>
      <c r="F52" s="110">
        <v>0</v>
      </c>
      <c r="G52" s="110"/>
      <c r="H52" s="110" t="e">
        <f t="shared" si="14"/>
        <v>#DIV/0!</v>
      </c>
      <c r="I52" s="111">
        <f t="shared" si="9"/>
        <v>1952.4</v>
      </c>
      <c r="J52" s="112"/>
      <c r="K52" s="113">
        <f t="shared" si="13"/>
        <v>1952.4</v>
      </c>
      <c r="L52" s="111">
        <f>D52+G52</f>
        <v>1380.4</v>
      </c>
      <c r="M52" s="112"/>
      <c r="N52" s="113">
        <f t="shared" si="6"/>
        <v>1380.4</v>
      </c>
      <c r="O52" s="99">
        <f t="shared" si="1"/>
        <v>70.70272485146486</v>
      </c>
    </row>
    <row r="53" spans="1:15" ht="27" hidden="1">
      <c r="A53" s="95" t="s">
        <v>145</v>
      </c>
      <c r="B53" s="123" t="s">
        <v>152</v>
      </c>
      <c r="C53" s="109"/>
      <c r="D53" s="110"/>
      <c r="E53" s="109" t="e">
        <f t="shared" si="11"/>
        <v>#DIV/0!</v>
      </c>
      <c r="F53" s="110"/>
      <c r="G53" s="110"/>
      <c r="H53" s="110" t="e">
        <f t="shared" si="14"/>
        <v>#DIV/0!</v>
      </c>
      <c r="I53" s="111">
        <f t="shared" si="9"/>
        <v>0</v>
      </c>
      <c r="J53" s="112"/>
      <c r="K53" s="113">
        <f t="shared" si="13"/>
        <v>0</v>
      </c>
      <c r="L53" s="111">
        <f t="shared" si="5"/>
        <v>0</v>
      </c>
      <c r="M53" s="112"/>
      <c r="N53" s="113">
        <f t="shared" si="6"/>
        <v>0</v>
      </c>
      <c r="O53" s="99" t="e">
        <f t="shared" si="1"/>
        <v>#DIV/0!</v>
      </c>
    </row>
    <row r="54" spans="1:15" ht="27">
      <c r="A54" s="95" t="s">
        <v>145</v>
      </c>
      <c r="B54" s="123" t="s">
        <v>153</v>
      </c>
      <c r="C54" s="109">
        <v>5829.6</v>
      </c>
      <c r="D54" s="110"/>
      <c r="E54" s="109">
        <f t="shared" si="11"/>
        <v>0</v>
      </c>
      <c r="F54" s="110"/>
      <c r="G54" s="110"/>
      <c r="H54" s="110" t="e">
        <f t="shared" si="14"/>
        <v>#DIV/0!</v>
      </c>
      <c r="I54" s="111">
        <f t="shared" si="9"/>
        <v>5829.6</v>
      </c>
      <c r="J54" s="112"/>
      <c r="K54" s="113">
        <f t="shared" si="13"/>
        <v>5829.6</v>
      </c>
      <c r="L54" s="111">
        <f t="shared" si="5"/>
        <v>0</v>
      </c>
      <c r="M54" s="112"/>
      <c r="N54" s="113">
        <f t="shared" si="6"/>
        <v>0</v>
      </c>
      <c r="O54" s="99">
        <f t="shared" si="1"/>
        <v>0</v>
      </c>
    </row>
    <row r="55" spans="1:15" ht="27" hidden="1">
      <c r="A55" s="95" t="s">
        <v>145</v>
      </c>
      <c r="B55" s="123" t="s">
        <v>154</v>
      </c>
      <c r="C55" s="109"/>
      <c r="D55" s="110"/>
      <c r="E55" s="109" t="e">
        <f>D55/C55*100</f>
        <v>#DIV/0!</v>
      </c>
      <c r="F55" s="110"/>
      <c r="G55" s="110"/>
      <c r="H55" s="110" t="e">
        <f t="shared" si="14"/>
        <v>#DIV/0!</v>
      </c>
      <c r="I55" s="111">
        <f t="shared" si="9"/>
        <v>0</v>
      </c>
      <c r="J55" s="112"/>
      <c r="K55" s="113">
        <f t="shared" si="13"/>
        <v>0</v>
      </c>
      <c r="L55" s="111">
        <f t="shared" si="5"/>
        <v>0</v>
      </c>
      <c r="M55" s="112"/>
      <c r="N55" s="113">
        <f t="shared" si="6"/>
        <v>0</v>
      </c>
      <c r="O55" s="99" t="e">
        <f t="shared" si="1"/>
        <v>#DIV/0!</v>
      </c>
    </row>
    <row r="56" spans="1:15" ht="41.25" hidden="1">
      <c r="A56" s="95" t="s">
        <v>145</v>
      </c>
      <c r="B56" s="123" t="s">
        <v>155</v>
      </c>
      <c r="C56" s="109"/>
      <c r="D56" s="110"/>
      <c r="E56" s="109" t="e">
        <f>D56/C56*100</f>
        <v>#DIV/0!</v>
      </c>
      <c r="F56" s="110"/>
      <c r="G56" s="110"/>
      <c r="H56" s="110"/>
      <c r="I56" s="111">
        <f t="shared" si="9"/>
        <v>0</v>
      </c>
      <c r="J56" s="112"/>
      <c r="K56" s="113">
        <f t="shared" si="13"/>
        <v>0</v>
      </c>
      <c r="L56" s="111">
        <f t="shared" si="5"/>
        <v>0</v>
      </c>
      <c r="M56" s="112"/>
      <c r="N56" s="113">
        <f t="shared" si="6"/>
        <v>0</v>
      </c>
      <c r="O56" s="99" t="e">
        <f t="shared" si="1"/>
        <v>#DIV/0!</v>
      </c>
    </row>
    <row r="57" spans="1:15" ht="27" hidden="1">
      <c r="A57" s="95" t="s">
        <v>145</v>
      </c>
      <c r="B57" s="123" t="s">
        <v>156</v>
      </c>
      <c r="C57" s="109">
        <v>0</v>
      </c>
      <c r="D57" s="110">
        <v>0</v>
      </c>
      <c r="E57" s="109"/>
      <c r="F57" s="110">
        <v>0</v>
      </c>
      <c r="G57" s="110">
        <v>0</v>
      </c>
      <c r="H57" s="110" t="e">
        <f>G57/F57*100</f>
        <v>#DIV/0!</v>
      </c>
      <c r="I57" s="111">
        <f t="shared" si="9"/>
        <v>0</v>
      </c>
      <c r="J57" s="112"/>
      <c r="K57" s="113">
        <f t="shared" si="13"/>
        <v>0</v>
      </c>
      <c r="L57" s="111">
        <f t="shared" si="5"/>
        <v>0</v>
      </c>
      <c r="M57" s="112"/>
      <c r="N57" s="113">
        <f t="shared" si="6"/>
        <v>0</v>
      </c>
      <c r="O57" s="99" t="e">
        <f t="shared" si="1"/>
        <v>#DIV/0!</v>
      </c>
    </row>
    <row r="58" spans="1:15" ht="27" hidden="1">
      <c r="A58" s="95" t="s">
        <v>145</v>
      </c>
      <c r="B58" s="123" t="s">
        <v>157</v>
      </c>
      <c r="C58" s="109">
        <v>0</v>
      </c>
      <c r="D58" s="110">
        <v>0</v>
      </c>
      <c r="E58" s="109"/>
      <c r="F58" s="110"/>
      <c r="G58" s="110"/>
      <c r="H58" s="110" t="e">
        <f t="shared" si="14"/>
        <v>#DIV/0!</v>
      </c>
      <c r="I58" s="111">
        <f t="shared" si="9"/>
        <v>0</v>
      </c>
      <c r="J58" s="112"/>
      <c r="K58" s="113">
        <f t="shared" si="13"/>
        <v>0</v>
      </c>
      <c r="L58" s="111">
        <f t="shared" si="5"/>
        <v>0</v>
      </c>
      <c r="M58" s="112"/>
      <c r="N58" s="113">
        <f t="shared" si="6"/>
        <v>0</v>
      </c>
      <c r="O58" s="99" t="e">
        <f t="shared" si="1"/>
        <v>#DIV/0!</v>
      </c>
    </row>
    <row r="59" spans="1:15" ht="13.5">
      <c r="A59" s="102" t="s">
        <v>158</v>
      </c>
      <c r="B59" s="103" t="s">
        <v>159</v>
      </c>
      <c r="C59" s="104">
        <f>SUM(C60:C108)</f>
        <v>994569.9999999999</v>
      </c>
      <c r="D59" s="104">
        <f>SUM(D60:D108)</f>
        <v>551416.54</v>
      </c>
      <c r="E59" s="104">
        <f t="shared" si="11"/>
        <v>55.44270790391829</v>
      </c>
      <c r="F59" s="124">
        <f>SUM(F60:F108)</f>
        <v>150254.10000000003</v>
      </c>
      <c r="G59" s="124">
        <f>SUM(G60:G108)</f>
        <v>91908.9</v>
      </c>
      <c r="H59" s="124">
        <f>G59/F59*100</f>
        <v>61.16897974830635</v>
      </c>
      <c r="I59" s="125">
        <f t="shared" si="9"/>
        <v>1144824.0999999999</v>
      </c>
      <c r="J59" s="104">
        <f>SUM(J60:J108)</f>
        <v>59993.100000000006</v>
      </c>
      <c r="K59" s="104">
        <f>SUM(K60:K108)</f>
        <v>1084831</v>
      </c>
      <c r="L59" s="104">
        <f>SUM(L60:L108)</f>
        <v>643325.4400000001</v>
      </c>
      <c r="M59" s="104">
        <f>SUM(M60:M108)</f>
        <v>41230.3</v>
      </c>
      <c r="N59" s="104">
        <f>SUM(N60:N108)</f>
        <v>602095.14</v>
      </c>
      <c r="O59" s="106">
        <f t="shared" si="1"/>
        <v>55.501284531876394</v>
      </c>
    </row>
    <row r="60" spans="1:15" ht="41.25" hidden="1">
      <c r="A60" s="107" t="s">
        <v>160</v>
      </c>
      <c r="B60" s="108" t="s">
        <v>161</v>
      </c>
      <c r="C60" s="109"/>
      <c r="D60" s="109"/>
      <c r="E60" s="97" t="e">
        <f t="shared" si="11"/>
        <v>#DIV/0!</v>
      </c>
      <c r="F60" s="110">
        <v>0</v>
      </c>
      <c r="G60" s="110">
        <v>0</v>
      </c>
      <c r="H60" s="98">
        <v>0</v>
      </c>
      <c r="I60" s="111">
        <f t="shared" si="9"/>
        <v>0</v>
      </c>
      <c r="J60" s="112"/>
      <c r="K60" s="113">
        <f t="shared" si="13"/>
        <v>0</v>
      </c>
      <c r="L60" s="111">
        <f t="shared" si="5"/>
        <v>0</v>
      </c>
      <c r="M60" s="112"/>
      <c r="N60" s="113">
        <f t="shared" si="6"/>
        <v>0</v>
      </c>
      <c r="O60" s="99" t="e">
        <f t="shared" si="1"/>
        <v>#DIV/0!</v>
      </c>
    </row>
    <row r="61" spans="1:15" ht="27" hidden="1">
      <c r="A61" s="107" t="s">
        <v>160</v>
      </c>
      <c r="B61" s="108" t="s">
        <v>162</v>
      </c>
      <c r="C61" s="109"/>
      <c r="D61" s="109"/>
      <c r="E61" s="97"/>
      <c r="F61" s="110"/>
      <c r="G61" s="110"/>
      <c r="H61" s="98">
        <v>0</v>
      </c>
      <c r="I61" s="111">
        <f t="shared" si="9"/>
        <v>0</v>
      </c>
      <c r="J61" s="112"/>
      <c r="K61" s="113">
        <f>I61-J61</f>
        <v>0</v>
      </c>
      <c r="L61" s="111">
        <f>D61+G61</f>
        <v>0</v>
      </c>
      <c r="M61" s="112"/>
      <c r="N61" s="113">
        <f t="shared" si="6"/>
        <v>0</v>
      </c>
      <c r="O61" s="99" t="e">
        <f t="shared" si="1"/>
        <v>#DIV/0!</v>
      </c>
    </row>
    <row r="62" spans="1:15" ht="27" hidden="1">
      <c r="A62" s="107" t="s">
        <v>160</v>
      </c>
      <c r="B62" s="108" t="s">
        <v>163</v>
      </c>
      <c r="C62" s="109">
        <v>0</v>
      </c>
      <c r="D62" s="109">
        <v>0</v>
      </c>
      <c r="E62" s="97" t="e">
        <f t="shared" si="11"/>
        <v>#DIV/0!</v>
      </c>
      <c r="F62" s="110"/>
      <c r="G62" s="110"/>
      <c r="H62" s="98">
        <v>0</v>
      </c>
      <c r="I62" s="111">
        <f t="shared" si="9"/>
        <v>0</v>
      </c>
      <c r="J62" s="112"/>
      <c r="K62" s="113">
        <f aca="true" t="shared" si="15" ref="K62:K108">I62-J62</f>
        <v>0</v>
      </c>
      <c r="L62" s="111">
        <f t="shared" si="5"/>
        <v>0</v>
      </c>
      <c r="M62" s="112"/>
      <c r="N62" s="113">
        <f t="shared" si="6"/>
        <v>0</v>
      </c>
      <c r="O62" s="99" t="e">
        <f>N62/K62*100</f>
        <v>#DIV/0!</v>
      </c>
    </row>
    <row r="63" spans="1:15" ht="27" hidden="1">
      <c r="A63" s="107" t="s">
        <v>160</v>
      </c>
      <c r="B63" s="108" t="s">
        <v>164</v>
      </c>
      <c r="C63" s="109"/>
      <c r="D63" s="109"/>
      <c r="E63" s="97" t="e">
        <f t="shared" si="11"/>
        <v>#DIV/0!</v>
      </c>
      <c r="F63" s="110"/>
      <c r="G63" s="110"/>
      <c r="H63" s="98">
        <v>0</v>
      </c>
      <c r="I63" s="111">
        <f t="shared" si="9"/>
        <v>0</v>
      </c>
      <c r="J63" s="112"/>
      <c r="K63" s="113">
        <f t="shared" si="15"/>
        <v>0</v>
      </c>
      <c r="L63" s="111">
        <f t="shared" si="5"/>
        <v>0</v>
      </c>
      <c r="M63" s="112"/>
      <c r="N63" s="113">
        <f t="shared" si="6"/>
        <v>0</v>
      </c>
      <c r="O63" s="99"/>
    </row>
    <row r="64" spans="1:15" ht="41.25">
      <c r="A64" s="107" t="s">
        <v>160</v>
      </c>
      <c r="B64" s="108" t="s">
        <v>165</v>
      </c>
      <c r="C64" s="109">
        <v>279146.4</v>
      </c>
      <c r="D64" s="109">
        <v>165968.4</v>
      </c>
      <c r="E64" s="97">
        <f t="shared" si="11"/>
        <v>59.45568346931932</v>
      </c>
      <c r="F64" s="110"/>
      <c r="G64" s="110"/>
      <c r="H64" s="98">
        <v>0</v>
      </c>
      <c r="I64" s="111">
        <f t="shared" si="9"/>
        <v>279146.4</v>
      </c>
      <c r="J64" s="112"/>
      <c r="K64" s="113">
        <f t="shared" si="15"/>
        <v>279146.4</v>
      </c>
      <c r="L64" s="111">
        <f t="shared" si="5"/>
        <v>165968.4</v>
      </c>
      <c r="M64" s="112"/>
      <c r="N64" s="113">
        <f t="shared" si="6"/>
        <v>165968.4</v>
      </c>
      <c r="O64" s="99">
        <f>N64/K64*100</f>
        <v>59.45568346931932</v>
      </c>
    </row>
    <row r="65" spans="1:15" ht="54.75" customHeight="1">
      <c r="A65" s="107" t="s">
        <v>160</v>
      </c>
      <c r="B65" s="108" t="s">
        <v>166</v>
      </c>
      <c r="C65" s="109">
        <v>3566.8</v>
      </c>
      <c r="D65" s="109"/>
      <c r="E65" s="97">
        <f t="shared" si="11"/>
        <v>0</v>
      </c>
      <c r="F65" s="110"/>
      <c r="G65" s="110"/>
      <c r="H65" s="98">
        <v>0</v>
      </c>
      <c r="I65" s="111">
        <f t="shared" si="9"/>
        <v>3566.8</v>
      </c>
      <c r="J65" s="112"/>
      <c r="K65" s="113">
        <f t="shared" si="15"/>
        <v>3566.8</v>
      </c>
      <c r="L65" s="111">
        <f t="shared" si="5"/>
        <v>0</v>
      </c>
      <c r="M65" s="112"/>
      <c r="N65" s="113">
        <f t="shared" si="6"/>
        <v>0</v>
      </c>
      <c r="O65" s="99">
        <f t="shared" si="1"/>
        <v>0</v>
      </c>
    </row>
    <row r="66" spans="1:15" ht="54.75" hidden="1">
      <c r="A66" s="107" t="s">
        <v>160</v>
      </c>
      <c r="B66" s="108" t="s">
        <v>167</v>
      </c>
      <c r="C66" s="109"/>
      <c r="D66" s="109"/>
      <c r="E66" s="97" t="e">
        <f t="shared" si="11"/>
        <v>#DIV/0!</v>
      </c>
      <c r="F66" s="110"/>
      <c r="G66" s="110"/>
      <c r="H66" s="98">
        <v>0</v>
      </c>
      <c r="I66" s="111">
        <f t="shared" si="9"/>
        <v>0</v>
      </c>
      <c r="J66" s="112"/>
      <c r="K66" s="113">
        <f t="shared" si="15"/>
        <v>0</v>
      </c>
      <c r="L66" s="111">
        <f t="shared" si="5"/>
        <v>0</v>
      </c>
      <c r="M66" s="112"/>
      <c r="N66" s="113">
        <f t="shared" si="6"/>
        <v>0</v>
      </c>
      <c r="O66" s="99" t="e">
        <f t="shared" si="1"/>
        <v>#DIV/0!</v>
      </c>
    </row>
    <row r="67" spans="1:15" ht="54.75" hidden="1">
      <c r="A67" s="107" t="s">
        <v>160</v>
      </c>
      <c r="B67" s="108" t="s">
        <v>168</v>
      </c>
      <c r="C67" s="109"/>
      <c r="D67" s="109"/>
      <c r="E67" s="97" t="e">
        <f t="shared" si="11"/>
        <v>#DIV/0!</v>
      </c>
      <c r="F67" s="110"/>
      <c r="G67" s="110"/>
      <c r="H67" s="98">
        <v>0</v>
      </c>
      <c r="I67" s="111">
        <f t="shared" si="9"/>
        <v>0</v>
      </c>
      <c r="J67" s="112"/>
      <c r="K67" s="113">
        <f t="shared" si="15"/>
        <v>0</v>
      </c>
      <c r="L67" s="111">
        <f t="shared" si="5"/>
        <v>0</v>
      </c>
      <c r="M67" s="112"/>
      <c r="N67" s="113">
        <f t="shared" si="6"/>
        <v>0</v>
      </c>
      <c r="O67" s="99" t="e">
        <f t="shared" si="1"/>
        <v>#DIV/0!</v>
      </c>
    </row>
    <row r="68" spans="1:15" ht="27">
      <c r="A68" s="107" t="s">
        <v>160</v>
      </c>
      <c r="B68" s="108" t="s">
        <v>169</v>
      </c>
      <c r="C68" s="109">
        <v>11187.6</v>
      </c>
      <c r="D68" s="109">
        <v>7427.5</v>
      </c>
      <c r="E68" s="97">
        <f>D68/C68*100</f>
        <v>66.39046801816296</v>
      </c>
      <c r="F68" s="110">
        <v>7230</v>
      </c>
      <c r="G68" s="110">
        <v>5176.2</v>
      </c>
      <c r="H68" s="98">
        <f aca="true" t="shared" si="16" ref="H68:H76">G68/F68*100</f>
        <v>71.59336099585062</v>
      </c>
      <c r="I68" s="111">
        <f t="shared" si="9"/>
        <v>18417.6</v>
      </c>
      <c r="J68" s="112">
        <v>8630</v>
      </c>
      <c r="K68" s="113">
        <f t="shared" si="15"/>
        <v>9787.599999999999</v>
      </c>
      <c r="L68" s="111">
        <f t="shared" si="5"/>
        <v>12603.7</v>
      </c>
      <c r="M68" s="112">
        <v>6028</v>
      </c>
      <c r="N68" s="113">
        <f t="shared" si="6"/>
        <v>6575.700000000001</v>
      </c>
      <c r="O68" s="99">
        <f>N68/K68*100</f>
        <v>67.18398790306104</v>
      </c>
    </row>
    <row r="69" spans="1:15" ht="39" customHeight="1">
      <c r="A69" s="107" t="s">
        <v>160</v>
      </c>
      <c r="B69" s="108" t="s">
        <v>170</v>
      </c>
      <c r="C69" s="109">
        <v>2212.8</v>
      </c>
      <c r="D69" s="109">
        <v>1564.7</v>
      </c>
      <c r="E69" s="97">
        <f>D69/C69*100</f>
        <v>70.71131597975415</v>
      </c>
      <c r="F69" s="110"/>
      <c r="G69" s="110"/>
      <c r="H69" s="98" t="e">
        <f t="shared" si="16"/>
        <v>#DIV/0!</v>
      </c>
      <c r="I69" s="111">
        <f t="shared" si="9"/>
        <v>2212.8</v>
      </c>
      <c r="J69" s="112"/>
      <c r="K69" s="113">
        <f t="shared" si="15"/>
        <v>2212.8</v>
      </c>
      <c r="L69" s="111">
        <f t="shared" si="5"/>
        <v>1564.7</v>
      </c>
      <c r="M69" s="112"/>
      <c r="N69" s="113">
        <f t="shared" si="6"/>
        <v>1564.7</v>
      </c>
      <c r="O69" s="99">
        <f t="shared" si="1"/>
        <v>70.71131597975415</v>
      </c>
    </row>
    <row r="70" spans="1:15" ht="41.25" customHeight="1">
      <c r="A70" s="95" t="s">
        <v>160</v>
      </c>
      <c r="B70" s="108" t="s">
        <v>171</v>
      </c>
      <c r="C70" s="109">
        <v>22820.7</v>
      </c>
      <c r="D70" s="109">
        <v>9784.5</v>
      </c>
      <c r="E70" s="97">
        <f t="shared" si="11"/>
        <v>42.8755472005679</v>
      </c>
      <c r="F70" s="110">
        <v>25976.5</v>
      </c>
      <c r="G70" s="110">
        <v>14152.3</v>
      </c>
      <c r="H70" s="98">
        <f t="shared" si="16"/>
        <v>54.481165668970036</v>
      </c>
      <c r="I70" s="111">
        <f t="shared" si="9"/>
        <v>48797.2</v>
      </c>
      <c r="J70" s="112">
        <v>13976</v>
      </c>
      <c r="K70" s="113">
        <f t="shared" si="15"/>
        <v>34821.2</v>
      </c>
      <c r="L70" s="111">
        <f t="shared" si="5"/>
        <v>23936.8</v>
      </c>
      <c r="M70" s="112">
        <v>7951.1</v>
      </c>
      <c r="N70" s="113">
        <f t="shared" si="6"/>
        <v>15985.699999999999</v>
      </c>
      <c r="O70" s="99">
        <f t="shared" si="1"/>
        <v>45.907952626560835</v>
      </c>
    </row>
    <row r="71" spans="1:15" ht="60.75" customHeight="1">
      <c r="A71" s="117" t="s">
        <v>172</v>
      </c>
      <c r="B71" s="126" t="s">
        <v>173</v>
      </c>
      <c r="C71" s="97">
        <v>106334.2</v>
      </c>
      <c r="D71" s="97">
        <v>96111.3</v>
      </c>
      <c r="E71" s="97">
        <f t="shared" si="11"/>
        <v>90.38606581889928</v>
      </c>
      <c r="F71" s="98">
        <v>6169.8</v>
      </c>
      <c r="G71" s="98">
        <v>6169.8</v>
      </c>
      <c r="H71" s="98">
        <f t="shared" si="16"/>
        <v>100</v>
      </c>
      <c r="I71" s="111">
        <f t="shared" si="9"/>
        <v>112504</v>
      </c>
      <c r="J71" s="112">
        <v>0</v>
      </c>
      <c r="K71" s="113">
        <f t="shared" si="15"/>
        <v>112504</v>
      </c>
      <c r="L71" s="111">
        <f t="shared" si="5"/>
        <v>102281.1</v>
      </c>
      <c r="M71" s="112">
        <v>0</v>
      </c>
      <c r="N71" s="113">
        <f t="shared" si="6"/>
        <v>102281.1</v>
      </c>
      <c r="O71" s="99">
        <f t="shared" si="1"/>
        <v>90.91330086041386</v>
      </c>
    </row>
    <row r="72" spans="1:15" ht="96" hidden="1">
      <c r="A72" s="117" t="s">
        <v>172</v>
      </c>
      <c r="B72" s="108" t="s">
        <v>174</v>
      </c>
      <c r="C72" s="109"/>
      <c r="D72" s="109"/>
      <c r="E72" s="97" t="e">
        <f t="shared" si="11"/>
        <v>#DIV/0!</v>
      </c>
      <c r="F72" s="110"/>
      <c r="G72" s="110"/>
      <c r="H72" s="98" t="e">
        <f t="shared" si="16"/>
        <v>#DIV/0!</v>
      </c>
      <c r="I72" s="111">
        <f t="shared" si="9"/>
        <v>0</v>
      </c>
      <c r="J72" s="112"/>
      <c r="K72" s="113">
        <f t="shared" si="15"/>
        <v>0</v>
      </c>
      <c r="L72" s="111">
        <f t="shared" si="5"/>
        <v>0</v>
      </c>
      <c r="M72" s="112"/>
      <c r="N72" s="113">
        <f t="shared" si="6"/>
        <v>0</v>
      </c>
      <c r="O72" s="99" t="e">
        <f t="shared" si="1"/>
        <v>#DIV/0!</v>
      </c>
    </row>
    <row r="73" spans="1:15" ht="82.5" hidden="1">
      <c r="A73" s="107" t="s">
        <v>172</v>
      </c>
      <c r="B73" s="108" t="s">
        <v>175</v>
      </c>
      <c r="C73" s="109"/>
      <c r="D73" s="109"/>
      <c r="E73" s="97" t="e">
        <f t="shared" si="11"/>
        <v>#DIV/0!</v>
      </c>
      <c r="F73" s="110"/>
      <c r="G73" s="110"/>
      <c r="H73" s="98" t="e">
        <f t="shared" si="16"/>
        <v>#DIV/0!</v>
      </c>
      <c r="I73" s="111">
        <f t="shared" si="9"/>
        <v>0</v>
      </c>
      <c r="J73" s="112"/>
      <c r="K73" s="113">
        <f t="shared" si="15"/>
        <v>0</v>
      </c>
      <c r="L73" s="111">
        <f t="shared" si="5"/>
        <v>0</v>
      </c>
      <c r="M73" s="112"/>
      <c r="N73" s="113">
        <f t="shared" si="6"/>
        <v>0</v>
      </c>
      <c r="O73" s="99" t="e">
        <f t="shared" si="1"/>
        <v>#DIV/0!</v>
      </c>
    </row>
    <row r="74" spans="1:15" ht="69" hidden="1">
      <c r="A74" s="95" t="s">
        <v>172</v>
      </c>
      <c r="B74" s="108" t="s">
        <v>176</v>
      </c>
      <c r="C74" s="109"/>
      <c r="D74" s="109"/>
      <c r="E74" s="97" t="e">
        <f t="shared" si="11"/>
        <v>#DIV/0!</v>
      </c>
      <c r="F74" s="110"/>
      <c r="G74" s="110"/>
      <c r="H74" s="98" t="e">
        <f t="shared" si="16"/>
        <v>#DIV/0!</v>
      </c>
      <c r="I74" s="111">
        <f t="shared" si="9"/>
        <v>0</v>
      </c>
      <c r="J74" s="112"/>
      <c r="K74" s="113">
        <f t="shared" si="15"/>
        <v>0</v>
      </c>
      <c r="L74" s="111">
        <f t="shared" si="5"/>
        <v>0</v>
      </c>
      <c r="M74" s="112"/>
      <c r="N74" s="113">
        <f t="shared" si="6"/>
        <v>0</v>
      </c>
      <c r="O74" s="99" t="e">
        <f t="shared" si="1"/>
        <v>#DIV/0!</v>
      </c>
    </row>
    <row r="75" spans="1:15" ht="69" hidden="1">
      <c r="A75" s="95" t="s">
        <v>172</v>
      </c>
      <c r="B75" s="108" t="s">
        <v>177</v>
      </c>
      <c r="C75" s="109"/>
      <c r="D75" s="109"/>
      <c r="E75" s="97" t="e">
        <f t="shared" si="11"/>
        <v>#DIV/0!</v>
      </c>
      <c r="F75" s="110"/>
      <c r="G75" s="110"/>
      <c r="H75" s="98" t="e">
        <f t="shared" si="16"/>
        <v>#DIV/0!</v>
      </c>
      <c r="I75" s="111">
        <f t="shared" si="9"/>
        <v>0</v>
      </c>
      <c r="J75" s="112"/>
      <c r="K75" s="113">
        <f t="shared" si="15"/>
        <v>0</v>
      </c>
      <c r="L75" s="111">
        <f t="shared" si="5"/>
        <v>0</v>
      </c>
      <c r="M75" s="112"/>
      <c r="N75" s="113">
        <f t="shared" si="6"/>
        <v>0</v>
      </c>
      <c r="O75" s="99" t="e">
        <f t="shared" si="1"/>
        <v>#DIV/0!</v>
      </c>
    </row>
    <row r="76" spans="1:15" ht="27" hidden="1">
      <c r="A76" s="107" t="s">
        <v>172</v>
      </c>
      <c r="B76" s="108" t="s">
        <v>178</v>
      </c>
      <c r="C76" s="109"/>
      <c r="D76" s="109"/>
      <c r="E76" s="97" t="e">
        <f>D76/C76*100</f>
        <v>#DIV/0!</v>
      </c>
      <c r="F76" s="110">
        <v>0</v>
      </c>
      <c r="G76" s="110">
        <v>0</v>
      </c>
      <c r="H76" s="98" t="e">
        <f t="shared" si="16"/>
        <v>#DIV/0!</v>
      </c>
      <c r="I76" s="111">
        <f t="shared" si="9"/>
        <v>0</v>
      </c>
      <c r="J76" s="112"/>
      <c r="K76" s="113">
        <f t="shared" si="15"/>
        <v>0</v>
      </c>
      <c r="L76" s="111">
        <f t="shared" si="5"/>
        <v>0</v>
      </c>
      <c r="M76" s="112"/>
      <c r="N76" s="113">
        <f t="shared" si="6"/>
        <v>0</v>
      </c>
      <c r="O76" s="99" t="e">
        <f>N76/K76*100</f>
        <v>#DIV/0!</v>
      </c>
    </row>
    <row r="77" spans="1:15" ht="13.5" hidden="1">
      <c r="A77" s="107" t="s">
        <v>172</v>
      </c>
      <c r="B77" s="127"/>
      <c r="C77" s="109"/>
      <c r="D77" s="109"/>
      <c r="E77" s="97"/>
      <c r="F77" s="110"/>
      <c r="G77" s="110"/>
      <c r="H77" s="98"/>
      <c r="I77" s="111"/>
      <c r="J77" s="112"/>
      <c r="K77" s="113">
        <f t="shared" si="15"/>
        <v>0</v>
      </c>
      <c r="L77" s="111"/>
      <c r="M77" s="112"/>
      <c r="N77" s="113"/>
      <c r="O77" s="99"/>
    </row>
    <row r="78" spans="1:15" ht="26.25" hidden="1">
      <c r="A78" s="107" t="s">
        <v>172</v>
      </c>
      <c r="B78" s="127" t="s">
        <v>179</v>
      </c>
      <c r="C78" s="109"/>
      <c r="D78" s="109"/>
      <c r="E78" s="97" t="e">
        <f>D78/C78*100</f>
        <v>#DIV/0!</v>
      </c>
      <c r="F78" s="110"/>
      <c r="G78" s="110"/>
      <c r="H78" s="98" t="e">
        <f>G78/F78*100</f>
        <v>#DIV/0!</v>
      </c>
      <c r="I78" s="111">
        <f>C78+F78</f>
        <v>0</v>
      </c>
      <c r="J78" s="112"/>
      <c r="K78" s="113">
        <f t="shared" si="15"/>
        <v>0</v>
      </c>
      <c r="L78" s="111">
        <f>D78+G78</f>
        <v>0</v>
      </c>
      <c r="M78" s="112"/>
      <c r="N78" s="113">
        <f>L78-M78</f>
        <v>0</v>
      </c>
      <c r="O78" s="99"/>
    </row>
    <row r="79" spans="1:15" ht="41.25">
      <c r="A79" s="95" t="s">
        <v>172</v>
      </c>
      <c r="B79" s="123" t="s">
        <v>180</v>
      </c>
      <c r="C79" s="109">
        <v>3678.3</v>
      </c>
      <c r="D79" s="109">
        <v>2898.4</v>
      </c>
      <c r="E79" s="97">
        <f aca="true" t="shared" si="17" ref="E79:E91">D79/C79*100</f>
        <v>78.79727047821005</v>
      </c>
      <c r="F79" s="110">
        <v>5801.9</v>
      </c>
      <c r="G79" s="110">
        <v>5361.9</v>
      </c>
      <c r="H79" s="98">
        <f>G79/F79*100</f>
        <v>92.41627742636032</v>
      </c>
      <c r="I79" s="111">
        <f t="shared" si="9"/>
        <v>9480.2</v>
      </c>
      <c r="J79" s="112">
        <v>340</v>
      </c>
      <c r="K79" s="113">
        <f t="shared" si="15"/>
        <v>9140.2</v>
      </c>
      <c r="L79" s="111">
        <f>D79+G79</f>
        <v>8260.3</v>
      </c>
      <c r="M79" s="112">
        <v>0</v>
      </c>
      <c r="N79" s="113">
        <f>L79-M79</f>
        <v>8260.3</v>
      </c>
      <c r="O79" s="99">
        <f t="shared" si="1"/>
        <v>90.37329598914683</v>
      </c>
    </row>
    <row r="80" spans="1:15" ht="33.75" customHeight="1">
      <c r="A80" s="95" t="s">
        <v>172</v>
      </c>
      <c r="B80" s="123" t="s">
        <v>181</v>
      </c>
      <c r="C80" s="109">
        <v>28667.6</v>
      </c>
      <c r="D80" s="109"/>
      <c r="E80" s="97">
        <f t="shared" si="17"/>
        <v>0</v>
      </c>
      <c r="F80" s="110">
        <v>0</v>
      </c>
      <c r="G80" s="110">
        <v>0</v>
      </c>
      <c r="H80" s="98" t="e">
        <f>G80/F80*100</f>
        <v>#DIV/0!</v>
      </c>
      <c r="I80" s="111">
        <f t="shared" si="9"/>
        <v>28667.6</v>
      </c>
      <c r="J80" s="112"/>
      <c r="K80" s="113">
        <f t="shared" si="15"/>
        <v>28667.6</v>
      </c>
      <c r="L80" s="111">
        <f t="shared" si="5"/>
        <v>0</v>
      </c>
      <c r="M80" s="112"/>
      <c r="N80" s="113">
        <f t="shared" si="6"/>
        <v>0</v>
      </c>
      <c r="O80" s="99"/>
    </row>
    <row r="81" spans="1:15" ht="13.5" hidden="1">
      <c r="A81" s="95" t="s">
        <v>172</v>
      </c>
      <c r="B81" s="123" t="s">
        <v>182</v>
      </c>
      <c r="C81" s="109">
        <v>0</v>
      </c>
      <c r="D81" s="109">
        <v>0</v>
      </c>
      <c r="E81" s="97" t="e">
        <f t="shared" si="17"/>
        <v>#DIV/0!</v>
      </c>
      <c r="F81" s="110"/>
      <c r="G81" s="110"/>
      <c r="H81" s="98"/>
      <c r="I81" s="111">
        <f t="shared" si="9"/>
        <v>0</v>
      </c>
      <c r="J81" s="112"/>
      <c r="K81" s="113">
        <f t="shared" si="15"/>
        <v>0</v>
      </c>
      <c r="L81" s="111">
        <f t="shared" si="5"/>
        <v>0</v>
      </c>
      <c r="M81" s="112"/>
      <c r="N81" s="113">
        <f t="shared" si="6"/>
        <v>0</v>
      </c>
      <c r="O81" s="99"/>
    </row>
    <row r="82" spans="1:15" ht="41.25" hidden="1">
      <c r="A82" s="95" t="s">
        <v>172</v>
      </c>
      <c r="B82" s="128" t="s">
        <v>183</v>
      </c>
      <c r="C82" s="109">
        <v>0</v>
      </c>
      <c r="D82" s="109">
        <v>0</v>
      </c>
      <c r="E82" s="97" t="e">
        <f t="shared" si="17"/>
        <v>#DIV/0!</v>
      </c>
      <c r="F82" s="110"/>
      <c r="G82" s="110"/>
      <c r="H82" s="98" t="e">
        <f aca="true" t="shared" si="18" ref="H82:H91">G82/F82*100</f>
        <v>#DIV/0!</v>
      </c>
      <c r="I82" s="111">
        <f t="shared" si="9"/>
        <v>0</v>
      </c>
      <c r="J82" s="112"/>
      <c r="K82" s="113">
        <f t="shared" si="15"/>
        <v>0</v>
      </c>
      <c r="L82" s="111">
        <f t="shared" si="5"/>
        <v>0</v>
      </c>
      <c r="M82" s="112"/>
      <c r="N82" s="113">
        <f t="shared" si="6"/>
        <v>0</v>
      </c>
      <c r="O82" s="99" t="e">
        <f>N82/K82*100</f>
        <v>#DIV/0!</v>
      </c>
    </row>
    <row r="83" spans="1:15" ht="27">
      <c r="A83" s="95" t="s">
        <v>172</v>
      </c>
      <c r="B83" s="123" t="s">
        <v>184</v>
      </c>
      <c r="C83" s="109">
        <v>655.4</v>
      </c>
      <c r="D83" s="109">
        <v>393.9</v>
      </c>
      <c r="E83" s="97">
        <f t="shared" si="17"/>
        <v>60.10070186145865</v>
      </c>
      <c r="F83" s="110">
        <v>655.4</v>
      </c>
      <c r="G83" s="110">
        <v>394</v>
      </c>
      <c r="H83" s="98">
        <f t="shared" si="18"/>
        <v>60.11595971925542</v>
      </c>
      <c r="I83" s="111">
        <f t="shared" si="9"/>
        <v>1310.8</v>
      </c>
      <c r="J83" s="112">
        <v>655.5</v>
      </c>
      <c r="K83" s="113">
        <f t="shared" si="15"/>
        <v>655.3</v>
      </c>
      <c r="L83" s="111">
        <f t="shared" si="5"/>
        <v>787.9</v>
      </c>
      <c r="M83" s="112">
        <v>393.9</v>
      </c>
      <c r="N83" s="113">
        <f t="shared" si="6"/>
        <v>394</v>
      </c>
      <c r="O83" s="99">
        <f>N83/K83*100</f>
        <v>60.12513352662903</v>
      </c>
    </row>
    <row r="84" spans="1:15" ht="37.5" customHeight="1">
      <c r="A84" s="95" t="s">
        <v>172</v>
      </c>
      <c r="B84" s="129" t="s">
        <v>185</v>
      </c>
      <c r="C84" s="109">
        <v>409597.6</v>
      </c>
      <c r="D84" s="109">
        <v>208878.2</v>
      </c>
      <c r="E84" s="97">
        <f t="shared" si="17"/>
        <v>50.995953101287704</v>
      </c>
      <c r="F84" s="110"/>
      <c r="G84" s="110"/>
      <c r="H84" s="98" t="e">
        <f t="shared" si="18"/>
        <v>#DIV/0!</v>
      </c>
      <c r="I84" s="111">
        <f>C84+F84</f>
        <v>409597.6</v>
      </c>
      <c r="J84" s="112"/>
      <c r="K84" s="113">
        <f t="shared" si="15"/>
        <v>409597.6</v>
      </c>
      <c r="L84" s="111">
        <f>D84+G84</f>
        <v>208878.2</v>
      </c>
      <c r="M84" s="112"/>
      <c r="N84" s="113">
        <f>L84-M84</f>
        <v>208878.2</v>
      </c>
      <c r="O84" s="99">
        <f>N84/K84*100</f>
        <v>50.995953101287704</v>
      </c>
    </row>
    <row r="85" spans="1:15" ht="25.5" customHeight="1">
      <c r="A85" s="95" t="s">
        <v>172</v>
      </c>
      <c r="B85" s="123" t="s">
        <v>186</v>
      </c>
      <c r="C85" s="109"/>
      <c r="D85" s="109"/>
      <c r="E85" s="97" t="e">
        <f t="shared" si="17"/>
        <v>#DIV/0!</v>
      </c>
      <c r="F85" s="110">
        <v>16299.4</v>
      </c>
      <c r="G85" s="110">
        <v>10682.2</v>
      </c>
      <c r="H85" s="98">
        <f t="shared" si="18"/>
        <v>65.53738174411329</v>
      </c>
      <c r="I85" s="111">
        <f t="shared" si="9"/>
        <v>16299.4</v>
      </c>
      <c r="J85" s="112">
        <v>16299.4</v>
      </c>
      <c r="K85" s="113">
        <f t="shared" si="15"/>
        <v>0</v>
      </c>
      <c r="L85" s="111">
        <f t="shared" si="5"/>
        <v>10682.2</v>
      </c>
      <c r="M85" s="112">
        <v>10682.2</v>
      </c>
      <c r="N85" s="113">
        <f t="shared" si="6"/>
        <v>0</v>
      </c>
      <c r="O85" s="99" t="e">
        <f>N85/K85*100</f>
        <v>#DIV/0!</v>
      </c>
    </row>
    <row r="86" spans="1:15" ht="27" hidden="1">
      <c r="A86" s="95" t="s">
        <v>172</v>
      </c>
      <c r="B86" s="123" t="s">
        <v>187</v>
      </c>
      <c r="C86" s="109"/>
      <c r="D86" s="109"/>
      <c r="E86" s="97" t="e">
        <f t="shared" si="17"/>
        <v>#DIV/0!</v>
      </c>
      <c r="F86" s="110"/>
      <c r="G86" s="110"/>
      <c r="H86" s="98" t="e">
        <f t="shared" si="18"/>
        <v>#DIV/0!</v>
      </c>
      <c r="I86" s="111">
        <f t="shared" si="9"/>
        <v>0</v>
      </c>
      <c r="J86" s="112"/>
      <c r="K86" s="113">
        <f t="shared" si="15"/>
        <v>0</v>
      </c>
      <c r="L86" s="111">
        <f t="shared" si="5"/>
        <v>0</v>
      </c>
      <c r="M86" s="112"/>
      <c r="N86" s="113">
        <f t="shared" si="6"/>
        <v>0</v>
      </c>
      <c r="O86" s="99" t="e">
        <f>N86/K86*100</f>
        <v>#DIV/0!</v>
      </c>
    </row>
    <row r="87" spans="1:15" ht="27">
      <c r="A87" s="95" t="s">
        <v>172</v>
      </c>
      <c r="B87" s="123" t="s">
        <v>188</v>
      </c>
      <c r="C87" s="109">
        <v>102557.9</v>
      </c>
      <c r="D87" s="109">
        <v>40441.2</v>
      </c>
      <c r="E87" s="97">
        <f t="shared" si="17"/>
        <v>39.4325546837445</v>
      </c>
      <c r="F87" s="110"/>
      <c r="G87" s="110"/>
      <c r="H87" s="98" t="e">
        <f t="shared" si="18"/>
        <v>#DIV/0!</v>
      </c>
      <c r="I87" s="111">
        <f t="shared" si="9"/>
        <v>102557.9</v>
      </c>
      <c r="J87" s="112"/>
      <c r="K87" s="113">
        <f t="shared" si="15"/>
        <v>102557.9</v>
      </c>
      <c r="L87" s="111">
        <f t="shared" si="5"/>
        <v>40441.2</v>
      </c>
      <c r="M87" s="112"/>
      <c r="N87" s="113">
        <f t="shared" si="6"/>
        <v>40441.2</v>
      </c>
      <c r="O87" s="130">
        <f t="shared" si="1"/>
        <v>39.4325546837445</v>
      </c>
    </row>
    <row r="88" spans="1:15" ht="27" hidden="1">
      <c r="A88" s="95" t="s">
        <v>172</v>
      </c>
      <c r="B88" s="123" t="s">
        <v>189</v>
      </c>
      <c r="C88" s="109">
        <v>0</v>
      </c>
      <c r="D88" s="109">
        <v>0</v>
      </c>
      <c r="E88" s="97" t="e">
        <f t="shared" si="17"/>
        <v>#DIV/0!</v>
      </c>
      <c r="F88" s="110">
        <v>0</v>
      </c>
      <c r="G88" s="110">
        <v>0</v>
      </c>
      <c r="H88" s="98" t="e">
        <f t="shared" si="18"/>
        <v>#DIV/0!</v>
      </c>
      <c r="I88" s="111">
        <f t="shared" si="9"/>
        <v>0</v>
      </c>
      <c r="J88" s="112"/>
      <c r="K88" s="113">
        <f t="shared" si="15"/>
        <v>0</v>
      </c>
      <c r="L88" s="111">
        <f t="shared" si="5"/>
        <v>0</v>
      </c>
      <c r="M88" s="112"/>
      <c r="N88" s="113">
        <f t="shared" si="6"/>
        <v>0</v>
      </c>
      <c r="O88" s="99" t="e">
        <f t="shared" si="1"/>
        <v>#DIV/0!</v>
      </c>
    </row>
    <row r="89" spans="1:15" ht="27" hidden="1">
      <c r="A89" s="95" t="s">
        <v>172</v>
      </c>
      <c r="B89" s="123" t="s">
        <v>190</v>
      </c>
      <c r="C89" s="109">
        <v>0</v>
      </c>
      <c r="D89" s="109">
        <v>0</v>
      </c>
      <c r="E89" s="97" t="e">
        <f t="shared" si="17"/>
        <v>#DIV/0!</v>
      </c>
      <c r="F89" s="110">
        <v>0</v>
      </c>
      <c r="G89" s="110">
        <v>0</v>
      </c>
      <c r="H89" s="98" t="e">
        <f t="shared" si="18"/>
        <v>#DIV/0!</v>
      </c>
      <c r="I89" s="111">
        <f t="shared" si="9"/>
        <v>0</v>
      </c>
      <c r="J89" s="112"/>
      <c r="K89" s="113">
        <f t="shared" si="15"/>
        <v>0</v>
      </c>
      <c r="L89" s="111">
        <f t="shared" si="5"/>
        <v>0</v>
      </c>
      <c r="M89" s="112"/>
      <c r="N89" s="113">
        <f t="shared" si="6"/>
        <v>0</v>
      </c>
      <c r="O89" s="99" t="e">
        <f t="shared" si="1"/>
        <v>#DIV/0!</v>
      </c>
    </row>
    <row r="90" spans="1:15" ht="27">
      <c r="A90" s="95" t="s">
        <v>172</v>
      </c>
      <c r="B90" s="123" t="s">
        <v>191</v>
      </c>
      <c r="C90" s="109">
        <v>3994.2</v>
      </c>
      <c r="D90" s="109">
        <v>1745.7</v>
      </c>
      <c r="E90" s="97">
        <f t="shared" si="17"/>
        <v>43.70587351659907</v>
      </c>
      <c r="F90" s="110"/>
      <c r="G90" s="110"/>
      <c r="H90" s="98" t="e">
        <f t="shared" si="18"/>
        <v>#DIV/0!</v>
      </c>
      <c r="I90" s="111">
        <f t="shared" si="9"/>
        <v>3994.2</v>
      </c>
      <c r="J90" s="112"/>
      <c r="K90" s="113">
        <f t="shared" si="15"/>
        <v>3994.2</v>
      </c>
      <c r="L90" s="111">
        <f t="shared" si="5"/>
        <v>1745.7</v>
      </c>
      <c r="M90" s="112"/>
      <c r="N90" s="113">
        <f t="shared" si="6"/>
        <v>1745.7</v>
      </c>
      <c r="O90" s="99">
        <f t="shared" si="1"/>
        <v>43.70587351659907</v>
      </c>
    </row>
    <row r="91" spans="1:15" ht="60.75" customHeight="1">
      <c r="A91" s="95" t="s">
        <v>192</v>
      </c>
      <c r="B91" s="123" t="s">
        <v>193</v>
      </c>
      <c r="C91" s="109">
        <v>11287.2</v>
      </c>
      <c r="D91" s="109">
        <v>11164.3</v>
      </c>
      <c r="E91" s="97">
        <f t="shared" si="17"/>
        <v>98.91115599971648</v>
      </c>
      <c r="F91" s="109">
        <v>11287.2</v>
      </c>
      <c r="G91" s="110">
        <v>8876.1</v>
      </c>
      <c r="H91" s="98">
        <f t="shared" si="18"/>
        <v>78.63863491388476</v>
      </c>
      <c r="I91" s="111">
        <f t="shared" si="9"/>
        <v>22574.4</v>
      </c>
      <c r="J91" s="112">
        <v>11287.2</v>
      </c>
      <c r="K91" s="113">
        <f t="shared" si="15"/>
        <v>11287.2</v>
      </c>
      <c r="L91" s="111">
        <f t="shared" si="5"/>
        <v>20040.4</v>
      </c>
      <c r="M91" s="112">
        <v>11164.2</v>
      </c>
      <c r="N91" s="113">
        <f t="shared" si="6"/>
        <v>8876.2</v>
      </c>
      <c r="O91" s="99">
        <f t="shared" si="1"/>
        <v>78.6395208732015</v>
      </c>
    </row>
    <row r="92" spans="1:15" ht="57" customHeight="1">
      <c r="A92" s="121" t="s">
        <v>192</v>
      </c>
      <c r="B92" s="108" t="s">
        <v>194</v>
      </c>
      <c r="C92" s="109">
        <v>4500</v>
      </c>
      <c r="D92" s="109">
        <v>3919.34</v>
      </c>
      <c r="E92" s="97">
        <f t="shared" si="11"/>
        <v>87.09644444444444</v>
      </c>
      <c r="F92" s="109">
        <v>801.3</v>
      </c>
      <c r="G92" s="110">
        <v>220.7</v>
      </c>
      <c r="H92" s="98">
        <f>G92/F92*100</f>
        <v>27.542743042555845</v>
      </c>
      <c r="I92" s="111">
        <f aca="true" t="shared" si="19" ref="I92:I108">C92+F92</f>
        <v>5301.3</v>
      </c>
      <c r="J92" s="112">
        <v>4500</v>
      </c>
      <c r="K92" s="113">
        <f t="shared" si="15"/>
        <v>801.3000000000002</v>
      </c>
      <c r="L92" s="111">
        <f aca="true" t="shared" si="20" ref="L92:L154">D92+G92</f>
        <v>4140.04</v>
      </c>
      <c r="M92" s="112">
        <v>3919.5</v>
      </c>
      <c r="N92" s="113">
        <f aca="true" t="shared" si="21" ref="N92:N154">L92-M92</f>
        <v>220.53999999999996</v>
      </c>
      <c r="O92" s="99">
        <f t="shared" si="1"/>
        <v>27.522775489829016</v>
      </c>
    </row>
    <row r="93" spans="1:15" ht="55.5" customHeight="1">
      <c r="A93" s="95" t="s">
        <v>192</v>
      </c>
      <c r="B93" s="108" t="s">
        <v>195</v>
      </c>
      <c r="C93" s="109">
        <v>4305</v>
      </c>
      <c r="D93" s="109">
        <v>1091.2</v>
      </c>
      <c r="E93" s="97">
        <f t="shared" si="11"/>
        <v>25.3472706155633</v>
      </c>
      <c r="F93" s="109">
        <v>3825</v>
      </c>
      <c r="G93" s="110">
        <v>594.4</v>
      </c>
      <c r="H93" s="98">
        <f>G93/F93*100</f>
        <v>15.539869281045751</v>
      </c>
      <c r="I93" s="111">
        <f t="shared" si="19"/>
        <v>8130</v>
      </c>
      <c r="J93" s="112">
        <v>4305</v>
      </c>
      <c r="K93" s="113">
        <f t="shared" si="15"/>
        <v>3825</v>
      </c>
      <c r="L93" s="111">
        <f t="shared" si="20"/>
        <v>1685.6</v>
      </c>
      <c r="M93" s="112">
        <v>1091.4</v>
      </c>
      <c r="N93" s="113">
        <f t="shared" si="21"/>
        <v>594.1999999999998</v>
      </c>
      <c r="O93" s="99">
        <f>N93/K93*100</f>
        <v>15.534640522875812</v>
      </c>
    </row>
    <row r="94" spans="1:15" ht="27" hidden="1">
      <c r="A94" s="95" t="s">
        <v>192</v>
      </c>
      <c r="B94" s="108" t="s">
        <v>196</v>
      </c>
      <c r="C94" s="109"/>
      <c r="D94" s="109"/>
      <c r="E94" s="97" t="e">
        <f t="shared" si="11"/>
        <v>#DIV/0!</v>
      </c>
      <c r="F94" s="109"/>
      <c r="G94" s="110"/>
      <c r="H94" s="98"/>
      <c r="I94" s="111">
        <f t="shared" si="19"/>
        <v>0</v>
      </c>
      <c r="J94" s="112"/>
      <c r="K94" s="113">
        <f t="shared" si="15"/>
        <v>0</v>
      </c>
      <c r="L94" s="111">
        <f t="shared" si="20"/>
        <v>0</v>
      </c>
      <c r="M94" s="112"/>
      <c r="N94" s="113">
        <f t="shared" si="21"/>
        <v>0</v>
      </c>
      <c r="O94" s="99"/>
    </row>
    <row r="95" spans="1:15" ht="27" hidden="1">
      <c r="A95" s="95" t="s">
        <v>192</v>
      </c>
      <c r="B95" s="131" t="s">
        <v>197</v>
      </c>
      <c r="C95" s="109"/>
      <c r="D95" s="109"/>
      <c r="E95" s="97" t="e">
        <f>D95/C95*100</f>
        <v>#DIV/0!</v>
      </c>
      <c r="F95" s="132">
        <v>0</v>
      </c>
      <c r="G95" s="110">
        <v>0</v>
      </c>
      <c r="H95" s="98" t="e">
        <f aca="true" t="shared" si="22" ref="H95:H103">G95/F95*100</f>
        <v>#DIV/0!</v>
      </c>
      <c r="I95" s="111">
        <f>C95+F95</f>
        <v>0</v>
      </c>
      <c r="J95" s="112"/>
      <c r="K95" s="113">
        <f t="shared" si="15"/>
        <v>0</v>
      </c>
      <c r="L95" s="111">
        <f>D95+G95</f>
        <v>0</v>
      </c>
      <c r="M95" s="112"/>
      <c r="N95" s="113">
        <f t="shared" si="21"/>
        <v>0</v>
      </c>
      <c r="O95" s="99" t="e">
        <f>N95/K95*100</f>
        <v>#DIV/0!</v>
      </c>
    </row>
    <row r="96" spans="1:15" ht="41.25" hidden="1">
      <c r="A96" s="95" t="s">
        <v>192</v>
      </c>
      <c r="B96" s="131" t="s">
        <v>198</v>
      </c>
      <c r="C96" s="109"/>
      <c r="D96" s="109">
        <v>0</v>
      </c>
      <c r="E96" s="97" t="e">
        <f>D96/C96*100</f>
        <v>#DIV/0!</v>
      </c>
      <c r="F96" s="109">
        <v>0</v>
      </c>
      <c r="G96" s="110">
        <v>0</v>
      </c>
      <c r="H96" s="98" t="e">
        <f t="shared" si="22"/>
        <v>#DIV/0!</v>
      </c>
      <c r="I96" s="111">
        <f>C96+F96</f>
        <v>0</v>
      </c>
      <c r="J96" s="112"/>
      <c r="K96" s="113">
        <f t="shared" si="15"/>
        <v>0</v>
      </c>
      <c r="L96" s="111">
        <f>D96+G96</f>
        <v>0</v>
      </c>
      <c r="M96" s="112"/>
      <c r="N96" s="113">
        <f>L96-M96</f>
        <v>0</v>
      </c>
      <c r="O96" s="99" t="e">
        <f>N96/K96*100</f>
        <v>#DIV/0!</v>
      </c>
    </row>
    <row r="97" spans="1:15" ht="41.25" hidden="1">
      <c r="A97" s="95" t="s">
        <v>192</v>
      </c>
      <c r="B97" s="108" t="s">
        <v>199</v>
      </c>
      <c r="C97" s="109">
        <v>0</v>
      </c>
      <c r="D97" s="109">
        <v>0</v>
      </c>
      <c r="E97" s="97" t="e">
        <f t="shared" si="11"/>
        <v>#DIV/0!</v>
      </c>
      <c r="F97" s="109">
        <v>0</v>
      </c>
      <c r="G97" s="110">
        <v>0</v>
      </c>
      <c r="H97" s="98" t="e">
        <f t="shared" si="22"/>
        <v>#DIV/0!</v>
      </c>
      <c r="I97" s="111">
        <f t="shared" si="19"/>
        <v>0</v>
      </c>
      <c r="J97" s="112">
        <v>0</v>
      </c>
      <c r="K97" s="113">
        <f t="shared" si="15"/>
        <v>0</v>
      </c>
      <c r="L97" s="111">
        <f t="shared" si="20"/>
        <v>0</v>
      </c>
      <c r="M97" s="112">
        <v>0</v>
      </c>
      <c r="N97" s="113">
        <f>L97-M97</f>
        <v>0</v>
      </c>
      <c r="O97" s="99" t="e">
        <f t="shared" si="1"/>
        <v>#DIV/0!</v>
      </c>
    </row>
    <row r="98" spans="1:15" ht="41.25" hidden="1">
      <c r="A98" s="133" t="s">
        <v>192</v>
      </c>
      <c r="B98" s="134" t="s">
        <v>200</v>
      </c>
      <c r="C98" s="109">
        <v>0</v>
      </c>
      <c r="D98" s="109">
        <v>0</v>
      </c>
      <c r="E98" s="97" t="e">
        <f t="shared" si="11"/>
        <v>#DIV/0!</v>
      </c>
      <c r="F98" s="109">
        <v>0</v>
      </c>
      <c r="G98" s="110">
        <v>0</v>
      </c>
      <c r="H98" s="98" t="e">
        <f t="shared" si="22"/>
        <v>#DIV/0!</v>
      </c>
      <c r="I98" s="111">
        <f t="shared" si="19"/>
        <v>0</v>
      </c>
      <c r="J98" s="112"/>
      <c r="K98" s="113">
        <f t="shared" si="15"/>
        <v>0</v>
      </c>
      <c r="L98" s="111">
        <f t="shared" si="20"/>
        <v>0</v>
      </c>
      <c r="M98" s="112"/>
      <c r="N98" s="113">
        <f t="shared" si="21"/>
        <v>0</v>
      </c>
      <c r="O98" s="99" t="e">
        <f t="shared" si="1"/>
        <v>#DIV/0!</v>
      </c>
    </row>
    <row r="99" spans="1:15" ht="41.25" hidden="1">
      <c r="A99" s="95" t="s">
        <v>192</v>
      </c>
      <c r="B99" s="108" t="s">
        <v>201</v>
      </c>
      <c r="C99" s="109"/>
      <c r="D99" s="109"/>
      <c r="E99" s="97"/>
      <c r="F99" s="109"/>
      <c r="G99" s="110"/>
      <c r="H99" s="98" t="e">
        <f t="shared" si="22"/>
        <v>#DIV/0!</v>
      </c>
      <c r="I99" s="111">
        <f t="shared" si="19"/>
        <v>0</v>
      </c>
      <c r="J99" s="112"/>
      <c r="K99" s="113">
        <f t="shared" si="15"/>
        <v>0</v>
      </c>
      <c r="L99" s="111">
        <f t="shared" si="20"/>
        <v>0</v>
      </c>
      <c r="M99" s="112"/>
      <c r="N99" s="113">
        <f t="shared" si="21"/>
        <v>0</v>
      </c>
      <c r="O99" s="99"/>
    </row>
    <row r="100" spans="1:15" ht="27" hidden="1">
      <c r="A100" s="95" t="s">
        <v>192</v>
      </c>
      <c r="B100" s="108" t="s">
        <v>202</v>
      </c>
      <c r="C100" s="109"/>
      <c r="D100" s="109"/>
      <c r="E100" s="97" t="e">
        <f t="shared" si="11"/>
        <v>#DIV/0!</v>
      </c>
      <c r="F100" s="109"/>
      <c r="G100" s="110"/>
      <c r="H100" s="98" t="e">
        <f t="shared" si="22"/>
        <v>#DIV/0!</v>
      </c>
      <c r="I100" s="111">
        <f t="shared" si="19"/>
        <v>0</v>
      </c>
      <c r="J100" s="112"/>
      <c r="K100" s="113">
        <f t="shared" si="15"/>
        <v>0</v>
      </c>
      <c r="L100" s="111">
        <f t="shared" si="20"/>
        <v>0</v>
      </c>
      <c r="M100" s="112"/>
      <c r="N100" s="113">
        <f t="shared" si="21"/>
        <v>0</v>
      </c>
      <c r="O100" s="99" t="e">
        <f t="shared" si="1"/>
        <v>#DIV/0!</v>
      </c>
    </row>
    <row r="101" spans="1:15" ht="39" customHeight="1" hidden="1">
      <c r="A101" s="95" t="s">
        <v>192</v>
      </c>
      <c r="B101" s="108" t="s">
        <v>203</v>
      </c>
      <c r="C101" s="109"/>
      <c r="D101" s="109"/>
      <c r="E101" s="97"/>
      <c r="F101" s="109">
        <v>0</v>
      </c>
      <c r="G101" s="110">
        <v>0</v>
      </c>
      <c r="H101" s="98" t="e">
        <f t="shared" si="22"/>
        <v>#DIV/0!</v>
      </c>
      <c r="I101" s="111">
        <f>C101+F101</f>
        <v>0</v>
      </c>
      <c r="J101" s="112"/>
      <c r="K101" s="113">
        <f t="shared" si="15"/>
        <v>0</v>
      </c>
      <c r="L101" s="111">
        <f>D101+G101</f>
        <v>0</v>
      </c>
      <c r="M101" s="112"/>
      <c r="N101" s="113">
        <f t="shared" si="21"/>
        <v>0</v>
      </c>
      <c r="O101" s="99" t="e">
        <f>N101/K101*100</f>
        <v>#DIV/0!</v>
      </c>
    </row>
    <row r="102" spans="1:15" ht="41.25" hidden="1">
      <c r="A102" s="95" t="s">
        <v>192</v>
      </c>
      <c r="B102" s="126" t="s">
        <v>204</v>
      </c>
      <c r="C102" s="109"/>
      <c r="D102" s="109"/>
      <c r="E102" s="97"/>
      <c r="F102" s="109"/>
      <c r="G102" s="110"/>
      <c r="H102" s="98" t="e">
        <f t="shared" si="22"/>
        <v>#DIV/0!</v>
      </c>
      <c r="I102" s="111">
        <f t="shared" si="19"/>
        <v>0</v>
      </c>
      <c r="J102" s="112"/>
      <c r="K102" s="113">
        <f t="shared" si="15"/>
        <v>0</v>
      </c>
      <c r="L102" s="111">
        <f t="shared" si="20"/>
        <v>0</v>
      </c>
      <c r="M102" s="112"/>
      <c r="N102" s="113">
        <f t="shared" si="21"/>
        <v>0</v>
      </c>
      <c r="O102" s="99" t="e">
        <f t="shared" si="1"/>
        <v>#DIV/0!</v>
      </c>
    </row>
    <row r="103" spans="1:15" ht="13.5" hidden="1">
      <c r="A103" s="95" t="s">
        <v>192</v>
      </c>
      <c r="B103" s="108" t="s">
        <v>205</v>
      </c>
      <c r="C103" s="109"/>
      <c r="D103" s="109"/>
      <c r="E103" s="97" t="e">
        <f t="shared" si="11"/>
        <v>#DIV/0!</v>
      </c>
      <c r="F103" s="109"/>
      <c r="G103" s="110"/>
      <c r="H103" s="98" t="e">
        <f t="shared" si="22"/>
        <v>#DIV/0!</v>
      </c>
      <c r="I103" s="111">
        <f t="shared" si="19"/>
        <v>0</v>
      </c>
      <c r="J103" s="112"/>
      <c r="K103" s="113">
        <f t="shared" si="15"/>
        <v>0</v>
      </c>
      <c r="L103" s="111">
        <f t="shared" si="20"/>
        <v>0</v>
      </c>
      <c r="M103" s="112"/>
      <c r="N103" s="113">
        <f t="shared" si="21"/>
        <v>0</v>
      </c>
      <c r="O103" s="99" t="e">
        <f t="shared" si="1"/>
        <v>#DIV/0!</v>
      </c>
    </row>
    <row r="104" spans="1:15" ht="27" hidden="1">
      <c r="A104" s="95" t="s">
        <v>192</v>
      </c>
      <c r="B104" s="108" t="s">
        <v>206</v>
      </c>
      <c r="C104" s="109"/>
      <c r="D104" s="109"/>
      <c r="E104" s="97"/>
      <c r="F104" s="109"/>
      <c r="G104" s="110"/>
      <c r="H104" s="98"/>
      <c r="I104" s="111">
        <f t="shared" si="19"/>
        <v>0</v>
      </c>
      <c r="J104" s="112"/>
      <c r="K104" s="113">
        <f t="shared" si="15"/>
        <v>0</v>
      </c>
      <c r="L104" s="111">
        <f t="shared" si="20"/>
        <v>0</v>
      </c>
      <c r="M104" s="112"/>
      <c r="N104" s="113">
        <f t="shared" si="21"/>
        <v>0</v>
      </c>
      <c r="O104" s="99" t="e">
        <f t="shared" si="1"/>
        <v>#DIV/0!</v>
      </c>
    </row>
    <row r="105" spans="1:15" ht="27" hidden="1">
      <c r="A105" s="95" t="s">
        <v>192</v>
      </c>
      <c r="B105" s="108" t="s">
        <v>207</v>
      </c>
      <c r="C105" s="109"/>
      <c r="D105" s="109"/>
      <c r="E105" s="97"/>
      <c r="F105" s="109"/>
      <c r="G105" s="110"/>
      <c r="H105" s="98"/>
      <c r="I105" s="111">
        <f t="shared" si="19"/>
        <v>0</v>
      </c>
      <c r="J105" s="112"/>
      <c r="K105" s="113">
        <f t="shared" si="15"/>
        <v>0</v>
      </c>
      <c r="L105" s="111">
        <f t="shared" si="20"/>
        <v>0</v>
      </c>
      <c r="M105" s="112"/>
      <c r="N105" s="113">
        <f t="shared" si="21"/>
        <v>0</v>
      </c>
      <c r="O105" s="99" t="e">
        <f t="shared" si="1"/>
        <v>#DIV/0!</v>
      </c>
    </row>
    <row r="106" spans="1:15" ht="13.5">
      <c r="A106" s="95" t="s">
        <v>192</v>
      </c>
      <c r="B106" s="135" t="s">
        <v>208</v>
      </c>
      <c r="C106" s="109"/>
      <c r="D106" s="109"/>
      <c r="E106" s="97"/>
      <c r="F106" s="109">
        <v>800</v>
      </c>
      <c r="G106" s="110">
        <v>800</v>
      </c>
      <c r="H106" s="98">
        <f>G106/F106*100</f>
        <v>100</v>
      </c>
      <c r="I106" s="111">
        <f t="shared" si="19"/>
        <v>800</v>
      </c>
      <c r="J106" s="112"/>
      <c r="K106" s="113">
        <f t="shared" si="15"/>
        <v>800</v>
      </c>
      <c r="L106" s="111">
        <f t="shared" si="20"/>
        <v>800</v>
      </c>
      <c r="M106" s="112"/>
      <c r="N106" s="113">
        <f t="shared" si="21"/>
        <v>800</v>
      </c>
      <c r="O106" s="99">
        <f t="shared" si="1"/>
        <v>100</v>
      </c>
    </row>
    <row r="107" spans="1:15" ht="21" customHeight="1">
      <c r="A107" s="107" t="s">
        <v>192</v>
      </c>
      <c r="B107" s="108" t="s">
        <v>209</v>
      </c>
      <c r="C107" s="109"/>
      <c r="D107" s="109"/>
      <c r="E107" s="97"/>
      <c r="F107" s="109">
        <v>71407.6</v>
      </c>
      <c r="G107" s="110">
        <v>39481.3</v>
      </c>
      <c r="H107" s="98">
        <f>G107/F107*100</f>
        <v>55.29005315960765</v>
      </c>
      <c r="I107" s="111">
        <f t="shared" si="19"/>
        <v>71407.6</v>
      </c>
      <c r="J107" s="112"/>
      <c r="K107" s="113">
        <f t="shared" si="15"/>
        <v>71407.6</v>
      </c>
      <c r="L107" s="111">
        <f t="shared" si="20"/>
        <v>39481.3</v>
      </c>
      <c r="M107" s="112"/>
      <c r="N107" s="113">
        <f t="shared" si="21"/>
        <v>39481.3</v>
      </c>
      <c r="O107" s="99">
        <f t="shared" si="1"/>
        <v>55.29005315960765</v>
      </c>
    </row>
    <row r="108" spans="1:15" ht="17.25" customHeight="1">
      <c r="A108" s="95" t="s">
        <v>210</v>
      </c>
      <c r="B108" s="108" t="s">
        <v>211</v>
      </c>
      <c r="C108" s="109">
        <v>58.3</v>
      </c>
      <c r="D108" s="109">
        <v>27.9</v>
      </c>
      <c r="E108" s="97">
        <f>D108/C108*100</f>
        <v>47.85591766723842</v>
      </c>
      <c r="F108" s="109">
        <v>0</v>
      </c>
      <c r="G108" s="110"/>
      <c r="H108" s="98">
        <v>0</v>
      </c>
      <c r="I108" s="111">
        <f t="shared" si="19"/>
        <v>58.3</v>
      </c>
      <c r="J108" s="112"/>
      <c r="K108" s="113">
        <f t="shared" si="15"/>
        <v>58.3</v>
      </c>
      <c r="L108" s="111">
        <f t="shared" si="20"/>
        <v>27.9</v>
      </c>
      <c r="M108" s="112"/>
      <c r="N108" s="113">
        <f t="shared" si="21"/>
        <v>27.9</v>
      </c>
      <c r="O108" s="136">
        <f t="shared" si="1"/>
        <v>47.85591766723842</v>
      </c>
    </row>
    <row r="109" spans="1:15" ht="23.25" customHeight="1">
      <c r="A109" s="137" t="s">
        <v>212</v>
      </c>
      <c r="B109" s="138" t="s">
        <v>213</v>
      </c>
      <c r="C109" s="124">
        <f>C110</f>
        <v>105973.7</v>
      </c>
      <c r="D109" s="124">
        <f aca="true" t="shared" si="23" ref="D109:N109">D110</f>
        <v>3488.3</v>
      </c>
      <c r="E109" s="115">
        <f t="shared" si="11"/>
        <v>3.2916657623542447</v>
      </c>
      <c r="F109" s="124">
        <f t="shared" si="23"/>
        <v>11777.2</v>
      </c>
      <c r="G109" s="124">
        <f t="shared" si="23"/>
        <v>3277.9</v>
      </c>
      <c r="H109" s="105">
        <f t="shared" si="23"/>
        <v>27.83259178752165</v>
      </c>
      <c r="I109" s="124">
        <f t="shared" si="23"/>
        <v>117750.9</v>
      </c>
      <c r="J109" s="124">
        <f t="shared" si="23"/>
        <v>9237</v>
      </c>
      <c r="K109" s="124">
        <f>K110</f>
        <v>108513.9</v>
      </c>
      <c r="L109" s="124">
        <f t="shared" si="23"/>
        <v>6766.200000000001</v>
      </c>
      <c r="M109" s="124">
        <f t="shared" si="23"/>
        <v>3034.1</v>
      </c>
      <c r="N109" s="124">
        <f t="shared" si="23"/>
        <v>3732.100000000001</v>
      </c>
      <c r="O109" s="139">
        <f t="shared" si="1"/>
        <v>3.4392828937122353</v>
      </c>
    </row>
    <row r="110" spans="1:15" ht="16.5" customHeight="1">
      <c r="A110" s="95" t="s">
        <v>214</v>
      </c>
      <c r="B110" s="140" t="s">
        <v>215</v>
      </c>
      <c r="C110" s="110">
        <v>105973.7</v>
      </c>
      <c r="D110" s="110">
        <v>3488.3</v>
      </c>
      <c r="E110" s="97">
        <f t="shared" si="11"/>
        <v>3.2916657623542447</v>
      </c>
      <c r="F110" s="110">
        <v>11777.2</v>
      </c>
      <c r="G110" s="110">
        <v>3277.9</v>
      </c>
      <c r="H110" s="98">
        <f>G110/F110*100</f>
        <v>27.83259178752165</v>
      </c>
      <c r="I110" s="111">
        <f aca="true" t="shared" si="24" ref="I110:I154">C110+F110</f>
        <v>117750.9</v>
      </c>
      <c r="J110" s="112">
        <v>9237</v>
      </c>
      <c r="K110" s="113">
        <f>I110-J110</f>
        <v>108513.9</v>
      </c>
      <c r="L110" s="111">
        <f t="shared" si="20"/>
        <v>6766.200000000001</v>
      </c>
      <c r="M110" s="112">
        <v>3034.1</v>
      </c>
      <c r="N110" s="113">
        <f t="shared" si="21"/>
        <v>3732.100000000001</v>
      </c>
      <c r="O110" s="99">
        <f t="shared" si="1"/>
        <v>3.4392828937122353</v>
      </c>
    </row>
    <row r="111" spans="1:15" ht="21" customHeight="1">
      <c r="A111" s="102" t="s">
        <v>216</v>
      </c>
      <c r="B111" s="103" t="s">
        <v>217</v>
      </c>
      <c r="C111" s="104">
        <f>SUM(C112:C121)</f>
        <v>3191619.6</v>
      </c>
      <c r="D111" s="104">
        <f>SUM(D112:D121)</f>
        <v>1785880.2</v>
      </c>
      <c r="E111" s="104">
        <f>D111/C111*100</f>
        <v>55.95529617627364</v>
      </c>
      <c r="F111" s="124">
        <f>F112+F114+F115+F120+F121+F119</f>
        <v>9.5</v>
      </c>
      <c r="G111" s="124">
        <f>SUM(G112:G121)</f>
        <v>0</v>
      </c>
      <c r="H111" s="105">
        <v>0</v>
      </c>
      <c r="I111" s="104">
        <f aca="true" t="shared" si="25" ref="I111:N111">SUM(I112:I121)</f>
        <v>3191629.1</v>
      </c>
      <c r="J111" s="104">
        <f t="shared" si="25"/>
        <v>0</v>
      </c>
      <c r="K111" s="104">
        <f>SUM(K112:K121)</f>
        <v>3191629.1</v>
      </c>
      <c r="L111" s="104">
        <f t="shared" si="25"/>
        <v>1785880.2</v>
      </c>
      <c r="M111" s="104">
        <f t="shared" si="25"/>
        <v>0</v>
      </c>
      <c r="N111" s="104">
        <f t="shared" si="25"/>
        <v>1785880.2</v>
      </c>
      <c r="O111" s="106">
        <f t="shared" si="1"/>
        <v>55.95512962330115</v>
      </c>
    </row>
    <row r="112" spans="1:15" ht="21" customHeight="1">
      <c r="A112" s="107" t="s">
        <v>218</v>
      </c>
      <c r="B112" s="108" t="s">
        <v>219</v>
      </c>
      <c r="C112" s="109">
        <v>439078.2</v>
      </c>
      <c r="D112" s="109">
        <v>295285.4</v>
      </c>
      <c r="E112" s="97">
        <f t="shared" si="11"/>
        <v>67.25120946564871</v>
      </c>
      <c r="F112" s="110">
        <v>0</v>
      </c>
      <c r="G112" s="110">
        <v>0</v>
      </c>
      <c r="H112" s="98">
        <v>0</v>
      </c>
      <c r="I112" s="111">
        <f t="shared" si="24"/>
        <v>439078.2</v>
      </c>
      <c r="J112" s="112"/>
      <c r="K112" s="113">
        <f aca="true" t="shared" si="26" ref="K112:K150">I112-J112</f>
        <v>439078.2</v>
      </c>
      <c r="L112" s="111">
        <f t="shared" si="20"/>
        <v>295285.4</v>
      </c>
      <c r="M112" s="112"/>
      <c r="N112" s="113">
        <f t="shared" si="21"/>
        <v>295285.4</v>
      </c>
      <c r="O112" s="99">
        <f t="shared" si="1"/>
        <v>67.25120946564871</v>
      </c>
    </row>
    <row r="113" spans="1:15" ht="27" hidden="1">
      <c r="A113" s="117" t="s">
        <v>218</v>
      </c>
      <c r="B113" s="108" t="s">
        <v>220</v>
      </c>
      <c r="C113" s="109"/>
      <c r="D113" s="109"/>
      <c r="E113" s="97" t="e">
        <f t="shared" si="11"/>
        <v>#DIV/0!</v>
      </c>
      <c r="F113" s="110">
        <v>0</v>
      </c>
      <c r="G113" s="110">
        <v>0</v>
      </c>
      <c r="H113" s="98">
        <v>0</v>
      </c>
      <c r="I113" s="111">
        <f t="shared" si="24"/>
        <v>0</v>
      </c>
      <c r="J113" s="112"/>
      <c r="K113" s="113">
        <f t="shared" si="26"/>
        <v>0</v>
      </c>
      <c r="L113" s="111">
        <f t="shared" si="20"/>
        <v>0</v>
      </c>
      <c r="M113" s="112"/>
      <c r="N113" s="113">
        <f t="shared" si="21"/>
        <v>0</v>
      </c>
      <c r="O113" s="99" t="e">
        <f t="shared" si="1"/>
        <v>#DIV/0!</v>
      </c>
    </row>
    <row r="114" spans="1:15" ht="13.5">
      <c r="A114" s="107" t="s">
        <v>221</v>
      </c>
      <c r="B114" s="126" t="s">
        <v>222</v>
      </c>
      <c r="C114" s="109">
        <f>2472840.6-C115-C116-C117</f>
        <v>2349118.5</v>
      </c>
      <c r="D114" s="109">
        <f>1268897.7-D115-D116-D117</f>
        <v>1195580.9</v>
      </c>
      <c r="E114" s="109">
        <f t="shared" si="11"/>
        <v>50.89487397081075</v>
      </c>
      <c r="F114" s="110">
        <v>0</v>
      </c>
      <c r="G114" s="110">
        <v>0</v>
      </c>
      <c r="H114" s="110">
        <v>0</v>
      </c>
      <c r="I114" s="111">
        <f t="shared" si="24"/>
        <v>2349118.5</v>
      </c>
      <c r="J114" s="112"/>
      <c r="K114" s="113">
        <f t="shared" si="26"/>
        <v>2349118.5</v>
      </c>
      <c r="L114" s="111">
        <f t="shared" si="20"/>
        <v>1195580.9</v>
      </c>
      <c r="M114" s="112"/>
      <c r="N114" s="113">
        <f t="shared" si="21"/>
        <v>1195580.9</v>
      </c>
      <c r="O114" s="141">
        <f t="shared" si="1"/>
        <v>50.89487397081075</v>
      </c>
    </row>
    <row r="115" spans="1:15" ht="58.5" customHeight="1">
      <c r="A115" s="107" t="s">
        <v>221</v>
      </c>
      <c r="B115" s="108" t="s">
        <v>223</v>
      </c>
      <c r="C115" s="109">
        <v>98687.1</v>
      </c>
      <c r="D115" s="109">
        <v>63257.6</v>
      </c>
      <c r="E115" s="97">
        <f t="shared" si="11"/>
        <v>64.099157843325</v>
      </c>
      <c r="F115" s="110">
        <v>0</v>
      </c>
      <c r="G115" s="110">
        <v>0</v>
      </c>
      <c r="H115" s="98">
        <v>0</v>
      </c>
      <c r="I115" s="111">
        <f t="shared" si="24"/>
        <v>98687.1</v>
      </c>
      <c r="J115" s="112"/>
      <c r="K115" s="113">
        <f t="shared" si="26"/>
        <v>98687.1</v>
      </c>
      <c r="L115" s="111">
        <f t="shared" si="20"/>
        <v>63257.6</v>
      </c>
      <c r="M115" s="112"/>
      <c r="N115" s="113">
        <f t="shared" si="21"/>
        <v>63257.6</v>
      </c>
      <c r="O115" s="99">
        <f t="shared" si="1"/>
        <v>64.099157843325</v>
      </c>
    </row>
    <row r="116" spans="1:15" ht="44.25" customHeight="1">
      <c r="A116" s="107" t="s">
        <v>221</v>
      </c>
      <c r="B116" s="108" t="s">
        <v>224</v>
      </c>
      <c r="C116" s="109">
        <v>25035</v>
      </c>
      <c r="D116" s="109">
        <v>10059.2</v>
      </c>
      <c r="E116" s="97">
        <f t="shared" si="11"/>
        <v>40.18054723387258</v>
      </c>
      <c r="F116" s="110"/>
      <c r="G116" s="110"/>
      <c r="H116" s="98" t="e">
        <f>G116/F116*100</f>
        <v>#DIV/0!</v>
      </c>
      <c r="I116" s="111">
        <f t="shared" si="24"/>
        <v>25035</v>
      </c>
      <c r="J116" s="112"/>
      <c r="K116" s="113">
        <f t="shared" si="26"/>
        <v>25035</v>
      </c>
      <c r="L116" s="111">
        <f t="shared" si="20"/>
        <v>10059.2</v>
      </c>
      <c r="M116" s="112"/>
      <c r="N116" s="113">
        <f t="shared" si="21"/>
        <v>10059.2</v>
      </c>
      <c r="O116" s="99">
        <f t="shared" si="1"/>
        <v>40.18054723387258</v>
      </c>
    </row>
    <row r="117" spans="1:15" ht="27" hidden="1">
      <c r="A117" s="107" t="s">
        <v>221</v>
      </c>
      <c r="B117" s="108" t="s">
        <v>225</v>
      </c>
      <c r="C117" s="109">
        <v>0</v>
      </c>
      <c r="D117" s="109">
        <v>0</v>
      </c>
      <c r="E117" s="97" t="e">
        <f t="shared" si="11"/>
        <v>#DIV/0!</v>
      </c>
      <c r="F117" s="110"/>
      <c r="G117" s="110"/>
      <c r="H117" s="98"/>
      <c r="I117" s="111">
        <f t="shared" si="24"/>
        <v>0</v>
      </c>
      <c r="J117" s="112"/>
      <c r="K117" s="113">
        <f t="shared" si="26"/>
        <v>0</v>
      </c>
      <c r="L117" s="111">
        <f t="shared" si="20"/>
        <v>0</v>
      </c>
      <c r="M117" s="112"/>
      <c r="N117" s="113">
        <f t="shared" si="21"/>
        <v>0</v>
      </c>
      <c r="O117" s="99" t="e">
        <f t="shared" si="1"/>
        <v>#DIV/0!</v>
      </c>
    </row>
    <row r="118" spans="1:15" ht="13.5">
      <c r="A118" s="107" t="s">
        <v>226</v>
      </c>
      <c r="B118" s="108" t="s">
        <v>227</v>
      </c>
      <c r="C118" s="109">
        <v>163968.3</v>
      </c>
      <c r="D118" s="109">
        <v>121014.6</v>
      </c>
      <c r="E118" s="97">
        <f t="shared" si="11"/>
        <v>73.80365595057094</v>
      </c>
      <c r="F118" s="110">
        <v>0</v>
      </c>
      <c r="G118" s="110">
        <v>0</v>
      </c>
      <c r="H118" s="98">
        <v>0</v>
      </c>
      <c r="I118" s="111">
        <f t="shared" si="24"/>
        <v>163968.3</v>
      </c>
      <c r="J118" s="112"/>
      <c r="K118" s="113">
        <f t="shared" si="26"/>
        <v>163968.3</v>
      </c>
      <c r="L118" s="111">
        <f t="shared" si="20"/>
        <v>121014.6</v>
      </c>
      <c r="M118" s="112"/>
      <c r="N118" s="113">
        <f t="shared" si="21"/>
        <v>121014.6</v>
      </c>
      <c r="O118" s="99">
        <f>N118/K118*100</f>
        <v>73.80365595057094</v>
      </c>
    </row>
    <row r="119" spans="1:15" ht="23.25" customHeight="1">
      <c r="A119" s="107" t="s">
        <v>228</v>
      </c>
      <c r="B119" s="108" t="s">
        <v>229</v>
      </c>
      <c r="C119" s="109"/>
      <c r="D119" s="109"/>
      <c r="E119" s="97" t="e">
        <f t="shared" si="11"/>
        <v>#DIV/0!</v>
      </c>
      <c r="F119" s="110">
        <v>9.5</v>
      </c>
      <c r="G119" s="110"/>
      <c r="H119" s="98">
        <f>G119/F119*100</f>
        <v>0</v>
      </c>
      <c r="I119" s="111">
        <f t="shared" si="24"/>
        <v>9.5</v>
      </c>
      <c r="J119" s="112"/>
      <c r="K119" s="113">
        <f t="shared" si="26"/>
        <v>9.5</v>
      </c>
      <c r="L119" s="111">
        <f t="shared" si="20"/>
        <v>0</v>
      </c>
      <c r="M119" s="112"/>
      <c r="N119" s="113">
        <f t="shared" si="21"/>
        <v>0</v>
      </c>
      <c r="O119" s="99">
        <f t="shared" si="1"/>
        <v>0</v>
      </c>
    </row>
    <row r="120" spans="1:15" ht="18.75" customHeight="1">
      <c r="A120" s="107" t="s">
        <v>230</v>
      </c>
      <c r="B120" s="108" t="s">
        <v>231</v>
      </c>
      <c r="C120" s="109">
        <v>2042.4</v>
      </c>
      <c r="D120" s="109">
        <v>2021.3</v>
      </c>
      <c r="E120" s="97">
        <f t="shared" si="11"/>
        <v>98.96690168429299</v>
      </c>
      <c r="F120" s="110"/>
      <c r="G120" s="110"/>
      <c r="H120" s="98"/>
      <c r="I120" s="111">
        <f t="shared" si="24"/>
        <v>2042.4</v>
      </c>
      <c r="J120" s="112"/>
      <c r="K120" s="113">
        <f t="shared" si="26"/>
        <v>2042.4</v>
      </c>
      <c r="L120" s="111">
        <f t="shared" si="20"/>
        <v>2021.3</v>
      </c>
      <c r="M120" s="112"/>
      <c r="N120" s="113">
        <f t="shared" si="21"/>
        <v>2021.3</v>
      </c>
      <c r="O120" s="99">
        <f t="shared" si="1"/>
        <v>98.96690168429299</v>
      </c>
    </row>
    <row r="121" spans="1:15" ht="20.25" customHeight="1">
      <c r="A121" s="107" t="s">
        <v>232</v>
      </c>
      <c r="B121" s="108" t="s">
        <v>233</v>
      </c>
      <c r="C121" s="109">
        <v>113690.1</v>
      </c>
      <c r="D121" s="109">
        <v>98661.2</v>
      </c>
      <c r="E121" s="97">
        <f t="shared" si="11"/>
        <v>86.78081908627048</v>
      </c>
      <c r="F121" s="110">
        <v>0</v>
      </c>
      <c r="G121" s="110"/>
      <c r="H121" s="98">
        <v>0</v>
      </c>
      <c r="I121" s="111">
        <f t="shared" si="24"/>
        <v>113690.1</v>
      </c>
      <c r="J121" s="112"/>
      <c r="K121" s="113">
        <f t="shared" si="26"/>
        <v>113690.1</v>
      </c>
      <c r="L121" s="111">
        <f t="shared" si="20"/>
        <v>98661.2</v>
      </c>
      <c r="M121" s="112"/>
      <c r="N121" s="113">
        <f t="shared" si="21"/>
        <v>98661.2</v>
      </c>
      <c r="O121" s="99">
        <f t="shared" si="1"/>
        <v>86.78081908627048</v>
      </c>
    </row>
    <row r="122" spans="1:15" ht="18.75" customHeight="1">
      <c r="A122" s="102" t="s">
        <v>234</v>
      </c>
      <c r="B122" s="103" t="s">
        <v>235</v>
      </c>
      <c r="C122" s="104">
        <f>SUM(C123:C126)</f>
        <v>90703.8</v>
      </c>
      <c r="D122" s="104">
        <f>SUM(D123:D126)</f>
        <v>62348.5</v>
      </c>
      <c r="E122" s="104">
        <f>D122/C122*100</f>
        <v>68.73857545108363</v>
      </c>
      <c r="F122" s="124">
        <f>SUM(F123:F126)</f>
        <v>141773.1</v>
      </c>
      <c r="G122" s="124">
        <f>SUM(G123:G126)</f>
        <v>94271.09999999999</v>
      </c>
      <c r="H122" s="105">
        <f>G122/F122*100</f>
        <v>66.4943490690406</v>
      </c>
      <c r="I122" s="124">
        <f aca="true" t="shared" si="27" ref="I122:N122">SUM(I123:I126)</f>
        <v>232476.9</v>
      </c>
      <c r="J122" s="124">
        <f t="shared" si="27"/>
        <v>16668.4</v>
      </c>
      <c r="K122" s="124">
        <f>SUM(K123:K126)</f>
        <v>215808.5</v>
      </c>
      <c r="L122" s="124">
        <f t="shared" si="27"/>
        <v>156619.59999999998</v>
      </c>
      <c r="M122" s="124">
        <f t="shared" si="27"/>
        <v>9686.2</v>
      </c>
      <c r="N122" s="124">
        <f t="shared" si="27"/>
        <v>146933.4</v>
      </c>
      <c r="O122" s="106">
        <f t="shared" si="1"/>
        <v>68.08508469314229</v>
      </c>
    </row>
    <row r="123" spans="1:15" ht="18" customHeight="1">
      <c r="A123" s="107" t="s">
        <v>236</v>
      </c>
      <c r="B123" s="108" t="s">
        <v>237</v>
      </c>
      <c r="C123" s="109">
        <f>79823.2-C124</f>
        <v>79112.4</v>
      </c>
      <c r="D123" s="109">
        <f>54830.3-D124</f>
        <v>54257.700000000004</v>
      </c>
      <c r="E123" s="97">
        <f t="shared" si="11"/>
        <v>68.58305398395196</v>
      </c>
      <c r="F123" s="142">
        <f>135926.9-F124</f>
        <v>135785.5</v>
      </c>
      <c r="G123" s="110">
        <f>89749.4-G124</f>
        <v>89644.2</v>
      </c>
      <c r="H123" s="98">
        <f>G123/F123*100</f>
        <v>66.01897846235423</v>
      </c>
      <c r="I123" s="111">
        <f t="shared" si="24"/>
        <v>214897.9</v>
      </c>
      <c r="J123" s="112">
        <f>13057.5-J124</f>
        <v>12933</v>
      </c>
      <c r="K123" s="113">
        <f>I123-J123</f>
        <v>201964.9</v>
      </c>
      <c r="L123" s="111">
        <f t="shared" si="20"/>
        <v>143901.9</v>
      </c>
      <c r="M123" s="112">
        <f>6947.5-M124</f>
        <v>6823</v>
      </c>
      <c r="N123" s="113">
        <f t="shared" si="21"/>
        <v>137078.9</v>
      </c>
      <c r="O123" s="99">
        <f t="shared" si="1"/>
        <v>67.8726352945487</v>
      </c>
    </row>
    <row r="124" spans="1:15" ht="32.25" customHeight="1">
      <c r="A124" s="133" t="s">
        <v>236</v>
      </c>
      <c r="B124" s="134" t="s">
        <v>238</v>
      </c>
      <c r="C124" s="109">
        <v>710.8</v>
      </c>
      <c r="D124" s="109">
        <v>572.6</v>
      </c>
      <c r="E124" s="97">
        <f t="shared" si="11"/>
        <v>80.55711873944851</v>
      </c>
      <c r="F124" s="110">
        <v>141.4</v>
      </c>
      <c r="G124" s="110">
        <v>105.2</v>
      </c>
      <c r="H124" s="98">
        <f>G124/F124*100</f>
        <v>74.3988684582744</v>
      </c>
      <c r="I124" s="111">
        <f t="shared" si="24"/>
        <v>852.1999999999999</v>
      </c>
      <c r="J124" s="112">
        <v>124.5</v>
      </c>
      <c r="K124" s="113">
        <f>I124-J124</f>
        <v>727.6999999999999</v>
      </c>
      <c r="L124" s="111">
        <f t="shared" si="20"/>
        <v>677.8000000000001</v>
      </c>
      <c r="M124" s="112">
        <v>124.5</v>
      </c>
      <c r="N124" s="113">
        <f t="shared" si="21"/>
        <v>553.3000000000001</v>
      </c>
      <c r="O124" s="99">
        <f>N124/K124*100</f>
        <v>76.03407997801294</v>
      </c>
    </row>
    <row r="125" spans="1:15" ht="23.25" customHeight="1">
      <c r="A125" s="107" t="s">
        <v>239</v>
      </c>
      <c r="B125" s="108" t="s">
        <v>240</v>
      </c>
      <c r="C125" s="109">
        <v>100</v>
      </c>
      <c r="D125" s="109">
        <v>0</v>
      </c>
      <c r="E125" s="97">
        <f t="shared" si="11"/>
        <v>0</v>
      </c>
      <c r="F125" s="110"/>
      <c r="G125" s="110"/>
      <c r="H125" s="98" t="e">
        <f>G125/F125*100</f>
        <v>#DIV/0!</v>
      </c>
      <c r="I125" s="111">
        <f t="shared" si="24"/>
        <v>100</v>
      </c>
      <c r="J125" s="112"/>
      <c r="K125" s="113">
        <f>I125-J125</f>
        <v>100</v>
      </c>
      <c r="L125" s="111">
        <f t="shared" si="20"/>
        <v>0</v>
      </c>
      <c r="M125" s="112"/>
      <c r="N125" s="113">
        <f t="shared" si="21"/>
        <v>0</v>
      </c>
      <c r="O125" s="99">
        <f aca="true" t="shared" si="28" ref="O125:O155">N125/K125*100</f>
        <v>0</v>
      </c>
    </row>
    <row r="126" spans="1:15" ht="21.75" customHeight="1">
      <c r="A126" s="107" t="s">
        <v>241</v>
      </c>
      <c r="B126" s="108" t="s">
        <v>242</v>
      </c>
      <c r="C126" s="109">
        <v>10780.6</v>
      </c>
      <c r="D126" s="109">
        <v>7518.2</v>
      </c>
      <c r="E126" s="97">
        <f t="shared" si="11"/>
        <v>69.73823349349757</v>
      </c>
      <c r="F126" s="110">
        <v>5846.2</v>
      </c>
      <c r="G126" s="110">
        <v>4521.7</v>
      </c>
      <c r="H126" s="98">
        <f>G126/F126*100</f>
        <v>77.344257808491</v>
      </c>
      <c r="I126" s="111">
        <f t="shared" si="24"/>
        <v>16626.8</v>
      </c>
      <c r="J126" s="112">
        <v>3610.9</v>
      </c>
      <c r="K126" s="113">
        <f>I126-J126</f>
        <v>13015.9</v>
      </c>
      <c r="L126" s="111">
        <f t="shared" si="20"/>
        <v>12039.9</v>
      </c>
      <c r="M126" s="112">
        <v>2738.7</v>
      </c>
      <c r="N126" s="113">
        <f t="shared" si="21"/>
        <v>9301.2</v>
      </c>
      <c r="O126" s="99">
        <f t="shared" si="28"/>
        <v>71.46029087500672</v>
      </c>
    </row>
    <row r="127" spans="1:15" ht="17.25" customHeight="1">
      <c r="A127" s="102" t="s">
        <v>243</v>
      </c>
      <c r="B127" s="103" t="s">
        <v>244</v>
      </c>
      <c r="C127" s="104">
        <f>SUM(C128:C130)</f>
        <v>2307.7</v>
      </c>
      <c r="D127" s="104">
        <f>SUM(D128:D130)</f>
        <v>2256.1</v>
      </c>
      <c r="E127" s="104">
        <f>SUM(E130:E130)</f>
        <v>97.7640074533085</v>
      </c>
      <c r="F127" s="124">
        <f>F128+F129+F130</f>
        <v>480</v>
      </c>
      <c r="G127" s="124">
        <f>G128+G129+G130</f>
        <v>480</v>
      </c>
      <c r="H127" s="124">
        <f>G127/F127*100</f>
        <v>100</v>
      </c>
      <c r="I127" s="124">
        <f aca="true" t="shared" si="29" ref="I127:N127">I128+I129+I130</f>
        <v>2787.7</v>
      </c>
      <c r="J127" s="124">
        <f t="shared" si="29"/>
        <v>0</v>
      </c>
      <c r="K127" s="124">
        <f>K128+K129+K130</f>
        <v>2787.7</v>
      </c>
      <c r="L127" s="124">
        <f t="shared" si="29"/>
        <v>2736.1</v>
      </c>
      <c r="M127" s="124">
        <f t="shared" si="29"/>
        <v>0</v>
      </c>
      <c r="N127" s="124">
        <f t="shared" si="29"/>
        <v>2736.1</v>
      </c>
      <c r="O127" s="106">
        <f t="shared" si="28"/>
        <v>98.14901173010009</v>
      </c>
    </row>
    <row r="128" spans="1:15" ht="27" hidden="1">
      <c r="A128" s="117" t="s">
        <v>245</v>
      </c>
      <c r="B128" s="126" t="s">
        <v>246</v>
      </c>
      <c r="C128" s="109"/>
      <c r="D128" s="109"/>
      <c r="E128" s="97" t="e">
        <f t="shared" si="11"/>
        <v>#DIV/0!</v>
      </c>
      <c r="F128" s="110"/>
      <c r="G128" s="110"/>
      <c r="H128" s="98" t="e">
        <f>G128/F128*100</f>
        <v>#DIV/0!</v>
      </c>
      <c r="I128" s="111">
        <f t="shared" si="24"/>
        <v>0</v>
      </c>
      <c r="J128" s="112"/>
      <c r="K128" s="113">
        <f>I128-J128</f>
        <v>0</v>
      </c>
      <c r="L128" s="111">
        <f t="shared" si="20"/>
        <v>0</v>
      </c>
      <c r="M128" s="112"/>
      <c r="N128" s="113">
        <f t="shared" si="21"/>
        <v>0</v>
      </c>
      <c r="O128" s="99" t="e">
        <f t="shared" si="28"/>
        <v>#DIV/0!</v>
      </c>
    </row>
    <row r="129" spans="1:15" ht="27" hidden="1">
      <c r="A129" s="95" t="s">
        <v>247</v>
      </c>
      <c r="B129" s="134" t="s">
        <v>248</v>
      </c>
      <c r="C129" s="109"/>
      <c r="D129" s="109"/>
      <c r="E129" s="97" t="e">
        <f t="shared" si="11"/>
        <v>#DIV/0!</v>
      </c>
      <c r="F129" s="113"/>
      <c r="G129" s="113"/>
      <c r="H129" s="110"/>
      <c r="I129" s="111">
        <f t="shared" si="24"/>
        <v>0</v>
      </c>
      <c r="J129" s="112"/>
      <c r="K129" s="113">
        <f t="shared" si="26"/>
        <v>0</v>
      </c>
      <c r="L129" s="111">
        <f t="shared" si="20"/>
        <v>0</v>
      </c>
      <c r="M129" s="112"/>
      <c r="N129" s="113">
        <f>L129-M129</f>
        <v>0</v>
      </c>
      <c r="O129" s="99" t="e">
        <f t="shared" si="28"/>
        <v>#DIV/0!</v>
      </c>
    </row>
    <row r="130" spans="1:15" ht="13.5">
      <c r="A130" s="95" t="s">
        <v>245</v>
      </c>
      <c r="B130" s="134" t="s">
        <v>249</v>
      </c>
      <c r="C130" s="109">
        <v>2307.7</v>
      </c>
      <c r="D130" s="110">
        <v>2256.1</v>
      </c>
      <c r="E130" s="97">
        <f t="shared" si="11"/>
        <v>97.7640074533085</v>
      </c>
      <c r="F130" s="110">
        <v>480</v>
      </c>
      <c r="G130" s="110">
        <v>480</v>
      </c>
      <c r="H130" s="98">
        <f>G130/F130*100</f>
        <v>100</v>
      </c>
      <c r="I130" s="111">
        <f t="shared" si="24"/>
        <v>2787.7</v>
      </c>
      <c r="J130" s="112"/>
      <c r="K130" s="113">
        <f t="shared" si="26"/>
        <v>2787.7</v>
      </c>
      <c r="L130" s="111">
        <f t="shared" si="20"/>
        <v>2736.1</v>
      </c>
      <c r="M130" s="112"/>
      <c r="N130" s="113">
        <f t="shared" si="21"/>
        <v>2736.1</v>
      </c>
      <c r="O130" s="99">
        <f t="shared" si="28"/>
        <v>98.14901173010009</v>
      </c>
    </row>
    <row r="131" spans="1:15" ht="13.5">
      <c r="A131" s="102">
        <v>10</v>
      </c>
      <c r="B131" s="103" t="s">
        <v>250</v>
      </c>
      <c r="C131" s="104">
        <f>SUM(C132:C141)</f>
        <v>37034.8</v>
      </c>
      <c r="D131" s="104">
        <f>SUM(D132:D141)</f>
        <v>19714.8</v>
      </c>
      <c r="E131" s="104">
        <f>D131/C131*100</f>
        <v>53.23317528378714</v>
      </c>
      <c r="F131" s="104">
        <f>SUM(F132:F141)</f>
        <v>938.6</v>
      </c>
      <c r="G131" s="104">
        <f>SUM(G132:G141)</f>
        <v>660.9</v>
      </c>
      <c r="H131" s="105">
        <f>G131/F131*100</f>
        <v>70.4133816322182</v>
      </c>
      <c r="I131" s="104">
        <f aca="true" t="shared" si="30" ref="I131:N131">SUM(I132:I141)</f>
        <v>37973.4</v>
      </c>
      <c r="J131" s="104">
        <f t="shared" si="30"/>
        <v>0</v>
      </c>
      <c r="K131" s="104">
        <f t="shared" si="30"/>
        <v>37973.4</v>
      </c>
      <c r="L131" s="104">
        <f t="shared" si="30"/>
        <v>20375.699999999997</v>
      </c>
      <c r="M131" s="104">
        <f t="shared" si="30"/>
        <v>0</v>
      </c>
      <c r="N131" s="104">
        <f t="shared" si="30"/>
        <v>20375.699999999997</v>
      </c>
      <c r="O131" s="106">
        <f t="shared" si="28"/>
        <v>53.65782363443884</v>
      </c>
    </row>
    <row r="132" spans="1:15" ht="16.5" customHeight="1">
      <c r="A132" s="95">
        <v>1001</v>
      </c>
      <c r="B132" s="108" t="s">
        <v>251</v>
      </c>
      <c r="C132" s="109">
        <v>4841.5</v>
      </c>
      <c r="D132" s="109">
        <v>3064.1</v>
      </c>
      <c r="E132" s="97">
        <f t="shared" si="11"/>
        <v>63.28823711659609</v>
      </c>
      <c r="F132" s="110">
        <v>938.6</v>
      </c>
      <c r="G132" s="110">
        <v>660.9</v>
      </c>
      <c r="H132" s="98">
        <f>G132/F132*100</f>
        <v>70.4133816322182</v>
      </c>
      <c r="I132" s="111">
        <f t="shared" si="24"/>
        <v>5780.1</v>
      </c>
      <c r="J132" s="112"/>
      <c r="K132" s="113">
        <f t="shared" si="26"/>
        <v>5780.1</v>
      </c>
      <c r="L132" s="111">
        <f t="shared" si="20"/>
        <v>3725</v>
      </c>
      <c r="M132" s="112"/>
      <c r="N132" s="113">
        <f t="shared" si="21"/>
        <v>3725</v>
      </c>
      <c r="O132" s="99">
        <f t="shared" si="28"/>
        <v>64.44525181225238</v>
      </c>
    </row>
    <row r="133" spans="1:15" ht="41.25" hidden="1">
      <c r="A133" s="95">
        <v>1003</v>
      </c>
      <c r="B133" s="134" t="s">
        <v>252</v>
      </c>
      <c r="C133" s="109"/>
      <c r="D133" s="109"/>
      <c r="E133" s="97" t="e">
        <f t="shared" si="11"/>
        <v>#DIV/0!</v>
      </c>
      <c r="F133" s="110">
        <v>0</v>
      </c>
      <c r="G133" s="110">
        <v>0</v>
      </c>
      <c r="H133" s="98" t="e">
        <f aca="true" t="shared" si="31" ref="H133:H141">G133/F133*100</f>
        <v>#DIV/0!</v>
      </c>
      <c r="I133" s="111">
        <f t="shared" si="24"/>
        <v>0</v>
      </c>
      <c r="J133" s="112"/>
      <c r="K133" s="113">
        <f t="shared" si="26"/>
        <v>0</v>
      </c>
      <c r="L133" s="111">
        <f t="shared" si="20"/>
        <v>0</v>
      </c>
      <c r="M133" s="112"/>
      <c r="N133" s="113">
        <f t="shared" si="21"/>
        <v>0</v>
      </c>
      <c r="O133" s="99" t="e">
        <f t="shared" si="28"/>
        <v>#DIV/0!</v>
      </c>
    </row>
    <row r="134" spans="1:15" ht="27">
      <c r="A134" s="95" t="s">
        <v>253</v>
      </c>
      <c r="B134" s="134" t="s">
        <v>254</v>
      </c>
      <c r="C134" s="109">
        <v>7459.6</v>
      </c>
      <c r="D134" s="109">
        <v>2311.2</v>
      </c>
      <c r="E134" s="97">
        <f t="shared" si="11"/>
        <v>30.98289452517561</v>
      </c>
      <c r="F134" s="110"/>
      <c r="G134" s="110"/>
      <c r="H134" s="98" t="e">
        <f t="shared" si="31"/>
        <v>#DIV/0!</v>
      </c>
      <c r="I134" s="111">
        <f t="shared" si="24"/>
        <v>7459.6</v>
      </c>
      <c r="J134" s="112"/>
      <c r="K134" s="113">
        <f t="shared" si="26"/>
        <v>7459.6</v>
      </c>
      <c r="L134" s="111">
        <f t="shared" si="20"/>
        <v>2311.2</v>
      </c>
      <c r="M134" s="112"/>
      <c r="N134" s="113">
        <f t="shared" si="21"/>
        <v>2311.2</v>
      </c>
      <c r="O134" s="99">
        <f t="shared" si="28"/>
        <v>30.98289452517561</v>
      </c>
    </row>
    <row r="135" spans="1:15" ht="36" customHeight="1">
      <c r="A135" s="95" t="s">
        <v>253</v>
      </c>
      <c r="B135" s="108" t="s">
        <v>255</v>
      </c>
      <c r="C135" s="109">
        <v>9178.7</v>
      </c>
      <c r="D135" s="109">
        <v>3030.1</v>
      </c>
      <c r="E135" s="97">
        <f t="shared" si="11"/>
        <v>33.0123002168063</v>
      </c>
      <c r="F135" s="110"/>
      <c r="G135" s="110"/>
      <c r="H135" s="98" t="e">
        <f t="shared" si="31"/>
        <v>#DIV/0!</v>
      </c>
      <c r="I135" s="111">
        <f t="shared" si="24"/>
        <v>9178.7</v>
      </c>
      <c r="J135" s="112"/>
      <c r="K135" s="113">
        <f t="shared" si="26"/>
        <v>9178.7</v>
      </c>
      <c r="L135" s="111">
        <f t="shared" si="20"/>
        <v>3030.1</v>
      </c>
      <c r="M135" s="112"/>
      <c r="N135" s="113">
        <f t="shared" si="21"/>
        <v>3030.1</v>
      </c>
      <c r="O135" s="99">
        <f>N135/K135*100</f>
        <v>33.0123002168063</v>
      </c>
    </row>
    <row r="136" spans="1:15" ht="56.25" customHeight="1">
      <c r="A136" s="121">
        <v>1004</v>
      </c>
      <c r="B136" s="108" t="s">
        <v>256</v>
      </c>
      <c r="C136" s="109">
        <v>15555</v>
      </c>
      <c r="D136" s="109">
        <v>11309.4</v>
      </c>
      <c r="E136" s="97">
        <f t="shared" si="11"/>
        <v>72.70588235294117</v>
      </c>
      <c r="F136" s="110">
        <v>0</v>
      </c>
      <c r="G136" s="110">
        <v>0</v>
      </c>
      <c r="H136" s="98" t="e">
        <f t="shared" si="31"/>
        <v>#DIV/0!</v>
      </c>
      <c r="I136" s="111">
        <f t="shared" si="24"/>
        <v>15555</v>
      </c>
      <c r="J136" s="112"/>
      <c r="K136" s="113">
        <f t="shared" si="26"/>
        <v>15555</v>
      </c>
      <c r="L136" s="111">
        <f t="shared" si="20"/>
        <v>11309.4</v>
      </c>
      <c r="M136" s="112"/>
      <c r="N136" s="113">
        <f t="shared" si="21"/>
        <v>11309.4</v>
      </c>
      <c r="O136" s="99">
        <f t="shared" si="28"/>
        <v>72.70588235294117</v>
      </c>
    </row>
    <row r="137" spans="1:15" ht="82.5" hidden="1">
      <c r="A137" s="95">
        <v>1004</v>
      </c>
      <c r="B137" s="108" t="s">
        <v>257</v>
      </c>
      <c r="C137" s="109">
        <v>0</v>
      </c>
      <c r="D137" s="109">
        <v>0</v>
      </c>
      <c r="E137" s="97" t="e">
        <f aca="true" t="shared" si="32" ref="E137:E154">D137/C137*100</f>
        <v>#DIV/0!</v>
      </c>
      <c r="F137" s="110">
        <v>0</v>
      </c>
      <c r="G137" s="110">
        <v>0</v>
      </c>
      <c r="H137" s="98" t="e">
        <f t="shared" si="31"/>
        <v>#DIV/0!</v>
      </c>
      <c r="I137" s="111">
        <f t="shared" si="24"/>
        <v>0</v>
      </c>
      <c r="J137" s="112"/>
      <c r="K137" s="113">
        <f t="shared" si="26"/>
        <v>0</v>
      </c>
      <c r="L137" s="111">
        <f t="shared" si="20"/>
        <v>0</v>
      </c>
      <c r="M137" s="112"/>
      <c r="N137" s="113">
        <f t="shared" si="21"/>
        <v>0</v>
      </c>
      <c r="O137" s="99" t="e">
        <f t="shared" si="28"/>
        <v>#DIV/0!</v>
      </c>
    </row>
    <row r="138" spans="1:15" ht="82.5" hidden="1">
      <c r="A138" s="95" t="s">
        <v>258</v>
      </c>
      <c r="B138" s="108" t="s">
        <v>259</v>
      </c>
      <c r="C138" s="109">
        <v>0</v>
      </c>
      <c r="D138" s="109">
        <v>0</v>
      </c>
      <c r="E138" s="97" t="e">
        <f>D138/C138*100</f>
        <v>#DIV/0!</v>
      </c>
      <c r="F138" s="110">
        <v>0</v>
      </c>
      <c r="G138" s="110">
        <v>0</v>
      </c>
      <c r="H138" s="98" t="e">
        <f t="shared" si="31"/>
        <v>#DIV/0!</v>
      </c>
      <c r="I138" s="111">
        <f t="shared" si="24"/>
        <v>0</v>
      </c>
      <c r="J138" s="112"/>
      <c r="K138" s="113">
        <f t="shared" si="26"/>
        <v>0</v>
      </c>
      <c r="L138" s="111">
        <f t="shared" si="20"/>
        <v>0</v>
      </c>
      <c r="M138" s="112"/>
      <c r="N138" s="113">
        <f t="shared" si="21"/>
        <v>0</v>
      </c>
      <c r="O138" s="99" t="e">
        <f>N138/K138*100</f>
        <v>#DIV/0!</v>
      </c>
    </row>
    <row r="139" spans="1:15" ht="13.5" hidden="1">
      <c r="A139" s="95" t="s">
        <v>258</v>
      </c>
      <c r="B139" s="108" t="s">
        <v>260</v>
      </c>
      <c r="C139" s="109">
        <v>0</v>
      </c>
      <c r="D139" s="109">
        <v>0</v>
      </c>
      <c r="E139" s="97" t="e">
        <f>D139/C139*100</f>
        <v>#DIV/0!</v>
      </c>
      <c r="F139" s="110"/>
      <c r="G139" s="110"/>
      <c r="H139" s="98" t="e">
        <f t="shared" si="31"/>
        <v>#DIV/0!</v>
      </c>
      <c r="I139" s="111">
        <f t="shared" si="24"/>
        <v>0</v>
      </c>
      <c r="J139" s="112"/>
      <c r="K139" s="113">
        <f t="shared" si="26"/>
        <v>0</v>
      </c>
      <c r="L139" s="111">
        <f t="shared" si="20"/>
        <v>0</v>
      </c>
      <c r="M139" s="112"/>
      <c r="N139" s="113">
        <f t="shared" si="21"/>
        <v>0</v>
      </c>
      <c r="O139" s="99" t="e">
        <f>N139/K139*100</f>
        <v>#DIV/0!</v>
      </c>
    </row>
    <row r="140" spans="1:15" ht="27" hidden="1">
      <c r="A140" s="95" t="s">
        <v>261</v>
      </c>
      <c r="B140" s="108" t="s">
        <v>262</v>
      </c>
      <c r="C140" s="109"/>
      <c r="D140" s="109"/>
      <c r="E140" s="97"/>
      <c r="F140" s="110"/>
      <c r="G140" s="110"/>
      <c r="H140" s="98" t="e">
        <f t="shared" si="31"/>
        <v>#DIV/0!</v>
      </c>
      <c r="I140" s="111">
        <f t="shared" si="24"/>
        <v>0</v>
      </c>
      <c r="J140" s="112"/>
      <c r="K140" s="113">
        <f t="shared" si="26"/>
        <v>0</v>
      </c>
      <c r="L140" s="111">
        <f t="shared" si="20"/>
        <v>0</v>
      </c>
      <c r="M140" s="112"/>
      <c r="N140" s="113">
        <f t="shared" si="21"/>
        <v>0</v>
      </c>
      <c r="O140" s="99" t="e">
        <f>N140/K140*100</f>
        <v>#DIV/0!</v>
      </c>
    </row>
    <row r="141" spans="1:15" ht="13.5" hidden="1">
      <c r="A141" s="95">
        <v>1006</v>
      </c>
      <c r="B141" s="108" t="s">
        <v>263</v>
      </c>
      <c r="C141" s="109"/>
      <c r="D141" s="109"/>
      <c r="E141" s="97" t="e">
        <f t="shared" si="32"/>
        <v>#DIV/0!</v>
      </c>
      <c r="F141" s="110">
        <v>0</v>
      </c>
      <c r="G141" s="110">
        <v>0</v>
      </c>
      <c r="H141" s="98" t="e">
        <f t="shared" si="31"/>
        <v>#DIV/0!</v>
      </c>
      <c r="I141" s="111">
        <f t="shared" si="24"/>
        <v>0</v>
      </c>
      <c r="J141" s="112"/>
      <c r="K141" s="113">
        <f t="shared" si="26"/>
        <v>0</v>
      </c>
      <c r="L141" s="111">
        <f t="shared" si="20"/>
        <v>0</v>
      </c>
      <c r="M141" s="112"/>
      <c r="N141" s="113">
        <f t="shared" si="21"/>
        <v>0</v>
      </c>
      <c r="O141" s="99" t="e">
        <f t="shared" si="28"/>
        <v>#DIV/0!</v>
      </c>
    </row>
    <row r="142" spans="1:15" ht="13.5">
      <c r="A142" s="137">
        <v>1100</v>
      </c>
      <c r="B142" s="103" t="s">
        <v>264</v>
      </c>
      <c r="C142" s="104">
        <f>SUM(C143:C145)</f>
        <v>168603.3</v>
      </c>
      <c r="D142" s="104">
        <f>SUM(D143:D145)</f>
        <v>100076.6</v>
      </c>
      <c r="E142" s="104">
        <f>D142/C142*100</f>
        <v>59.35625222044884</v>
      </c>
      <c r="F142" s="124">
        <f>F143+F144+F145</f>
        <v>63974.2</v>
      </c>
      <c r="G142" s="124">
        <f>G143+G144</f>
        <v>24407.2</v>
      </c>
      <c r="H142" s="105">
        <f>G142/F142*100</f>
        <v>38.15162987579368</v>
      </c>
      <c r="I142" s="124">
        <f aca="true" t="shared" si="33" ref="I142:N142">I143+I144+I145</f>
        <v>232577.5</v>
      </c>
      <c r="J142" s="124">
        <f t="shared" si="33"/>
        <v>20583.1</v>
      </c>
      <c r="K142" s="124">
        <f>K143+K144+K145</f>
        <v>211994.40000000002</v>
      </c>
      <c r="L142" s="124">
        <f t="shared" si="33"/>
        <v>124483.8</v>
      </c>
      <c r="M142" s="124">
        <f t="shared" si="33"/>
        <v>998.6</v>
      </c>
      <c r="N142" s="124">
        <f t="shared" si="33"/>
        <v>123485.2</v>
      </c>
      <c r="O142" s="106">
        <f t="shared" si="28"/>
        <v>58.24927450913797</v>
      </c>
    </row>
    <row r="143" spans="1:15" ht="15.75" customHeight="1">
      <c r="A143" s="95">
        <v>1101</v>
      </c>
      <c r="B143" s="108" t="s">
        <v>265</v>
      </c>
      <c r="C143" s="109">
        <v>131550.5</v>
      </c>
      <c r="D143" s="109">
        <v>89023.1</v>
      </c>
      <c r="E143" s="97">
        <f t="shared" si="32"/>
        <v>67.67218672677033</v>
      </c>
      <c r="F143" s="110">
        <v>37580.6</v>
      </c>
      <c r="G143" s="110">
        <v>18822</v>
      </c>
      <c r="H143" s="98">
        <f>G143/F143*100</f>
        <v>50.08435203269772</v>
      </c>
      <c r="I143" s="111">
        <f t="shared" si="24"/>
        <v>169131.1</v>
      </c>
      <c r="J143" s="112">
        <v>20583.1</v>
      </c>
      <c r="K143" s="113">
        <f>I143-J143</f>
        <v>148548</v>
      </c>
      <c r="L143" s="111">
        <f t="shared" si="20"/>
        <v>107845.1</v>
      </c>
      <c r="M143" s="112">
        <v>998.6</v>
      </c>
      <c r="N143" s="113">
        <f t="shared" si="21"/>
        <v>106846.5</v>
      </c>
      <c r="O143" s="99">
        <f t="shared" si="28"/>
        <v>71.9272558364973</v>
      </c>
    </row>
    <row r="144" spans="1:15" ht="15.75" customHeight="1">
      <c r="A144" s="95">
        <v>1102</v>
      </c>
      <c r="B144" s="108" t="s">
        <v>266</v>
      </c>
      <c r="C144" s="109">
        <v>0</v>
      </c>
      <c r="D144" s="109">
        <v>0</v>
      </c>
      <c r="E144" s="97" t="e">
        <f t="shared" si="32"/>
        <v>#DIV/0!</v>
      </c>
      <c r="F144" s="110">
        <v>26393.6</v>
      </c>
      <c r="G144" s="110">
        <v>5585.2</v>
      </c>
      <c r="H144" s="98">
        <f>G144/F144*100</f>
        <v>21.161190591658585</v>
      </c>
      <c r="I144" s="111">
        <f t="shared" si="24"/>
        <v>26393.6</v>
      </c>
      <c r="J144" s="112"/>
      <c r="K144" s="113">
        <f>I144-J144</f>
        <v>26393.6</v>
      </c>
      <c r="L144" s="111">
        <f t="shared" si="20"/>
        <v>5585.2</v>
      </c>
      <c r="M144" s="112"/>
      <c r="N144" s="113">
        <f t="shared" si="21"/>
        <v>5585.2</v>
      </c>
      <c r="O144" s="99">
        <f t="shared" si="28"/>
        <v>21.161190591658585</v>
      </c>
    </row>
    <row r="145" spans="1:15" ht="15" customHeight="1">
      <c r="A145" s="95" t="s">
        <v>267</v>
      </c>
      <c r="B145" s="108" t="s">
        <v>266</v>
      </c>
      <c r="C145" s="109">
        <v>37052.8</v>
      </c>
      <c r="D145" s="109">
        <v>11053.5</v>
      </c>
      <c r="E145" s="97">
        <f t="shared" si="32"/>
        <v>29.83175360566543</v>
      </c>
      <c r="F145" s="110"/>
      <c r="G145" s="110"/>
      <c r="H145" s="98" t="e">
        <f>G145/F145*100</f>
        <v>#DIV/0!</v>
      </c>
      <c r="I145" s="111">
        <f t="shared" si="24"/>
        <v>37052.8</v>
      </c>
      <c r="J145" s="112"/>
      <c r="K145" s="113">
        <f>I145-J145</f>
        <v>37052.8</v>
      </c>
      <c r="L145" s="111">
        <f t="shared" si="20"/>
        <v>11053.5</v>
      </c>
      <c r="M145" s="112"/>
      <c r="N145" s="113">
        <f t="shared" si="21"/>
        <v>11053.5</v>
      </c>
      <c r="O145" s="99">
        <f t="shared" si="28"/>
        <v>29.83175360566543</v>
      </c>
    </row>
    <row r="146" spans="1:15" ht="21" customHeight="1">
      <c r="A146" s="137">
        <v>1200</v>
      </c>
      <c r="B146" s="103" t="s">
        <v>268</v>
      </c>
      <c r="C146" s="104">
        <f>SUM(C147:C148)</f>
        <v>11414.3</v>
      </c>
      <c r="D146" s="104">
        <f>SUM(D147:D148)</f>
        <v>8517.6</v>
      </c>
      <c r="E146" s="115">
        <f>D146/C146*100</f>
        <v>74.62218445283548</v>
      </c>
      <c r="F146" s="104"/>
      <c r="G146" s="104"/>
      <c r="H146" s="105"/>
      <c r="I146" s="104">
        <f aca="true" t="shared" si="34" ref="I146:N146">I147</f>
        <v>11414.3</v>
      </c>
      <c r="J146" s="104">
        <f>J147+J148</f>
        <v>0</v>
      </c>
      <c r="K146" s="104">
        <f>K147+K148</f>
        <v>11414.3</v>
      </c>
      <c r="L146" s="104">
        <f t="shared" si="34"/>
        <v>8517.6</v>
      </c>
      <c r="M146" s="104">
        <f>M147+M148</f>
        <v>0</v>
      </c>
      <c r="N146" s="104">
        <f t="shared" si="34"/>
        <v>8517.6</v>
      </c>
      <c r="O146" s="116">
        <f t="shared" si="28"/>
        <v>74.62218445283548</v>
      </c>
    </row>
    <row r="147" spans="1:15" ht="15" customHeight="1">
      <c r="A147" s="95" t="s">
        <v>269</v>
      </c>
      <c r="B147" s="108" t="s">
        <v>270</v>
      </c>
      <c r="C147" s="109">
        <v>11414.3</v>
      </c>
      <c r="D147" s="109">
        <v>8517.6</v>
      </c>
      <c r="E147" s="97">
        <f>D147/C147*100</f>
        <v>74.62218445283548</v>
      </c>
      <c r="F147" s="110"/>
      <c r="G147" s="110"/>
      <c r="H147" s="98"/>
      <c r="I147" s="111">
        <f>C147+F147</f>
        <v>11414.3</v>
      </c>
      <c r="J147" s="112">
        <v>0</v>
      </c>
      <c r="K147" s="113">
        <f>I147-J147</f>
        <v>11414.3</v>
      </c>
      <c r="L147" s="111">
        <f t="shared" si="20"/>
        <v>8517.6</v>
      </c>
      <c r="M147" s="112"/>
      <c r="N147" s="113">
        <f t="shared" si="21"/>
        <v>8517.6</v>
      </c>
      <c r="O147" s="99">
        <f>N147/K147*100</f>
        <v>74.62218445283548</v>
      </c>
    </row>
    <row r="148" spans="1:15" ht="13.5" hidden="1">
      <c r="A148" s="95" t="s">
        <v>271</v>
      </c>
      <c r="B148" s="108" t="s">
        <v>272</v>
      </c>
      <c r="C148" s="109"/>
      <c r="D148" s="109">
        <v>0</v>
      </c>
      <c r="E148" s="97" t="e">
        <f>D148/C148*100</f>
        <v>#DIV/0!</v>
      </c>
      <c r="F148" s="110"/>
      <c r="G148" s="110"/>
      <c r="H148" s="98"/>
      <c r="I148" s="111">
        <f>C148+F148</f>
        <v>0</v>
      </c>
      <c r="J148" s="112"/>
      <c r="K148" s="113">
        <f>I148-J148</f>
        <v>0</v>
      </c>
      <c r="L148" s="111">
        <f t="shared" si="20"/>
        <v>0</v>
      </c>
      <c r="M148" s="112">
        <v>0</v>
      </c>
      <c r="N148" s="113">
        <f t="shared" si="21"/>
        <v>0</v>
      </c>
      <c r="O148" s="99" t="e">
        <f>N148/K148*100</f>
        <v>#DIV/0!</v>
      </c>
    </row>
    <row r="149" spans="1:15" ht="13.5">
      <c r="A149" s="137">
        <v>1300</v>
      </c>
      <c r="B149" s="103" t="s">
        <v>273</v>
      </c>
      <c r="C149" s="104">
        <f aca="true" t="shared" si="35" ref="C149:N149">C150</f>
        <v>30</v>
      </c>
      <c r="D149" s="104">
        <f t="shared" si="35"/>
        <v>5.5</v>
      </c>
      <c r="E149" s="104">
        <f t="shared" si="35"/>
        <v>18.333333333333332</v>
      </c>
      <c r="F149" s="104">
        <f t="shared" si="35"/>
        <v>0</v>
      </c>
      <c r="G149" s="104">
        <f t="shared" si="35"/>
        <v>0</v>
      </c>
      <c r="H149" s="115">
        <f t="shared" si="35"/>
        <v>0</v>
      </c>
      <c r="I149" s="104">
        <f t="shared" si="35"/>
        <v>30</v>
      </c>
      <c r="J149" s="104">
        <f t="shared" si="35"/>
        <v>0</v>
      </c>
      <c r="K149" s="104">
        <f t="shared" si="35"/>
        <v>30</v>
      </c>
      <c r="L149" s="104">
        <f t="shared" si="35"/>
        <v>5.5</v>
      </c>
      <c r="M149" s="104">
        <f t="shared" si="35"/>
        <v>0</v>
      </c>
      <c r="N149" s="104">
        <f t="shared" si="35"/>
        <v>5.5</v>
      </c>
      <c r="O149" s="116">
        <f t="shared" si="28"/>
        <v>18.333333333333332</v>
      </c>
    </row>
    <row r="150" spans="1:15" ht="18" customHeight="1">
      <c r="A150" s="95">
        <v>1301</v>
      </c>
      <c r="B150" s="108" t="s">
        <v>274</v>
      </c>
      <c r="C150" s="109">
        <v>30</v>
      </c>
      <c r="D150" s="109">
        <v>5.5</v>
      </c>
      <c r="E150" s="97">
        <f t="shared" si="32"/>
        <v>18.333333333333332</v>
      </c>
      <c r="F150" s="110"/>
      <c r="G150" s="110">
        <v>0</v>
      </c>
      <c r="H150" s="98">
        <v>0</v>
      </c>
      <c r="I150" s="111">
        <f t="shared" si="24"/>
        <v>30</v>
      </c>
      <c r="J150" s="112"/>
      <c r="K150" s="113">
        <f t="shared" si="26"/>
        <v>30</v>
      </c>
      <c r="L150" s="111">
        <f t="shared" si="20"/>
        <v>5.5</v>
      </c>
      <c r="M150" s="143"/>
      <c r="N150" s="113">
        <f t="shared" si="21"/>
        <v>5.5</v>
      </c>
      <c r="O150" s="99">
        <f t="shared" si="28"/>
        <v>18.333333333333332</v>
      </c>
    </row>
    <row r="151" spans="1:15" ht="17.25" customHeight="1">
      <c r="A151" s="137">
        <v>1400</v>
      </c>
      <c r="B151" s="103" t="s">
        <v>275</v>
      </c>
      <c r="C151" s="104">
        <f>SUM(C152:C154)</f>
        <v>371859</v>
      </c>
      <c r="D151" s="104">
        <f>SUM(D152:D154)</f>
        <v>289991.19999999995</v>
      </c>
      <c r="E151" s="104">
        <f>D151/C151*100</f>
        <v>77.98418217657766</v>
      </c>
      <c r="F151" s="124">
        <f>F152+F153+F154</f>
        <v>0</v>
      </c>
      <c r="G151" s="124">
        <f>SUM(G152:G154)</f>
        <v>0</v>
      </c>
      <c r="H151" s="124"/>
      <c r="I151" s="124">
        <f aca="true" t="shared" si="36" ref="I151:N151">I152+I153+I154</f>
        <v>371859</v>
      </c>
      <c r="J151" s="124">
        <f t="shared" si="36"/>
        <v>371859</v>
      </c>
      <c r="K151" s="124">
        <f>K152+K153+K154</f>
        <v>0</v>
      </c>
      <c r="L151" s="124">
        <f t="shared" si="36"/>
        <v>289991.19999999995</v>
      </c>
      <c r="M151" s="124">
        <f t="shared" si="36"/>
        <v>289991.19999999995</v>
      </c>
      <c r="N151" s="124">
        <f t="shared" si="36"/>
        <v>0</v>
      </c>
      <c r="O151" s="106">
        <v>0</v>
      </c>
    </row>
    <row r="152" spans="1:15" ht="27" customHeight="1">
      <c r="A152" s="95">
        <v>1401</v>
      </c>
      <c r="B152" s="108" t="s">
        <v>276</v>
      </c>
      <c r="C152" s="109">
        <v>158548.7</v>
      </c>
      <c r="D152" s="109">
        <v>126838.9</v>
      </c>
      <c r="E152" s="97">
        <f t="shared" si="32"/>
        <v>79.99996215673795</v>
      </c>
      <c r="F152" s="110">
        <v>0</v>
      </c>
      <c r="G152" s="110">
        <v>0</v>
      </c>
      <c r="H152" s="98">
        <v>0</v>
      </c>
      <c r="I152" s="111">
        <f t="shared" si="24"/>
        <v>158548.7</v>
      </c>
      <c r="J152" s="112">
        <v>158548.7</v>
      </c>
      <c r="K152" s="113">
        <f>I152-J152</f>
        <v>0</v>
      </c>
      <c r="L152" s="111">
        <f t="shared" si="20"/>
        <v>126838.9</v>
      </c>
      <c r="M152" s="143">
        <v>126838.9</v>
      </c>
      <c r="N152" s="113">
        <f t="shared" si="21"/>
        <v>0</v>
      </c>
      <c r="O152" s="99">
        <v>0</v>
      </c>
    </row>
    <row r="153" spans="1:15" ht="13.5" hidden="1">
      <c r="A153" s="95">
        <v>1402</v>
      </c>
      <c r="B153" s="108" t="s">
        <v>277</v>
      </c>
      <c r="C153" s="109"/>
      <c r="D153" s="109"/>
      <c r="E153" s="97" t="e">
        <f t="shared" si="32"/>
        <v>#DIV/0!</v>
      </c>
      <c r="F153" s="110">
        <v>0</v>
      </c>
      <c r="G153" s="110">
        <v>0</v>
      </c>
      <c r="H153" s="98">
        <v>0</v>
      </c>
      <c r="I153" s="111">
        <f t="shared" si="24"/>
        <v>0</v>
      </c>
      <c r="J153" s="112"/>
      <c r="K153" s="113">
        <f>I153-J153</f>
        <v>0</v>
      </c>
      <c r="L153" s="111">
        <f t="shared" si="20"/>
        <v>0</v>
      </c>
      <c r="M153" s="143"/>
      <c r="N153" s="113">
        <f t="shared" si="21"/>
        <v>0</v>
      </c>
      <c r="O153" s="99">
        <v>0</v>
      </c>
    </row>
    <row r="154" spans="1:15" ht="13.5">
      <c r="A154" s="95">
        <v>1403</v>
      </c>
      <c r="B154" s="108" t="s">
        <v>278</v>
      </c>
      <c r="C154" s="109">
        <v>213310.3</v>
      </c>
      <c r="D154" s="109">
        <v>163152.3</v>
      </c>
      <c r="E154" s="97">
        <f t="shared" si="32"/>
        <v>76.48589871187654</v>
      </c>
      <c r="F154" s="110">
        <v>0</v>
      </c>
      <c r="G154" s="110">
        <v>0</v>
      </c>
      <c r="H154" s="98">
        <v>0</v>
      </c>
      <c r="I154" s="111">
        <f t="shared" si="24"/>
        <v>213310.3</v>
      </c>
      <c r="J154" s="112">
        <v>213310.3</v>
      </c>
      <c r="K154" s="113">
        <f>I154-J154</f>
        <v>0</v>
      </c>
      <c r="L154" s="111">
        <f t="shared" si="20"/>
        <v>163152.3</v>
      </c>
      <c r="M154" s="112">
        <v>163152.3</v>
      </c>
      <c r="N154" s="113">
        <f t="shared" si="21"/>
        <v>0</v>
      </c>
      <c r="O154" s="99">
        <v>0</v>
      </c>
    </row>
    <row r="155" spans="1:15" ht="14.25" thickBot="1">
      <c r="A155" s="202" t="s">
        <v>279</v>
      </c>
      <c r="B155" s="203"/>
      <c r="C155" s="144">
        <f>C10+C19+C21+C26+C59+C109+C111+C122+C127+C131+C142+C146+C149+C151</f>
        <v>5749018.899999999</v>
      </c>
      <c r="D155" s="144">
        <f>D151+D149+D146+D142+D131+D127+D122+D111+D109+D59+D26+D21+D19+D10</f>
        <v>3272897.04</v>
      </c>
      <c r="E155" s="144">
        <f>D155/C155*100</f>
        <v>56.929662207233314</v>
      </c>
      <c r="F155" s="144">
        <f>F10+F19+F21+F26+F59+F109+F111+F122+F127+F131+F142+F146+F149+F151</f>
        <v>818218.3999999999</v>
      </c>
      <c r="G155" s="144">
        <f>G10+G19+G21+G26+G59+G109+G111+G122+G127+G131+G142+G146+G149+G151</f>
        <v>537856.5</v>
      </c>
      <c r="H155" s="145">
        <f>G155/F155*100</f>
        <v>65.73507757830917</v>
      </c>
      <c r="I155" s="144"/>
      <c r="J155" s="144">
        <f>J10+J19+J21+J26+J59+J109+J111+J122+J127+J131+J142+J146+J149+J151</f>
        <v>553205.8</v>
      </c>
      <c r="K155" s="144">
        <f>K151+K149+K146+K142+K131+K127+K122+K111+K109+K59+K26+K21+K19+K10</f>
        <v>6014031.5</v>
      </c>
      <c r="L155" s="146"/>
      <c r="M155" s="144">
        <f>M10+M19+M21+M26+M59+M109+M111+M122+M127+M131+M142+M146+M149+M151</f>
        <v>394922.89999999997</v>
      </c>
      <c r="N155" s="144">
        <f>N151+N149+N146+N142+N131+N127+N122+N111+N109+N59+N26+N21+N19+N10</f>
        <v>3415830.6399999997</v>
      </c>
      <c r="O155" s="147">
        <f t="shared" si="28"/>
        <v>56.79768454821029</v>
      </c>
    </row>
    <row r="156" spans="1:15" ht="12.75" hidden="1">
      <c r="A156" s="86"/>
      <c r="B156" s="87"/>
      <c r="C156" s="148"/>
      <c r="D156" s="89"/>
      <c r="E156" s="149"/>
      <c r="F156" s="91"/>
      <c r="G156" s="91"/>
      <c r="H156" s="92"/>
      <c r="I156" s="92"/>
      <c r="J156" s="92"/>
      <c r="K156" s="94"/>
      <c r="L156" s="91"/>
      <c r="M156" s="94"/>
      <c r="N156" s="94"/>
      <c r="O156" s="93"/>
    </row>
    <row r="157" spans="1:15" ht="12.75" hidden="1">
      <c r="A157" s="150"/>
      <c r="B157" s="151"/>
      <c r="C157" s="152">
        <v>5749018.9</v>
      </c>
      <c r="D157" s="152">
        <v>3272897</v>
      </c>
      <c r="E157" s="152"/>
      <c r="F157" s="152">
        <v>818218.4</v>
      </c>
      <c r="G157" s="152">
        <v>537856.5</v>
      </c>
      <c r="H157" s="152"/>
      <c r="I157" s="152"/>
      <c r="J157" s="152">
        <v>553205.8</v>
      </c>
      <c r="K157" s="153">
        <v>6014031.5</v>
      </c>
      <c r="L157" s="152"/>
      <c r="M157" s="152">
        <v>394922.9</v>
      </c>
      <c r="N157" s="152">
        <v>3415830.6</v>
      </c>
      <c r="O157" s="152"/>
    </row>
    <row r="158" spans="1:15" ht="12.75" hidden="1">
      <c r="A158" s="150"/>
      <c r="B158" s="151"/>
      <c r="C158" s="154">
        <f>C157-C155</f>
        <v>0</v>
      </c>
      <c r="D158" s="154">
        <f>D157-D155</f>
        <v>-0.0400000000372529</v>
      </c>
      <c r="E158" s="155"/>
      <c r="F158" s="154">
        <f>F155-F157</f>
        <v>0</v>
      </c>
      <c r="G158" s="156">
        <f>G155-G157</f>
        <v>0</v>
      </c>
      <c r="H158" s="156"/>
      <c r="I158" s="156"/>
      <c r="J158" s="157">
        <f>J155-J157</f>
        <v>0</v>
      </c>
      <c r="K158" s="157">
        <f>K155-K157</f>
        <v>0</v>
      </c>
      <c r="L158" s="157">
        <f>L155-L157</f>
        <v>0</v>
      </c>
      <c r="M158" s="157">
        <f>M155-M157</f>
        <v>0</v>
      </c>
      <c r="N158" s="157">
        <f>N155-N157</f>
        <v>0.039999999571591616</v>
      </c>
      <c r="O158" s="157"/>
    </row>
    <row r="159" spans="1:15" ht="12.75">
      <c r="A159" s="195" t="s">
        <v>280</v>
      </c>
      <c r="B159" s="195"/>
      <c r="C159" s="195"/>
      <c r="D159" s="158"/>
      <c r="E159" s="159"/>
      <c r="F159" s="158"/>
      <c r="G159" s="91"/>
      <c r="H159" s="92"/>
      <c r="I159" s="92"/>
      <c r="J159" s="92"/>
      <c r="K159" s="93"/>
      <c r="L159" s="92"/>
      <c r="M159" s="93"/>
      <c r="N159" s="94"/>
      <c r="O159" s="93"/>
    </row>
    <row r="160" spans="1:15" ht="12.75">
      <c r="A160" s="195" t="s">
        <v>281</v>
      </c>
      <c r="B160" s="195"/>
      <c r="C160" s="195"/>
      <c r="D160" s="160"/>
      <c r="E160" s="196" t="s">
        <v>282</v>
      </c>
      <c r="F160" s="196"/>
      <c r="G160" s="91"/>
      <c r="H160" s="92"/>
      <c r="I160" s="92"/>
      <c r="J160" s="92"/>
      <c r="K160" s="93"/>
      <c r="L160" s="92"/>
      <c r="M160" s="93"/>
      <c r="N160" s="94"/>
      <c r="O160" s="93"/>
    </row>
    <row r="161" spans="1:15" ht="12.75">
      <c r="A161" s="161"/>
      <c r="B161" s="162"/>
      <c r="C161" s="163"/>
      <c r="D161" s="164"/>
      <c r="E161" s="165"/>
      <c r="F161" s="166"/>
      <c r="G161" s="91"/>
      <c r="H161" s="92"/>
      <c r="I161" s="92"/>
      <c r="J161" s="92"/>
      <c r="K161" s="93"/>
      <c r="L161" s="92"/>
      <c r="M161" s="93"/>
      <c r="N161" s="94"/>
      <c r="O161" s="93"/>
    </row>
    <row r="162" spans="1:15" ht="12.75">
      <c r="A162" s="195" t="s">
        <v>283</v>
      </c>
      <c r="B162" s="195"/>
      <c r="C162" s="195"/>
      <c r="D162" s="167"/>
      <c r="E162" s="196" t="s">
        <v>284</v>
      </c>
      <c r="F162" s="196"/>
      <c r="G162" s="91"/>
      <c r="H162" s="92"/>
      <c r="I162" s="92"/>
      <c r="J162" s="92"/>
      <c r="K162" s="93"/>
      <c r="L162" s="92"/>
      <c r="M162" s="93"/>
      <c r="N162" s="94"/>
      <c r="O162" s="93"/>
    </row>
    <row r="163" spans="1:15" ht="12.75">
      <c r="A163" s="161"/>
      <c r="B163" s="168"/>
      <c r="C163" s="169"/>
      <c r="D163" s="158"/>
      <c r="E163" s="165"/>
      <c r="F163" s="166"/>
      <c r="G163" s="91"/>
      <c r="H163" s="92"/>
      <c r="I163" s="92"/>
      <c r="J163" s="92"/>
      <c r="K163" s="93"/>
      <c r="L163" s="92"/>
      <c r="M163" s="93"/>
      <c r="N163" s="94"/>
      <c r="O163" s="93"/>
    </row>
    <row r="164" spans="1:15" ht="12.75">
      <c r="A164" s="195" t="s">
        <v>285</v>
      </c>
      <c r="B164" s="195"/>
      <c r="C164" s="195"/>
      <c r="D164" s="167"/>
      <c r="E164" s="196" t="s">
        <v>286</v>
      </c>
      <c r="F164" s="196"/>
      <c r="G164" s="91"/>
      <c r="H164" s="92"/>
      <c r="I164" s="92"/>
      <c r="J164" s="92"/>
      <c r="K164" s="93"/>
      <c r="L164" s="92"/>
      <c r="M164" s="93"/>
      <c r="N164" s="94"/>
      <c r="O164" s="93"/>
    </row>
    <row r="165" spans="1:15" ht="12.75">
      <c r="A165" s="170"/>
      <c r="B165" s="171"/>
      <c r="C165" s="169"/>
      <c r="D165" s="158"/>
      <c r="E165" s="159"/>
      <c r="F165" s="158"/>
      <c r="G165" s="91"/>
      <c r="H165" s="92"/>
      <c r="I165" s="92"/>
      <c r="J165" s="92"/>
      <c r="K165" s="93"/>
      <c r="L165" s="92"/>
      <c r="M165" s="93"/>
      <c r="N165" s="94" t="s">
        <v>39</v>
      </c>
      <c r="O165" s="93"/>
    </row>
    <row r="166" spans="1:14" ht="12.75">
      <c r="A166" s="172"/>
      <c r="B166" s="172"/>
      <c r="C166" s="173" t="s">
        <v>287</v>
      </c>
      <c r="D166" s="174"/>
      <c r="E166" s="175" t="s">
        <v>288</v>
      </c>
      <c r="F166" s="176"/>
      <c r="G166" s="177"/>
      <c r="K166" t="s">
        <v>289</v>
      </c>
      <c r="N166" s="177"/>
    </row>
    <row r="167" spans="3:6" ht="12.75">
      <c r="C167" s="177"/>
      <c r="F167" s="177"/>
    </row>
    <row r="168" spans="11:13" ht="12.75">
      <c r="K168" s="178"/>
      <c r="L168" s="178" t="s">
        <v>39</v>
      </c>
      <c r="M168" s="178"/>
    </row>
    <row r="169" spans="11:13" ht="12.75">
      <c r="K169" s="179"/>
      <c r="L169" s="179"/>
      <c r="M169" s="179"/>
    </row>
    <row r="170" spans="3:6" ht="12.75">
      <c r="C170" s="177"/>
      <c r="F170" s="177"/>
    </row>
    <row r="171" spans="3:6" ht="12.75">
      <c r="C171" s="177"/>
      <c r="F171" s="177"/>
    </row>
    <row r="172" spans="3:6" ht="12.75">
      <c r="C172" s="177"/>
      <c r="F172" s="177"/>
    </row>
    <row r="173" spans="3:6" ht="12.75">
      <c r="C173" s="177"/>
      <c r="F173" s="177"/>
    </row>
    <row r="174" spans="3:6" ht="12.75">
      <c r="C174" s="177"/>
      <c r="F174" s="177"/>
    </row>
  </sheetData>
  <sheetProtection/>
  <mergeCells count="28">
    <mergeCell ref="E4:E5"/>
    <mergeCell ref="F4:F5"/>
    <mergeCell ref="K4:K5"/>
    <mergeCell ref="L4:L5"/>
    <mergeCell ref="A1:O1"/>
    <mergeCell ref="A3:A8"/>
    <mergeCell ref="B3:B5"/>
    <mergeCell ref="C3:E3"/>
    <mergeCell ref="F3:H3"/>
    <mergeCell ref="I3:O3"/>
    <mergeCell ref="C4:C5"/>
    <mergeCell ref="D4:D5"/>
    <mergeCell ref="M4:M5"/>
    <mergeCell ref="N4:N5"/>
    <mergeCell ref="O4:O5"/>
    <mergeCell ref="B6:O8"/>
    <mergeCell ref="A155:B155"/>
    <mergeCell ref="A159:C159"/>
    <mergeCell ref="G4:G5"/>
    <mergeCell ref="H4:H5"/>
    <mergeCell ref="I4:I5"/>
    <mergeCell ref="J4:J5"/>
    <mergeCell ref="A160:C160"/>
    <mergeCell ref="E160:F160"/>
    <mergeCell ref="A162:C162"/>
    <mergeCell ref="E162:F162"/>
    <mergeCell ref="A164:C164"/>
    <mergeCell ref="E164:F16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Миниярова</cp:lastModifiedBy>
  <cp:lastPrinted>2023-10-04T07:41:17Z</cp:lastPrinted>
  <dcterms:created xsi:type="dcterms:W3CDTF">2006-05-12T06:58:42Z</dcterms:created>
  <dcterms:modified xsi:type="dcterms:W3CDTF">2023-10-17T03:54:46Z</dcterms:modified>
  <cp:category/>
  <cp:version/>
  <cp:contentType/>
  <cp:contentStatus/>
</cp:coreProperties>
</file>