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<sst xmlns="http://schemas.openxmlformats.org/spreadsheetml/2006/main" count="741" uniqueCount="293">
  <si>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</si>
  <si>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</si>
  <si>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</si>
  <si>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</si>
  <si>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</si>
  <si>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</si>
  <si>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</si>
  <si>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</si>
  <si>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</si>
  <si>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</si>
  <si>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</si>
  <si>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</si>
  <si>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</si>
  <si>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</si>
  <si>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</si>
  <si>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</si>
  <si>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</si>
  <si>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</si>
  <si>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</si>
  <si>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</si>
  <si>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</si>
  <si>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</si>
  <si>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</si>
  <si>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</si>
  <si>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</si>
  <si>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</si>
  <si>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</si>
  <si>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</si>
  <si>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</si>
  <si>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</si>
  <si>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</si>
  <si>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</si>
  <si>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</si>
  <si>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</si>
  <si>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</si>
  <si>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</si>
  <si>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</si>
  <si>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</si>
  <si>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</si>
  <si>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</si>
  <si>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</si>
  <si>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</si>
  <si>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</si>
  <si>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</si>
  <si>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</si>
  <si>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</si>
  <si>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</si>
  <si>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</si>
  <si>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</si>
  <si>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</si>
  <si>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</si>
  <si>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</si>
  <si>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</si>
  <si>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</si>
  <si>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</si>
  <si>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1 квартал</t>
  </si>
  <si>
    <t>2 квартал</t>
  </si>
  <si>
    <t>3 квартал</t>
  </si>
  <si>
    <t>4 квартал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</si>
  <si>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</si>
  <si>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</si>
  <si>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</si>
  <si>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</si>
  <si>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00010102000010000110</t>
  </si>
  <si>
    <t>Налог на доходы физических лиц</t>
  </si>
  <si>
    <t>Первонач. план на 2022 год</t>
  </si>
  <si>
    <t>Уточн. план на 2022 год</t>
  </si>
  <si>
    <t xml:space="preserve">% исп-ия к уточн. плану на 2022 год </t>
  </si>
  <si>
    <t xml:space="preserve">% исп-ия к первонач. плану на 2022 год </t>
  </si>
  <si>
    <t>00020300000000000000</t>
  </si>
  <si>
    <t xml:space="preserve">Безвозмездные поступления от государственных (муниципальных) организаций </t>
  </si>
  <si>
    <t>План                 на 9 месяцев 2022 года</t>
  </si>
  <si>
    <t xml:space="preserve">% исп-ия к плану за 9 месяцев 2022 года </t>
  </si>
  <si>
    <t>Исполнение на 01.09.2022</t>
  </si>
  <si>
    <t>Отчет об исполнении консолидированного бюджета Октябрьского района по состоянию на 01.09.2022</t>
  </si>
  <si>
    <t>Отчет  об  исполнении  консолидированного  бюджета  района  по  расходам на 1 сентября 2022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</si>
  <si>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</si>
  <si>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</si>
  <si>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</si>
  <si>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</si>
  <si>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</si>
  <si>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</si>
  <si>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01.09.2022</t>
  </si>
  <si>
    <t>% исполнения</t>
  </si>
  <si>
    <t>суммы подлежащие исключению</t>
  </si>
  <si>
    <t>исполнения на 01.09.2022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</si>
  <si>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</si>
  <si>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</si>
  <si>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</si>
  <si>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</si>
  <si>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</si>
  <si>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</si>
  <si>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</si>
  <si>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</si>
  <si>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</si>
  <si>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</si>
  <si>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</si>
  <si>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</si>
  <si>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</si>
  <si>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</si>
  <si>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</si>
  <si>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</si>
  <si>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</si>
  <si>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</si>
  <si>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</si>
  <si>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</si>
  <si>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</si>
  <si>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</si>
  <si>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</si>
  <si>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</si>
  <si>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</si>
  <si>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</si>
  <si>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</si>
  <si>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</si>
  <si>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</si>
  <si>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</si>
  <si>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</si>
  <si>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</si>
  <si>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</si>
  <si>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</si>
  <si>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</si>
  <si>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</si>
  <si>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</si>
  <si>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</si>
  <si>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</si>
  <si>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</si>
  <si>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</si>
  <si>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4030099990, 4110089020, ****99990 -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</si>
  <si>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</si>
  <si>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</si>
  <si>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</si>
  <si>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</si>
  <si>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</si>
  <si>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</si>
  <si>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</si>
  <si>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</si>
  <si>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</si>
  <si>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</si>
  <si>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</si>
  <si>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</si>
  <si>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</si>
  <si>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</si>
  <si>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</si>
  <si>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</si>
  <si>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</si>
  <si>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1800299990,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</si>
  <si>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</si>
  <si>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  ****82380, ****S2380)</t>
  </si>
  <si>
    <t>Расходы на развитие деятельности по заготовке и переработке дикоросов (0500284190 )</t>
  </si>
  <si>
    <t>Расходы на финансовую поддержку впервые зарегистрированным и действующим менее одного года субъектам малого и среднего предпринимательства в органах местного самоуправления ( 082I4S2320, 082I482320)</t>
  </si>
  <si>
    <t>Осуществление полномочий по государственному управлению охраной труда (1910184120, 1910199990)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</si>
  <si>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</si>
  <si>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Основное мероприятие "Управлене и распоряжение земельными ресурсами" (1800299990)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</si>
  <si>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</si>
  <si>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</si>
  <si>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</si>
  <si>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</si>
  <si>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</si>
  <si>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</si>
  <si>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</si>
  <si>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</si>
  <si>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</si>
  <si>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</si>
  <si>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</si>
  <si>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</si>
  <si>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</si>
  <si>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</si>
  <si>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</si>
  <si>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"Признание объектов недвижимости аварийными и проведение мероприятий по их сносу" 1030289107,01030289108, 1030299108</t>
  </si>
  <si>
    <t>Основное мероприятие "Управление и аспоряжение муниципальным имуществом муниципального образования Октябрьский район" (1800199990)</t>
  </si>
  <si>
    <t>Капитальный ремонт жилого фонда 1030189102, 1030142120, 1030199990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</si>
  <si>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</si>
  <si>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1020189103, 1020184340,1020182830, 10201S2830 ) 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</si>
  <si>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</si>
  <si>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</si>
  <si>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</si>
  <si>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</si>
  <si>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населению   сжиженного газа по социально-ориентированным розничным ценам  (1020184340)</t>
  </si>
  <si>
    <t>Основное  мероприятие " Реализация мероприятий обеспечения  качественными  коммунальными  услугами"  1010189104</t>
  </si>
  <si>
    <t>Расходы на реализацию полномочий в сфере ЖКХ (1010182591, 10101S2591, 1010199990,1010189105)(4060082591, 40600S2591 , 0210182591, 02101S2591, поселения)</t>
  </si>
  <si>
    <t>Реализация программ (4060099990, 0210199990)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</si>
  <si>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</si>
  <si>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</si>
  <si>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Иные межбюджетные трансферты на аварийно-технический запас(1010189101,) (0210189101, 4060089101 поселения)</t>
  </si>
  <si>
    <t xml:space="preserve">Расходы на реализацию мероприятий по строительству и реконструкции (модернизации) объектов питьевого водоснабжения 101F5S2140, 101F582140
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</si>
  <si>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</si>
  <si>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</si>
  <si>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Капитальные вложения в объекты государственной (муниципально) собственности (1010142110,)</t>
  </si>
  <si>
    <t>Разработка проектно-сметной документации (1010142130, 1010189104, )(4060089104,  поселения)</t>
  </si>
  <si>
    <t>Иные межбюджетные трансферты на реализацию полномочий в сфере жкк (подготовка к осенне-зимнему периоду(1010189105)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</si>
  <si>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</si>
  <si>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</si>
  <si>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</si>
  <si>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</si>
  <si>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Иные межбюджетные трансферты на финансирование наказов избирателей депутатам Думы ХМАО-Югры  (4120085160)</t>
  </si>
  <si>
    <t>Расходы на создание площадок временного накопления твердых коммунальных отходов (0100189061)</t>
  </si>
  <si>
    <t>Расходы на конкурсный отбор инициативных проектов (0200182751, 0200182753, 0200182754), ****2751, ***2753, ****2754</t>
  </si>
  <si>
    <t xml:space="preserve">Иные межбюджетные трансферты на благоустройство территорий муниципальных образований 1050189106
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</si>
  <si>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</si>
  <si>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</si>
  <si>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</si>
  <si>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</si>
  <si>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на признание объектов аварийными (4060089108, 0250189108, 0100189108)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</si>
  <si>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</si>
  <si>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</si>
  <si>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</si>
  <si>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</si>
  <si>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Основное мероприятие "Реализация социально значимых инициативных проектов на территории муниципального образования Октябрьский район"( 0500182751, 05001S2751)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</si>
  <si>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</si>
  <si>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</si>
  <si>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</si>
  <si>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</si>
  <si>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</si>
  <si>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</si>
  <si>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</si>
  <si>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</si>
  <si>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</si>
  <si>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</si>
  <si>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</si>
  <si>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</si>
  <si>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</si>
  <si>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</si>
  <si>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</si>
  <si>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</si>
  <si>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</si>
  <si>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</si>
  <si>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</si>
  <si>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</si>
  <si>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</si>
  <si>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</si>
  <si>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</si>
  <si>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</si>
  <si>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</si>
  <si>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</si>
  <si>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</si>
  <si>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</si>
  <si>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</si>
  <si>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</si>
  <si>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</si>
  <si>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</si>
  <si>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</si>
  <si>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</si>
  <si>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</si>
  <si>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</si>
  <si>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</si>
  <si>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</si>
  <si>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</si>
  <si>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</si>
  <si>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</si>
  <si>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</si>
  <si>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</si>
  <si>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</si>
  <si>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Мероприятие на реализацию мер, направленных на профилактику и устранение последствий распространения новой коронавирусной инфекции (1350191350)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</si>
  <si>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</si>
  <si>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</si>
  <si>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</si>
  <si>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</si>
  <si>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</si>
  <si>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</si>
  <si>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</si>
  <si>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</si>
  <si>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</si>
  <si>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</si>
  <si>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</si>
  <si>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</si>
  <si>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</si>
  <si>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</si>
  <si>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</si>
  <si>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</si>
  <si>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</si>
  <si>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</si>
  <si>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</si>
  <si>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</si>
  <si>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</si>
  <si>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</si>
  <si>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</si>
  <si>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</si>
  <si>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</si>
  <si>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</si>
  <si>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</si>
  <si>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</si>
  <si>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</si>
  <si>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</si>
  <si>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</si>
  <si>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</si>
  <si>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</si>
  <si>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</si>
  <si>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</si>
  <si>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</si>
  <si>
    <r>
      <t xml:space="preserve">план                </t>
    </r>
    <r>
      <rPr>
        <b/>
        <i/>
        <sz val="12"/>
        <rFont val="Times New Roman"/>
        <family val="1"/>
      </rPr>
      <t xml:space="preserve"> итого</t>
    </r>
    <r>
      <rPr>
        <b/>
        <i/>
        <sz val="11"/>
        <rFont val="Times New Roman"/>
        <family val="1"/>
      </rPr>
      <t xml:space="preserve"> </t>
    </r>
  </si>
  <si>
    <r>
      <t xml:space="preserve">исполнение               </t>
    </r>
    <r>
      <rPr>
        <i/>
        <sz val="12"/>
        <rFont val="Times New Roman"/>
        <family val="1"/>
      </rPr>
      <t xml:space="preserve"> итого</t>
    </r>
    <r>
      <rPr>
        <i/>
        <sz val="11"/>
        <rFont val="Times New Roman"/>
        <family val="1"/>
      </rPr>
      <t xml:space="preserve"> </t>
    </r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</si>
  <si>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</rPr>
      <t>2560189111</t>
    </r>
    <r>
      <rPr>
        <sz val="11"/>
        <color indexed="8"/>
        <rFont val="Times New Roman"/>
        <family val="1"/>
      </rPr>
      <t xml:space="preserve">,2560199990, </t>
    </r>
    <r>
      <rPr>
        <sz val="11"/>
        <rFont val="Times New Roman"/>
        <family val="1"/>
      </rPr>
      <t>2560189112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2570199990</t>
    </r>
    <r>
      <rPr>
        <sz val="11"/>
        <color indexed="8"/>
        <rFont val="Times New Roman"/>
        <family val="1"/>
      </rPr>
      <t>)</t>
    </r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</si>
  <si>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</rPr>
      <t>1110189111, 1110189112</t>
    </r>
    <r>
      <rPr>
        <sz val="11"/>
        <color indexed="8"/>
        <rFont val="Times New Roman"/>
        <family val="1"/>
      </rPr>
      <t>, 1110189113, 1500289152)(0110189111, 0110189112, 1110199990 , 4030089112 поселения)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</si>
</sst>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_-* #,##0.0_р_._-;\-* #,##0.0_р_._-;_-* &quot;-&quot;?_р_._-;_-@_-"/>
    <numFmt numFmtId="182" formatCode="_-* #,##0.0\ _₽_-;\-* #,##0.0\ _₽_-;_-* &quot;-&quot;?\ _₽_-;_-@_-"/>
    <numFmt numFmtId="183" formatCode="#,##0.00_ ;\-#,##0.00\ "/>
  </numFmts>
  <fonts count="75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8"/>
      <name val="Arial Cyr"/>
      <family val="0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Arial Cyr"/>
      <family val="0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8" fontId="5" fillId="0" borderId="11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178" fontId="4" fillId="0" borderId="11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/>
    </xf>
    <xf numFmtId="178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179" fontId="5" fillId="0" borderId="13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/>
    </xf>
    <xf numFmtId="178" fontId="2" fillId="0" borderId="13" xfId="0" applyNumberFormat="1" applyFont="1" applyFill="1" applyBorder="1" applyAlignment="1">
      <alignment horizontal="right" vertical="top" wrapText="1"/>
    </xf>
    <xf numFmtId="178" fontId="0" fillId="0" borderId="0" xfId="0" applyNumberFormat="1" applyFill="1" applyAlignment="1">
      <alignment vertical="top" wrapText="1"/>
    </xf>
    <xf numFmtId="178" fontId="2" fillId="0" borderId="1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178" fontId="4" fillId="0" borderId="15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178" fontId="4" fillId="0" borderId="13" xfId="0" applyNumberFormat="1" applyFont="1" applyFill="1" applyBorder="1" applyAlignment="1">
      <alignment horizontal="right" vertical="top"/>
    </xf>
    <xf numFmtId="178" fontId="1" fillId="0" borderId="13" xfId="0" applyNumberFormat="1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/>
    </xf>
    <xf numFmtId="178" fontId="5" fillId="0" borderId="11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 wrapText="1" shrinkToFit="1"/>
    </xf>
    <xf numFmtId="178" fontId="2" fillId="0" borderId="12" xfId="0" applyNumberFormat="1" applyFont="1" applyFill="1" applyBorder="1" applyAlignment="1">
      <alignment vertical="top" wrapText="1"/>
    </xf>
    <xf numFmtId="178" fontId="5" fillId="0" borderId="10" xfId="0" applyNumberFormat="1" applyFont="1" applyFill="1" applyBorder="1" applyAlignment="1">
      <alignment horizontal="right" vertical="top"/>
    </xf>
    <xf numFmtId="178" fontId="2" fillId="0" borderId="13" xfId="0" applyNumberFormat="1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vertical="top"/>
    </xf>
    <xf numFmtId="178" fontId="2" fillId="0" borderId="11" xfId="0" applyNumberFormat="1" applyFont="1" applyFill="1" applyBorder="1" applyAlignment="1">
      <alignment horizontal="right" vertical="top" wrapText="1"/>
    </xf>
    <xf numFmtId="178" fontId="1" fillId="0" borderId="17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righ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10" fillId="0" borderId="0" xfId="54" applyNumberFormat="1" applyFont="1" applyAlignment="1">
      <alignment horizontal="center" vertical="center" wrapText="1"/>
      <protection/>
    </xf>
    <xf numFmtId="0" fontId="10" fillId="0" borderId="0" xfId="54" applyFont="1" applyAlignment="1">
      <alignment horizontal="left" vertical="center" wrapText="1"/>
      <protection/>
    </xf>
    <xf numFmtId="181" fontId="70" fillId="33" borderId="0" xfId="54" applyNumberFormat="1" applyFont="1" applyFill="1" applyAlignment="1">
      <alignment horizontal="center" vertical="center" wrapText="1"/>
      <protection/>
    </xf>
    <xf numFmtId="181" fontId="11" fillId="33" borderId="0" xfId="54" applyNumberFormat="1" applyFont="1" applyFill="1" applyAlignment="1">
      <alignment horizontal="center" vertical="center" wrapText="1"/>
      <protection/>
    </xf>
    <xf numFmtId="181" fontId="11" fillId="0" borderId="0" xfId="54" applyNumberFormat="1" applyFont="1" applyAlignment="1">
      <alignment horizontal="center" vertical="center" wrapText="1"/>
      <protection/>
    </xf>
    <xf numFmtId="181" fontId="11" fillId="33" borderId="0" xfId="0" applyNumberFormat="1" applyFont="1" applyFill="1" applyAlignment="1">
      <alignment horizontal="center" vertical="center" wrapText="1"/>
    </xf>
    <xf numFmtId="181" fontId="11" fillId="0" borderId="0" xfId="0" applyNumberFormat="1" applyFont="1" applyAlignment="1">
      <alignment horizontal="center" vertical="center" wrapText="1"/>
    </xf>
    <xf numFmtId="181" fontId="12" fillId="0" borderId="0" xfId="0" applyNumberFormat="1" applyFont="1" applyAlignment="1">
      <alignment horizontal="center" vertical="center" wrapText="1"/>
    </xf>
    <xf numFmtId="181" fontId="12" fillId="33" borderId="0" xfId="0" applyNumberFormat="1" applyFont="1" applyFill="1" applyAlignment="1">
      <alignment horizontal="center" vertical="center" wrapText="1"/>
    </xf>
    <xf numFmtId="49" fontId="13" fillId="0" borderId="18" xfId="54" applyNumberFormat="1" applyFont="1" applyBorder="1" applyAlignment="1">
      <alignment horizontal="center" vertical="center" wrapText="1"/>
      <protection/>
    </xf>
    <xf numFmtId="181" fontId="14" fillId="0" borderId="13" xfId="54" applyNumberFormat="1" applyFont="1" applyBorder="1" applyAlignment="1">
      <alignment horizontal="center" vertical="center" wrapText="1"/>
      <protection/>
    </xf>
    <xf numFmtId="181" fontId="14" fillId="0" borderId="13" xfId="0" applyNumberFormat="1" applyFont="1" applyBorder="1" applyAlignment="1">
      <alignment horizontal="center" vertical="center" wrapText="1"/>
    </xf>
    <xf numFmtId="181" fontId="15" fillId="0" borderId="19" xfId="0" applyNumberFormat="1" applyFont="1" applyBorder="1" applyAlignment="1">
      <alignment horizontal="center" vertical="center" wrapText="1"/>
    </xf>
    <xf numFmtId="49" fontId="21" fillId="34" borderId="18" xfId="54" applyNumberFormat="1" applyFont="1" applyFill="1" applyBorder="1" applyAlignment="1" quotePrefix="1">
      <alignment horizontal="center" vertical="center" wrapText="1"/>
      <protection/>
    </xf>
    <xf numFmtId="0" fontId="21" fillId="34" borderId="13" xfId="54" applyFont="1" applyFill="1" applyBorder="1" applyAlignment="1">
      <alignment horizontal="left" vertical="center" wrapText="1"/>
      <protection/>
    </xf>
    <xf numFmtId="181" fontId="15" fillId="34" borderId="13" xfId="54" applyNumberFormat="1" applyFont="1" applyFill="1" applyBorder="1" applyAlignment="1">
      <alignment horizontal="center" vertical="center" wrapText="1"/>
      <protection/>
    </xf>
    <xf numFmtId="181" fontId="14" fillId="34" borderId="13" xfId="0" applyNumberFormat="1" applyFont="1" applyFill="1" applyBorder="1" applyAlignment="1">
      <alignment horizontal="center" vertical="center" wrapText="1"/>
    </xf>
    <xf numFmtId="181" fontId="15" fillId="34" borderId="19" xfId="0" applyNumberFormat="1" applyFont="1" applyFill="1" applyBorder="1" applyAlignment="1">
      <alignment horizontal="center" vertical="center" wrapText="1"/>
    </xf>
    <xf numFmtId="49" fontId="13" fillId="0" borderId="18" xfId="54" applyNumberFormat="1" applyFont="1" applyBorder="1" applyAlignment="1" quotePrefix="1">
      <alignment horizontal="center" vertical="center" wrapText="1"/>
      <protection/>
    </xf>
    <xf numFmtId="0" fontId="13" fillId="0" borderId="13" xfId="54" applyFont="1" applyBorder="1" applyAlignment="1">
      <alignment horizontal="left" vertical="center" wrapText="1"/>
      <protection/>
    </xf>
    <xf numFmtId="181" fontId="14" fillId="33" borderId="13" xfId="54" applyNumberFormat="1" applyFont="1" applyFill="1" applyBorder="1" applyAlignment="1">
      <alignment horizontal="center" vertical="center" wrapText="1"/>
      <protection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22" fillId="35" borderId="13" xfId="0" applyNumberFormat="1" applyFont="1" applyFill="1" applyBorder="1" applyAlignment="1">
      <alignment horizontal="center" vertical="center" wrapText="1"/>
    </xf>
    <xf numFmtId="181" fontId="22" fillId="5" borderId="13" xfId="0" applyNumberFormat="1" applyFont="1" applyFill="1" applyBorder="1" applyAlignment="1">
      <alignment horizontal="center" vertical="center" wrapText="1"/>
    </xf>
    <xf numFmtId="181" fontId="15" fillId="33" borderId="13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181" fontId="71" fillId="5" borderId="13" xfId="0" applyNumberFormat="1" applyFont="1" applyFill="1" applyBorder="1" applyAlignment="1">
      <alignment horizontal="center" vertical="center" wrapText="1"/>
    </xf>
    <xf numFmtId="181" fontId="14" fillId="34" borderId="13" xfId="54" applyNumberFormat="1" applyFont="1" applyFill="1" applyBorder="1" applyAlignment="1">
      <alignment horizontal="center" vertical="center" wrapText="1"/>
      <protection/>
    </xf>
    <xf numFmtId="181" fontId="15" fillId="34" borderId="19" xfId="54" applyNumberFormat="1" applyFont="1" applyFill="1" applyBorder="1" applyAlignment="1">
      <alignment horizontal="center" vertical="center" wrapText="1"/>
      <protection/>
    </xf>
    <xf numFmtId="49" fontId="13" fillId="33" borderId="18" xfId="54" applyNumberFormat="1" applyFont="1" applyFill="1" applyBorder="1" applyAlignment="1" quotePrefix="1">
      <alignment horizontal="center" vertical="center" wrapText="1"/>
      <protection/>
    </xf>
    <xf numFmtId="0" fontId="21" fillId="34" borderId="10" xfId="54" applyFont="1" applyFill="1" applyBorder="1" applyAlignment="1">
      <alignment vertical="center" wrapText="1"/>
      <protection/>
    </xf>
    <xf numFmtId="181" fontId="15" fillId="34" borderId="10" xfId="54" applyNumberFormat="1" applyFont="1" applyFill="1" applyBorder="1" applyAlignment="1">
      <alignment vertical="center" wrapText="1"/>
      <protection/>
    </xf>
    <xf numFmtId="181" fontId="15" fillId="34" borderId="10" xfId="54" applyNumberFormat="1" applyFont="1" applyFill="1" applyBorder="1" applyAlignment="1">
      <alignment horizontal="center" wrapText="1"/>
      <protection/>
    </xf>
    <xf numFmtId="49" fontId="13" fillId="33" borderId="18" xfId="54" applyNumberFormat="1" applyFont="1" applyFill="1" applyBorder="1" applyAlignment="1">
      <alignment horizontal="center" vertical="center" wrapText="1"/>
      <protection/>
    </xf>
    <xf numFmtId="0" fontId="13" fillId="36" borderId="13" xfId="54" applyFont="1" applyFill="1" applyBorder="1" applyAlignment="1">
      <alignment horizontal="left" vertical="center" wrapText="1"/>
      <protection/>
    </xf>
    <xf numFmtId="0" fontId="14" fillId="0" borderId="13" xfId="53" applyFont="1" applyBorder="1" applyAlignment="1" applyProtection="1">
      <alignment horizontal="left" vertical="center" wrapText="1"/>
      <protection hidden="1"/>
    </xf>
    <xf numFmtId="181" fontId="15" fillId="34" borderId="13" xfId="0" applyNumberFormat="1" applyFont="1" applyFill="1" applyBorder="1" applyAlignment="1">
      <alignment horizontal="center" vertical="center" wrapText="1"/>
    </xf>
    <xf numFmtId="181" fontId="24" fillId="34" borderId="13" xfId="0" applyNumberFormat="1" applyFont="1" applyFill="1" applyBorder="1" applyAlignment="1">
      <alignment horizontal="center" vertical="center" wrapText="1"/>
    </xf>
    <xf numFmtId="0" fontId="13" fillId="33" borderId="13" xfId="54" applyFont="1" applyFill="1" applyBorder="1" applyAlignment="1">
      <alignment horizontal="left" vertical="center" wrapText="1"/>
      <protection/>
    </xf>
    <xf numFmtId="0" fontId="25" fillId="0" borderId="13" xfId="54" applyFont="1" applyBorder="1" applyAlignment="1">
      <alignment horizontal="left" vertical="center" wrapText="1"/>
      <protection/>
    </xf>
    <xf numFmtId="0" fontId="14" fillId="33" borderId="13" xfId="53" applyFont="1" applyFill="1" applyBorder="1" applyAlignment="1" applyProtection="1">
      <alignment horizontal="left" vertical="center" wrapText="1"/>
      <protection hidden="1"/>
    </xf>
    <xf numFmtId="0" fontId="14" fillId="0" borderId="13" xfId="53" applyFont="1" applyBorder="1" applyAlignment="1" applyProtection="1">
      <alignment horizontal="left" vertical="top" wrapText="1"/>
      <protection hidden="1"/>
    </xf>
    <xf numFmtId="2" fontId="15" fillId="0" borderId="19" xfId="0" applyNumberFormat="1" applyFont="1" applyBorder="1" applyAlignment="1">
      <alignment horizontal="center" vertical="center" wrapText="1"/>
    </xf>
    <xf numFmtId="0" fontId="13" fillId="0" borderId="13" xfId="54" applyFont="1" applyBorder="1" applyAlignment="1">
      <alignment horizontal="left" vertical="top" wrapText="1"/>
      <protection/>
    </xf>
    <xf numFmtId="181" fontId="72" fillId="33" borderId="13" xfId="54" applyNumberFormat="1" applyFont="1" applyFill="1" applyBorder="1" applyAlignment="1">
      <alignment horizontal="center" vertical="center" wrapText="1"/>
      <protection/>
    </xf>
    <xf numFmtId="49" fontId="14" fillId="0" borderId="18" xfId="54" applyNumberFormat="1" applyFont="1" applyBorder="1" applyAlignment="1">
      <alignment horizontal="center" vertical="center" wrapText="1"/>
      <protection/>
    </xf>
    <xf numFmtId="0" fontId="14" fillId="0" borderId="13" xfId="54" applyFont="1" applyBorder="1" applyAlignment="1">
      <alignment horizontal="left" vertical="center" wrapText="1"/>
      <protection/>
    </xf>
    <xf numFmtId="182" fontId="0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179" fontId="15" fillId="0" borderId="19" xfId="0" applyNumberFormat="1" applyFont="1" applyBorder="1" applyAlignment="1">
      <alignment horizontal="center" vertical="center" wrapText="1"/>
    </xf>
    <xf numFmtId="49" fontId="21" fillId="34" borderId="18" xfId="54" applyNumberFormat="1" applyFont="1" applyFill="1" applyBorder="1" applyAlignment="1">
      <alignment horizontal="center" vertical="center" wrapText="1"/>
      <protection/>
    </xf>
    <xf numFmtId="0" fontId="21" fillId="34" borderId="13" xfId="0" applyFont="1" applyFill="1" applyBorder="1" applyAlignment="1">
      <alignment horizontal="left" vertical="center" wrapText="1"/>
    </xf>
    <xf numFmtId="179" fontId="15" fillId="34" borderId="19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181" fontId="15" fillId="33" borderId="19" xfId="0" applyNumberFormat="1" applyFont="1" applyFill="1" applyBorder="1" applyAlignment="1">
      <alignment horizontal="center" vertical="center" wrapText="1"/>
    </xf>
    <xf numFmtId="181" fontId="14" fillId="37" borderId="13" xfId="0" applyNumberFormat="1" applyFont="1" applyFill="1" applyBorder="1" applyAlignment="1">
      <alignment horizontal="center" vertical="center" wrapText="1"/>
    </xf>
    <xf numFmtId="182" fontId="0" fillId="33" borderId="0" xfId="0" applyNumberFormat="1" applyFill="1" applyAlignment="1">
      <alignment/>
    </xf>
    <xf numFmtId="181" fontId="22" fillId="5" borderId="13" xfId="54" applyNumberFormat="1" applyFont="1" applyFill="1" applyBorder="1" applyAlignment="1">
      <alignment horizontal="center" vertical="center" wrapText="1"/>
      <protection/>
    </xf>
    <xf numFmtId="181" fontId="15" fillId="34" borderId="20" xfId="54" applyNumberFormat="1" applyFont="1" applyFill="1" applyBorder="1" applyAlignment="1">
      <alignment horizontal="center" vertical="center" wrapText="1"/>
      <protection/>
    </xf>
    <xf numFmtId="181" fontId="15" fillId="34" borderId="20" xfId="0" applyNumberFormat="1" applyFont="1" applyFill="1" applyBorder="1" applyAlignment="1">
      <alignment horizontal="center" vertical="center" wrapText="1"/>
    </xf>
    <xf numFmtId="181" fontId="14" fillId="34" borderId="20" xfId="54" applyNumberFormat="1" applyFont="1" applyFill="1" applyBorder="1" applyAlignment="1">
      <alignment horizontal="center" vertical="center" wrapText="1"/>
      <protection/>
    </xf>
    <xf numFmtId="181" fontId="15" fillId="34" borderId="21" xfId="0" applyNumberFormat="1" applyFont="1" applyFill="1" applyBorder="1" applyAlignment="1">
      <alignment horizontal="center" vertical="center" wrapText="1"/>
    </xf>
    <xf numFmtId="183" fontId="70" fillId="33" borderId="0" xfId="54" applyNumberFormat="1" applyFont="1" applyFill="1" applyAlignment="1">
      <alignment horizontal="center" vertical="center" wrapText="1"/>
      <protection/>
    </xf>
    <xf numFmtId="181" fontId="12" fillId="0" borderId="0" xfId="54" applyNumberFormat="1" applyFont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81" fontId="70" fillId="5" borderId="0" xfId="0" applyNumberFormat="1" applyFont="1" applyFill="1" applyAlignment="1">
      <alignment horizontal="center" vertical="center" wrapText="1"/>
    </xf>
    <xf numFmtId="4" fontId="73" fillId="0" borderId="0" xfId="0" applyNumberFormat="1" applyFont="1" applyAlignment="1">
      <alignment/>
    </xf>
    <xf numFmtId="181" fontId="11" fillId="5" borderId="0" xfId="0" applyNumberFormat="1" applyFont="1" applyFill="1" applyAlignment="1">
      <alignment horizontal="center" vertical="center" wrapText="1"/>
    </xf>
    <xf numFmtId="181" fontId="12" fillId="5" borderId="0" xfId="54" applyNumberFormat="1" applyFont="1" applyFill="1" applyAlignment="1">
      <alignment horizontal="center" vertical="center" wrapText="1"/>
      <protection/>
    </xf>
    <xf numFmtId="181" fontId="11" fillId="38" borderId="0" xfId="0" applyNumberFormat="1" applyFont="1" applyFill="1" applyAlignment="1">
      <alignment horizontal="center" vertical="center" wrapText="1"/>
    </xf>
    <xf numFmtId="181" fontId="12" fillId="38" borderId="0" xfId="0" applyNumberFormat="1" applyFont="1" applyFill="1" applyAlignment="1">
      <alignment horizontal="center" vertical="center" wrapText="1"/>
    </xf>
    <xf numFmtId="181" fontId="27" fillId="33" borderId="0" xfId="0" applyNumberFormat="1" applyFont="1" applyFill="1" applyAlignment="1">
      <alignment horizontal="center" vertical="center" wrapText="1"/>
    </xf>
    <xf numFmtId="181" fontId="27" fillId="0" borderId="0" xfId="0" applyNumberFormat="1" applyFont="1" applyAlignment="1">
      <alignment horizontal="center" vertical="center" wrapText="1"/>
    </xf>
    <xf numFmtId="181" fontId="27" fillId="33" borderId="12" xfId="54" applyNumberFormat="1" applyFont="1" applyFill="1" applyBorder="1" applyAlignment="1">
      <alignment horizontal="center" vertical="center" wrapText="1"/>
      <protection/>
    </xf>
    <xf numFmtId="49" fontId="25" fillId="0" borderId="0" xfId="0" applyNumberFormat="1" applyFont="1" applyAlignment="1">
      <alignment horizontal="right" vertical="center" wrapText="1"/>
    </xf>
    <xf numFmtId="0" fontId="25" fillId="0" borderId="0" xfId="54" applyFont="1" applyAlignment="1">
      <alignment horizontal="left" vertical="center" wrapText="1"/>
      <protection/>
    </xf>
    <xf numFmtId="181" fontId="74" fillId="33" borderId="0" xfId="54" applyNumberFormat="1" applyFont="1" applyFill="1" applyAlignment="1">
      <alignment horizontal="center" vertical="center" wrapText="1"/>
      <protection/>
    </xf>
    <xf numFmtId="181" fontId="27" fillId="33" borderId="0" xfId="54" applyNumberFormat="1" applyFont="1" applyFill="1" applyAlignment="1">
      <alignment horizontal="center" vertical="center" wrapText="1"/>
      <protection/>
    </xf>
    <xf numFmtId="181" fontId="27" fillId="0" borderId="0" xfId="0" applyNumberFormat="1" applyFont="1" applyAlignment="1">
      <alignment horizontal="left" vertical="center" wrapText="1"/>
    </xf>
    <xf numFmtId="181" fontId="27" fillId="33" borderId="0" xfId="0" applyNumberFormat="1" applyFont="1" applyFill="1" applyAlignment="1">
      <alignment horizontal="left" vertical="center" wrapText="1"/>
    </xf>
    <xf numFmtId="181" fontId="27" fillId="33" borderId="1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181" fontId="74" fillId="33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7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27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178" fontId="4" fillId="0" borderId="22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2" fontId="2" fillId="0" borderId="14" xfId="43" applyFont="1" applyFill="1" applyBorder="1" applyAlignment="1">
      <alignment horizontal="center" vertical="top" wrapText="1"/>
    </xf>
    <xf numFmtId="172" fontId="2" fillId="0" borderId="22" xfId="43" applyFont="1" applyFill="1" applyBorder="1" applyAlignment="1">
      <alignment horizontal="center" vertical="top" wrapText="1"/>
    </xf>
    <xf numFmtId="0" fontId="25" fillId="0" borderId="0" xfId="54" applyFont="1" applyAlignment="1">
      <alignment horizontal="right" vertical="center" wrapText="1"/>
      <protection/>
    </xf>
    <xf numFmtId="181" fontId="27" fillId="0" borderId="0" xfId="54" applyNumberFormat="1" applyFont="1" applyAlignment="1">
      <alignment horizontal="left" vertical="center" wrapText="1"/>
      <protection/>
    </xf>
    <xf numFmtId="181" fontId="16" fillId="5" borderId="13" xfId="0" applyNumberFormat="1" applyFont="1" applyFill="1" applyBorder="1" applyAlignment="1">
      <alignment horizontal="center" vertical="center" wrapText="1"/>
    </xf>
    <xf numFmtId="181" fontId="15" fillId="33" borderId="13" xfId="54" applyNumberFormat="1" applyFont="1" applyFill="1" applyBorder="1" applyAlignment="1">
      <alignment horizontal="center" vertical="center" wrapText="1"/>
      <protection/>
    </xf>
    <xf numFmtId="181" fontId="15" fillId="0" borderId="19" xfId="54" applyNumberFormat="1" applyFont="1" applyBorder="1" applyAlignment="1">
      <alignment horizontal="center" vertical="center" wrapText="1"/>
      <protection/>
    </xf>
    <xf numFmtId="181" fontId="15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6" fillId="34" borderId="25" xfId="54" applyFont="1" applyFill="1" applyBorder="1" applyAlignment="1">
      <alignment horizontal="center" vertical="center" wrapText="1"/>
      <protection/>
    </xf>
    <xf numFmtId="0" fontId="26" fillId="34" borderId="20" xfId="54" applyFont="1" applyFill="1" applyBorder="1" applyAlignment="1">
      <alignment horizontal="center" vertical="center" wrapText="1"/>
      <protection/>
    </xf>
    <xf numFmtId="181" fontId="14" fillId="33" borderId="13" xfId="54" applyNumberFormat="1" applyFont="1" applyFill="1" applyBorder="1" applyAlignment="1">
      <alignment horizontal="center" vertical="center" wrapText="1"/>
      <protection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14" fillId="0" borderId="13" xfId="54" applyNumberFormat="1" applyFont="1" applyBorder="1" applyAlignment="1">
      <alignment horizontal="center" vertical="center" wrapText="1"/>
      <protection/>
    </xf>
    <xf numFmtId="181" fontId="14" fillId="0" borderId="13" xfId="0" applyNumberFormat="1" applyFont="1" applyBorder="1" applyAlignment="1">
      <alignment horizontal="center" vertical="center" wrapText="1"/>
    </xf>
    <xf numFmtId="181" fontId="15" fillId="0" borderId="13" xfId="54" applyNumberFormat="1" applyFont="1" applyBorder="1" applyAlignment="1">
      <alignment horizontal="center" vertical="center" wrapText="1"/>
      <protection/>
    </xf>
    <xf numFmtId="181" fontId="15" fillId="0" borderId="13" xfId="0" applyNumberFormat="1" applyFont="1" applyBorder="1" applyAlignment="1">
      <alignment horizontal="center" vertical="center" wrapText="1"/>
    </xf>
    <xf numFmtId="0" fontId="13" fillId="0" borderId="26" xfId="54" applyFont="1" applyBorder="1" applyAlignment="1">
      <alignment horizontal="center" vertical="center" wrapText="1"/>
      <protection/>
    </xf>
    <xf numFmtId="0" fontId="13" fillId="0" borderId="13" xfId="54" applyFont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49" fontId="13" fillId="0" borderId="27" xfId="54" applyNumberFormat="1" applyFont="1" applyBorder="1" applyAlignment="1">
      <alignment horizontal="center" vertical="center" wrapText="1"/>
      <protection/>
    </xf>
    <xf numFmtId="49" fontId="13" fillId="0" borderId="18" xfId="54" applyNumberFormat="1" applyFont="1" applyBorder="1" applyAlignment="1">
      <alignment horizontal="center" vertical="center" wrapText="1"/>
      <protection/>
    </xf>
    <xf numFmtId="181" fontId="14" fillId="0" borderId="26" xfId="54" applyNumberFormat="1" applyFont="1" applyBorder="1" applyAlignment="1">
      <alignment horizontal="center" vertical="center" wrapText="1"/>
      <protection/>
    </xf>
    <xf numFmtId="181" fontId="14" fillId="0" borderId="26" xfId="0" applyNumberFormat="1" applyFont="1" applyBorder="1" applyAlignment="1">
      <alignment horizontal="center" vertical="center" wrapText="1"/>
    </xf>
    <xf numFmtId="181" fontId="15" fillId="0" borderId="28" xfId="0" applyNumberFormat="1" applyFont="1" applyBorder="1" applyAlignment="1">
      <alignment horizontal="center" vertical="center" wrapText="1"/>
    </xf>
    <xf numFmtId="181" fontId="15" fillId="0" borderId="29" xfId="0" applyNumberFormat="1" applyFont="1" applyBorder="1" applyAlignment="1">
      <alignment horizontal="center" vertical="center" wrapText="1"/>
    </xf>
    <xf numFmtId="181" fontId="15" fillId="0" borderId="30" xfId="0" applyNumberFormat="1" applyFont="1" applyBorder="1" applyAlignment="1">
      <alignment horizontal="center" vertical="center" wrapText="1"/>
    </xf>
    <xf numFmtId="181" fontId="20" fillId="0" borderId="13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15" sqref="Q15"/>
    </sheetView>
  </sheetViews>
  <sheetFormatPr defaultColWidth="9.00390625" defaultRowHeight="12.75" outlineLevelCol="1"/>
  <cols>
    <col min="1" max="1" width="21.25390625" style="1" customWidth="1"/>
    <col min="2" max="2" width="46.625" style="1" customWidth="1"/>
    <col min="3" max="3" width="11.125" style="1" customWidth="1"/>
    <col min="4" max="4" width="11.00390625" style="1" customWidth="1"/>
    <col min="5" max="5" width="11.25390625" style="1" customWidth="1"/>
    <col min="6" max="6" width="12.00390625" style="1" hidden="1" customWidth="1"/>
    <col min="7" max="7" width="11.00390625" style="1" hidden="1" customWidth="1"/>
    <col min="8" max="8" width="9.875" style="1" hidden="1" customWidth="1"/>
    <col min="9" max="9" width="10.625" style="1" hidden="1" customWidth="1" outlineLevel="1"/>
    <col min="10" max="10" width="11.00390625" style="1" customWidth="1" collapsed="1"/>
    <col min="11" max="11" width="8.625" style="1" customWidth="1"/>
    <col min="12" max="12" width="9.75390625" style="1" customWidth="1"/>
    <col min="13" max="13" width="9.375" style="1" customWidth="1"/>
    <col min="14" max="16384" width="9.125" style="1" customWidth="1"/>
  </cols>
  <sheetData>
    <row r="1" spans="1:13" ht="12.75">
      <c r="A1" s="175" t="s">
        <v>74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0" ht="9.7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4.25" customHeight="1">
      <c r="A3" s="39"/>
      <c r="B3" s="40"/>
      <c r="C3" s="40"/>
      <c r="D3" s="40"/>
      <c r="E3" s="40"/>
      <c r="F3" s="40"/>
      <c r="G3" s="40"/>
      <c r="H3" s="41"/>
      <c r="I3" s="41"/>
      <c r="J3" s="42" t="s">
        <v>54</v>
      </c>
    </row>
    <row r="4" spans="1:13" ht="12.75" customHeight="1">
      <c r="A4" s="43" t="s">
        <v>39</v>
      </c>
      <c r="B4" s="44"/>
      <c r="C4" s="163" t="s">
        <v>65</v>
      </c>
      <c r="D4" s="163" t="s">
        <v>66</v>
      </c>
      <c r="E4" s="163" t="s">
        <v>71</v>
      </c>
      <c r="F4" s="166" t="s">
        <v>55</v>
      </c>
      <c r="G4" s="166" t="s">
        <v>56</v>
      </c>
      <c r="H4" s="166" t="s">
        <v>57</v>
      </c>
      <c r="I4" s="166" t="s">
        <v>58</v>
      </c>
      <c r="J4" s="163" t="s">
        <v>73</v>
      </c>
      <c r="K4" s="163" t="s">
        <v>72</v>
      </c>
      <c r="L4" s="163" t="s">
        <v>67</v>
      </c>
      <c r="M4" s="163" t="s">
        <v>68</v>
      </c>
    </row>
    <row r="5" spans="1:13" ht="27.75" customHeight="1">
      <c r="A5" s="45" t="s">
        <v>44</v>
      </c>
      <c r="B5" s="46" t="s">
        <v>16</v>
      </c>
      <c r="C5" s="164"/>
      <c r="D5" s="164"/>
      <c r="E5" s="164"/>
      <c r="F5" s="167"/>
      <c r="G5" s="167"/>
      <c r="H5" s="167"/>
      <c r="I5" s="167"/>
      <c r="J5" s="164"/>
      <c r="K5" s="164"/>
      <c r="L5" s="164"/>
      <c r="M5" s="164"/>
    </row>
    <row r="6" spans="1:13" ht="39.75" customHeight="1">
      <c r="A6" s="45"/>
      <c r="B6" s="46"/>
      <c r="C6" s="165"/>
      <c r="D6" s="165"/>
      <c r="E6" s="165"/>
      <c r="F6" s="168"/>
      <c r="G6" s="168"/>
      <c r="H6" s="168"/>
      <c r="I6" s="168"/>
      <c r="J6" s="165"/>
      <c r="K6" s="165"/>
      <c r="L6" s="165"/>
      <c r="M6" s="165"/>
    </row>
    <row r="7" spans="1:13" ht="12.75">
      <c r="A7" s="172" t="s">
        <v>22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4"/>
    </row>
    <row r="8" spans="1:13" ht="12.75">
      <c r="A8" s="68" t="s">
        <v>3</v>
      </c>
      <c r="B8" s="56" t="s">
        <v>53</v>
      </c>
      <c r="C8" s="52">
        <f aca="true" t="shared" si="0" ref="C8:I8">C9+C11+C12+C13+C15+C16+C18+C20+C14+C21+C17+C19+C10</f>
        <v>810292.5000000001</v>
      </c>
      <c r="D8" s="52">
        <f t="shared" si="0"/>
        <v>838864.9000000001</v>
      </c>
      <c r="E8" s="52">
        <f>E9+E11+E12+E13+E15+E16+E18+E20+E14+E21+E17+E19+E10</f>
        <v>633482.9</v>
      </c>
      <c r="F8" s="52">
        <f t="shared" si="0"/>
        <v>217180.60000000003</v>
      </c>
      <c r="G8" s="52">
        <f t="shared" si="0"/>
        <v>232913.99999999997</v>
      </c>
      <c r="H8" s="52">
        <f t="shared" si="0"/>
        <v>183388.30000000002</v>
      </c>
      <c r="I8" s="52">
        <f t="shared" si="0"/>
        <v>205382</v>
      </c>
      <c r="J8" s="52">
        <f>J9+J11+J12+J13+J15+J16+J18+J20+J14+J21+J17+J19+J10</f>
        <v>654686.3999999999</v>
      </c>
      <c r="K8" s="52">
        <f aca="true" t="shared" si="1" ref="K8:K13">J8*100/E8</f>
        <v>103.34713060131534</v>
      </c>
      <c r="L8" s="21">
        <f aca="true" t="shared" si="2" ref="L8:L13">J8*100/D8</f>
        <v>78.04431917463704</v>
      </c>
      <c r="M8" s="21">
        <f aca="true" t="shared" si="3" ref="M8:M21">J8*100/C8</f>
        <v>80.79630503799552</v>
      </c>
    </row>
    <row r="9" spans="1:13" ht="12.75">
      <c r="A9" s="29" t="s">
        <v>63</v>
      </c>
      <c r="B9" s="47" t="s">
        <v>64</v>
      </c>
      <c r="C9" s="38">
        <v>602385.5</v>
      </c>
      <c r="D9" s="38">
        <f>F9+G9+H9+I9</f>
        <v>613739.9</v>
      </c>
      <c r="E9" s="38">
        <f>F9+G9+H9</f>
        <v>464777.9</v>
      </c>
      <c r="F9" s="38">
        <v>161804.3</v>
      </c>
      <c r="G9" s="38">
        <v>165092.5</v>
      </c>
      <c r="H9" s="18">
        <v>137881.1</v>
      </c>
      <c r="I9" s="57">
        <v>148962</v>
      </c>
      <c r="J9" s="57">
        <v>473804.3</v>
      </c>
      <c r="K9" s="18">
        <f t="shared" si="1"/>
        <v>101.94208889880521</v>
      </c>
      <c r="L9" s="57">
        <f t="shared" si="2"/>
        <v>77.19952703091326</v>
      </c>
      <c r="M9" s="16">
        <f t="shared" si="3"/>
        <v>78.65466549244628</v>
      </c>
    </row>
    <row r="10" spans="1:13" ht="25.5" customHeight="1">
      <c r="A10" s="29" t="s">
        <v>62</v>
      </c>
      <c r="B10" s="24" t="s">
        <v>61</v>
      </c>
      <c r="C10" s="51">
        <v>3868.9</v>
      </c>
      <c r="D10" s="51">
        <f aca="true" t="shared" si="4" ref="D10:D27">F10+G10+H10+I10</f>
        <v>3868.9</v>
      </c>
      <c r="E10" s="38">
        <f aca="true" t="shared" si="5" ref="E10:E27">F10+G10+H10</f>
        <v>2968</v>
      </c>
      <c r="F10" s="51">
        <v>1080</v>
      </c>
      <c r="G10" s="51">
        <v>920.8</v>
      </c>
      <c r="H10" s="15">
        <v>967.2</v>
      </c>
      <c r="I10" s="16">
        <v>900.9</v>
      </c>
      <c r="J10" s="16">
        <v>3130.5</v>
      </c>
      <c r="K10" s="18">
        <f t="shared" si="1"/>
        <v>105.47506738544475</v>
      </c>
      <c r="L10" s="16">
        <f t="shared" si="2"/>
        <v>80.91447181369381</v>
      </c>
      <c r="M10" s="16">
        <f t="shared" si="3"/>
        <v>80.91447181369381</v>
      </c>
    </row>
    <row r="11" spans="1:13" ht="12.75">
      <c r="A11" s="29" t="s">
        <v>8</v>
      </c>
      <c r="B11" s="24" t="s">
        <v>5</v>
      </c>
      <c r="C11" s="51">
        <v>53331.5</v>
      </c>
      <c r="D11" s="51">
        <f t="shared" si="4"/>
        <v>54779</v>
      </c>
      <c r="E11" s="38">
        <f t="shared" si="5"/>
        <v>47395.7</v>
      </c>
      <c r="F11" s="51">
        <v>13473.2</v>
      </c>
      <c r="G11" s="51">
        <v>26642.5</v>
      </c>
      <c r="H11" s="15">
        <v>7280</v>
      </c>
      <c r="I11" s="16">
        <v>7383.3</v>
      </c>
      <c r="J11" s="16">
        <v>59780.1</v>
      </c>
      <c r="K11" s="18">
        <f t="shared" si="1"/>
        <v>126.12979658492227</v>
      </c>
      <c r="L11" s="16">
        <f t="shared" si="2"/>
        <v>109.1295934573468</v>
      </c>
      <c r="M11" s="16">
        <f t="shared" si="3"/>
        <v>112.09154064670973</v>
      </c>
    </row>
    <row r="12" spans="1:13" ht="12.75">
      <c r="A12" s="29" t="s">
        <v>9</v>
      </c>
      <c r="B12" s="24" t="s">
        <v>6</v>
      </c>
      <c r="C12" s="51">
        <v>8680</v>
      </c>
      <c r="D12" s="51">
        <f t="shared" si="4"/>
        <v>8880</v>
      </c>
      <c r="E12" s="38">
        <f t="shared" si="5"/>
        <v>4503.8</v>
      </c>
      <c r="F12" s="51">
        <v>2016.5</v>
      </c>
      <c r="G12" s="51">
        <v>969.9</v>
      </c>
      <c r="H12" s="15">
        <v>1517.4</v>
      </c>
      <c r="I12" s="16">
        <v>4376.2</v>
      </c>
      <c r="J12" s="16">
        <v>6205.6</v>
      </c>
      <c r="K12" s="18">
        <f t="shared" si="1"/>
        <v>137.78586971002264</v>
      </c>
      <c r="L12" s="16">
        <f t="shared" si="2"/>
        <v>69.88288288288288</v>
      </c>
      <c r="M12" s="16">
        <f t="shared" si="3"/>
        <v>71.49308755760369</v>
      </c>
    </row>
    <row r="13" spans="1:13" ht="12.75">
      <c r="A13" s="29" t="s">
        <v>10</v>
      </c>
      <c r="B13" s="24" t="s">
        <v>21</v>
      </c>
      <c r="C13" s="51">
        <v>3802</v>
      </c>
      <c r="D13" s="51">
        <f t="shared" si="4"/>
        <v>4005</v>
      </c>
      <c r="E13" s="38">
        <f t="shared" si="5"/>
        <v>3390.8</v>
      </c>
      <c r="F13" s="51">
        <v>1169.4</v>
      </c>
      <c r="G13" s="51">
        <v>1221.4</v>
      </c>
      <c r="H13" s="15">
        <v>1000</v>
      </c>
      <c r="I13" s="16">
        <v>614.2</v>
      </c>
      <c r="J13" s="16">
        <v>3319.5</v>
      </c>
      <c r="K13" s="18">
        <f t="shared" si="1"/>
        <v>97.89725138610356</v>
      </c>
      <c r="L13" s="16">
        <f t="shared" si="2"/>
        <v>82.88389513108615</v>
      </c>
      <c r="M13" s="16">
        <f t="shared" si="3"/>
        <v>87.30931088900579</v>
      </c>
    </row>
    <row r="14" spans="1:13" ht="21.75" customHeight="1" hidden="1">
      <c r="A14" s="29" t="s">
        <v>35</v>
      </c>
      <c r="B14" s="24" t="s">
        <v>36</v>
      </c>
      <c r="C14" s="51"/>
      <c r="D14" s="51">
        <f t="shared" si="4"/>
        <v>0</v>
      </c>
      <c r="E14" s="38">
        <f t="shared" si="5"/>
        <v>0</v>
      </c>
      <c r="F14" s="51"/>
      <c r="G14" s="51"/>
      <c r="H14" s="15"/>
      <c r="I14" s="16"/>
      <c r="J14" s="16"/>
      <c r="K14" s="18"/>
      <c r="L14" s="16"/>
      <c r="M14" s="16" t="e">
        <f t="shared" si="3"/>
        <v>#DIV/0!</v>
      </c>
    </row>
    <row r="15" spans="1:13" ht="24">
      <c r="A15" s="33" t="s">
        <v>11</v>
      </c>
      <c r="B15" s="24" t="s">
        <v>17</v>
      </c>
      <c r="C15" s="51">
        <v>106610.9</v>
      </c>
      <c r="D15" s="51">
        <f t="shared" si="4"/>
        <v>111115.90000000001</v>
      </c>
      <c r="E15" s="38">
        <f t="shared" si="5"/>
        <v>79359.70000000001</v>
      </c>
      <c r="F15" s="51">
        <v>24377.7</v>
      </c>
      <c r="G15" s="51">
        <v>30051.9</v>
      </c>
      <c r="H15" s="15">
        <v>24930.1</v>
      </c>
      <c r="I15" s="16">
        <v>31756.2</v>
      </c>
      <c r="J15" s="16">
        <v>74915</v>
      </c>
      <c r="K15" s="18">
        <f aca="true" t="shared" si="6" ref="K15:K20">J15*100/E15</f>
        <v>94.39929838444448</v>
      </c>
      <c r="L15" s="16">
        <f aca="true" t="shared" si="7" ref="L15:L20">J15*100/D15</f>
        <v>67.42059417239116</v>
      </c>
      <c r="M15" s="16">
        <f t="shared" si="3"/>
        <v>70.26955029926584</v>
      </c>
    </row>
    <row r="16" spans="1:13" ht="12.75">
      <c r="A16" s="34" t="s">
        <v>14</v>
      </c>
      <c r="B16" s="24" t="s">
        <v>13</v>
      </c>
      <c r="C16" s="51">
        <v>18177.1</v>
      </c>
      <c r="D16" s="51">
        <f t="shared" si="4"/>
        <v>18177.1</v>
      </c>
      <c r="E16" s="38">
        <f t="shared" si="5"/>
        <v>12571.3</v>
      </c>
      <c r="F16" s="51">
        <v>4412.7</v>
      </c>
      <c r="G16" s="51">
        <v>2674.3</v>
      </c>
      <c r="H16" s="15">
        <v>5484.3</v>
      </c>
      <c r="I16" s="16">
        <v>5605.8</v>
      </c>
      <c r="J16" s="16">
        <v>11360</v>
      </c>
      <c r="K16" s="18">
        <f t="shared" si="6"/>
        <v>90.36456054664195</v>
      </c>
      <c r="L16" s="16">
        <f t="shared" si="7"/>
        <v>62.49621776851093</v>
      </c>
      <c r="M16" s="16">
        <f t="shared" si="3"/>
        <v>62.49621776851093</v>
      </c>
    </row>
    <row r="17" spans="1:13" ht="24">
      <c r="A17" s="35" t="s">
        <v>40</v>
      </c>
      <c r="B17" s="24" t="s">
        <v>41</v>
      </c>
      <c r="C17" s="51">
        <v>740.3</v>
      </c>
      <c r="D17" s="51">
        <f t="shared" si="4"/>
        <v>785.3</v>
      </c>
      <c r="E17" s="38">
        <f t="shared" si="5"/>
        <v>586.0999999999999</v>
      </c>
      <c r="F17" s="51">
        <v>1237.1</v>
      </c>
      <c r="G17" s="51">
        <v>-1569.8</v>
      </c>
      <c r="H17" s="15">
        <v>918.8</v>
      </c>
      <c r="I17" s="16">
        <v>199.2</v>
      </c>
      <c r="J17" s="16">
        <v>202.6</v>
      </c>
      <c r="K17" s="18">
        <f t="shared" si="6"/>
        <v>34.567479952226584</v>
      </c>
      <c r="L17" s="16">
        <f t="shared" si="7"/>
        <v>25.799057684961163</v>
      </c>
      <c r="M17" s="16">
        <f t="shared" si="3"/>
        <v>27.367283533702555</v>
      </c>
    </row>
    <row r="18" spans="1:13" ht="24">
      <c r="A18" s="35" t="s">
        <v>18</v>
      </c>
      <c r="B18" s="24" t="s">
        <v>15</v>
      </c>
      <c r="C18" s="51">
        <v>8611.5</v>
      </c>
      <c r="D18" s="51">
        <f t="shared" si="4"/>
        <v>16241.5</v>
      </c>
      <c r="E18" s="38">
        <f t="shared" si="5"/>
        <v>11022.7</v>
      </c>
      <c r="F18" s="51">
        <v>4404.7</v>
      </c>
      <c r="G18" s="51">
        <v>3326.3</v>
      </c>
      <c r="H18" s="15">
        <v>3291.7</v>
      </c>
      <c r="I18" s="16">
        <v>5218.8</v>
      </c>
      <c r="J18" s="16">
        <v>12908.4</v>
      </c>
      <c r="K18" s="18">
        <f t="shared" si="6"/>
        <v>117.1074237709454</v>
      </c>
      <c r="L18" s="16">
        <f t="shared" si="7"/>
        <v>79.4778807376166</v>
      </c>
      <c r="M18" s="16">
        <f t="shared" si="3"/>
        <v>149.8972304476572</v>
      </c>
    </row>
    <row r="19" spans="1:13" ht="12.75">
      <c r="A19" s="35" t="s">
        <v>46</v>
      </c>
      <c r="B19" s="24" t="s">
        <v>47</v>
      </c>
      <c r="C19" s="51">
        <v>11</v>
      </c>
      <c r="D19" s="51">
        <f t="shared" si="4"/>
        <v>43</v>
      </c>
      <c r="E19" s="38">
        <f t="shared" si="5"/>
        <v>43</v>
      </c>
      <c r="F19" s="51">
        <v>16</v>
      </c>
      <c r="G19" s="51">
        <v>27</v>
      </c>
      <c r="H19" s="15"/>
      <c r="I19" s="16"/>
      <c r="J19" s="16">
        <v>45</v>
      </c>
      <c r="K19" s="18">
        <f t="shared" si="6"/>
        <v>104.65116279069767</v>
      </c>
      <c r="L19" s="16">
        <f t="shared" si="7"/>
        <v>104.65116279069767</v>
      </c>
      <c r="M19" s="16">
        <f t="shared" si="3"/>
        <v>409.09090909090907</v>
      </c>
    </row>
    <row r="20" spans="1:13" ht="12.75">
      <c r="A20" s="31" t="s">
        <v>12</v>
      </c>
      <c r="B20" s="24" t="s">
        <v>7</v>
      </c>
      <c r="C20" s="51">
        <v>4028.8</v>
      </c>
      <c r="D20" s="51">
        <f t="shared" si="4"/>
        <v>7229.299999999999</v>
      </c>
      <c r="E20" s="38">
        <f t="shared" si="5"/>
        <v>6863.9</v>
      </c>
      <c r="F20" s="51">
        <v>3189</v>
      </c>
      <c r="G20" s="51">
        <v>3557.2</v>
      </c>
      <c r="H20" s="15">
        <v>117.7</v>
      </c>
      <c r="I20" s="16">
        <v>365.4</v>
      </c>
      <c r="J20" s="16">
        <v>9016.2</v>
      </c>
      <c r="K20" s="18">
        <f t="shared" si="6"/>
        <v>131.3568088113172</v>
      </c>
      <c r="L20" s="16">
        <f t="shared" si="7"/>
        <v>124.71746918788821</v>
      </c>
      <c r="M20" s="16">
        <f t="shared" si="3"/>
        <v>223.79368546465452</v>
      </c>
    </row>
    <row r="21" spans="1:13" ht="12.75">
      <c r="A21" s="69" t="s">
        <v>37</v>
      </c>
      <c r="B21" s="14" t="s">
        <v>38</v>
      </c>
      <c r="C21" s="51">
        <v>45</v>
      </c>
      <c r="D21" s="51">
        <f t="shared" si="4"/>
        <v>0</v>
      </c>
      <c r="E21" s="38">
        <f t="shared" si="5"/>
        <v>0</v>
      </c>
      <c r="F21" s="51"/>
      <c r="G21" s="51"/>
      <c r="H21" s="15"/>
      <c r="I21" s="16"/>
      <c r="J21" s="16">
        <v>-0.8</v>
      </c>
      <c r="K21" s="18"/>
      <c r="L21" s="16"/>
      <c r="M21" s="16">
        <f t="shared" si="3"/>
        <v>-1.7777777777777777</v>
      </c>
    </row>
    <row r="22" spans="1:13" ht="12.75">
      <c r="A22" s="30" t="s">
        <v>1</v>
      </c>
      <c r="B22" s="25" t="s">
        <v>0</v>
      </c>
      <c r="C22" s="26">
        <f>C23+C25+C27+C26+C24</f>
        <v>3698820.7</v>
      </c>
      <c r="D22" s="26">
        <f aca="true" t="shared" si="8" ref="D22:I22">D23+D25+D27+D26+D24</f>
        <v>3669439.6999999997</v>
      </c>
      <c r="E22" s="26">
        <f t="shared" si="8"/>
        <v>2434462.4</v>
      </c>
      <c r="F22" s="26">
        <f t="shared" si="8"/>
        <v>685804.7999999999</v>
      </c>
      <c r="G22" s="26">
        <f t="shared" si="8"/>
        <v>1033830.2999999999</v>
      </c>
      <c r="H22" s="26">
        <f t="shared" si="8"/>
        <v>714827.3</v>
      </c>
      <c r="I22" s="26">
        <f t="shared" si="8"/>
        <v>1234977.3</v>
      </c>
      <c r="J22" s="26">
        <f>J23+J25+J27+J26+J24</f>
        <v>2268010.9000000004</v>
      </c>
      <c r="K22" s="23">
        <f aca="true" t="shared" si="9" ref="K22:K28">J22*100/E22</f>
        <v>93.1626999045046</v>
      </c>
      <c r="L22" s="21">
        <f aca="true" t="shared" si="10" ref="L22:L28">J22*100/D22</f>
        <v>61.808098386246826</v>
      </c>
      <c r="M22" s="21">
        <f>J22*100/C22</f>
        <v>61.31713548591312</v>
      </c>
    </row>
    <row r="23" spans="1:13" ht="24">
      <c r="A23" s="69" t="s">
        <v>52</v>
      </c>
      <c r="B23" s="27" t="s">
        <v>20</v>
      </c>
      <c r="C23" s="50">
        <v>3698820.7</v>
      </c>
      <c r="D23" s="51">
        <f t="shared" si="4"/>
        <v>3638049.3999999994</v>
      </c>
      <c r="E23" s="38">
        <f t="shared" si="5"/>
        <v>2427672.0999999996</v>
      </c>
      <c r="F23" s="51">
        <v>684883.6</v>
      </c>
      <c r="G23" s="51">
        <v>1032961.2</v>
      </c>
      <c r="H23" s="16">
        <v>709827.3</v>
      </c>
      <c r="I23" s="16">
        <v>1210377.3</v>
      </c>
      <c r="J23" s="16">
        <v>2242557.7</v>
      </c>
      <c r="K23" s="18">
        <f t="shared" si="9"/>
        <v>92.37481865858246</v>
      </c>
      <c r="L23" s="16">
        <f t="shared" si="10"/>
        <v>61.64176055443339</v>
      </c>
      <c r="M23" s="16">
        <f>J23*100/C23</f>
        <v>60.62899182974726</v>
      </c>
    </row>
    <row r="24" spans="1:13" ht="24">
      <c r="A24" s="69" t="s">
        <v>69</v>
      </c>
      <c r="B24" s="24" t="s">
        <v>70</v>
      </c>
      <c r="C24" s="50"/>
      <c r="D24" s="51">
        <f t="shared" si="4"/>
        <v>500</v>
      </c>
      <c r="E24" s="38">
        <f t="shared" si="5"/>
        <v>500</v>
      </c>
      <c r="F24" s="51"/>
      <c r="G24" s="51">
        <v>500</v>
      </c>
      <c r="H24" s="16"/>
      <c r="I24" s="16"/>
      <c r="J24" s="16">
        <v>1000</v>
      </c>
      <c r="K24" s="18">
        <f>J24*100/E24</f>
        <v>200</v>
      </c>
      <c r="L24" s="16">
        <f>J24*100/D24</f>
        <v>200</v>
      </c>
      <c r="M24" s="16"/>
    </row>
    <row r="25" spans="1:13" ht="18.75" customHeight="1">
      <c r="A25" s="69" t="s">
        <v>60</v>
      </c>
      <c r="B25" s="28" t="s">
        <v>19</v>
      </c>
      <c r="C25" s="54"/>
      <c r="D25" s="51">
        <f t="shared" si="4"/>
        <v>37269.1</v>
      </c>
      <c r="E25" s="38">
        <f t="shared" si="5"/>
        <v>12669.1</v>
      </c>
      <c r="F25" s="54">
        <v>7300</v>
      </c>
      <c r="G25" s="54">
        <v>369.1</v>
      </c>
      <c r="H25" s="16">
        <v>5000</v>
      </c>
      <c r="I25" s="16">
        <v>24600</v>
      </c>
      <c r="J25" s="16">
        <v>30832</v>
      </c>
      <c r="K25" s="18">
        <f>J25*100/E25</f>
        <v>243.3637748537781</v>
      </c>
      <c r="L25" s="16">
        <f t="shared" si="10"/>
        <v>82.72805085177802</v>
      </c>
      <c r="M25" s="16"/>
    </row>
    <row r="26" spans="1:13" ht="40.5" customHeight="1" hidden="1">
      <c r="A26" s="69" t="s">
        <v>59</v>
      </c>
      <c r="B26" s="14" t="s">
        <v>50</v>
      </c>
      <c r="C26" s="51"/>
      <c r="D26" s="51">
        <f t="shared" si="4"/>
        <v>0</v>
      </c>
      <c r="E26" s="38">
        <f t="shared" si="5"/>
        <v>0</v>
      </c>
      <c r="F26" s="51"/>
      <c r="G26" s="51"/>
      <c r="H26" s="16"/>
      <c r="I26" s="16"/>
      <c r="J26" s="16"/>
      <c r="K26" s="18"/>
      <c r="L26" s="16"/>
      <c r="M26" s="16"/>
    </row>
    <row r="27" spans="1:13" ht="39" customHeight="1">
      <c r="A27" s="69" t="s">
        <v>51</v>
      </c>
      <c r="B27" s="17" t="s">
        <v>49</v>
      </c>
      <c r="C27" s="58"/>
      <c r="D27" s="51">
        <f t="shared" si="4"/>
        <v>-6378.8</v>
      </c>
      <c r="E27" s="38">
        <f t="shared" si="5"/>
        <v>-6378.8</v>
      </c>
      <c r="F27" s="58">
        <v>-6378.8</v>
      </c>
      <c r="G27" s="58"/>
      <c r="H27" s="16"/>
      <c r="I27" s="16"/>
      <c r="J27" s="16">
        <v>-6378.8</v>
      </c>
      <c r="K27" s="18">
        <f>J27*100/E27</f>
        <v>100</v>
      </c>
      <c r="L27" s="16">
        <f t="shared" si="10"/>
        <v>100</v>
      </c>
      <c r="M27" s="16"/>
    </row>
    <row r="28" spans="1:13" ht="12.75">
      <c r="A28" s="31"/>
      <c r="B28" s="20" t="s">
        <v>4</v>
      </c>
      <c r="C28" s="21">
        <f aca="true" t="shared" si="11" ref="C28:I28">C22+C8</f>
        <v>4509113.2</v>
      </c>
      <c r="D28" s="21">
        <f t="shared" si="11"/>
        <v>4508304.6</v>
      </c>
      <c r="E28" s="21">
        <f t="shared" si="11"/>
        <v>3067945.3</v>
      </c>
      <c r="F28" s="21">
        <f t="shared" si="11"/>
        <v>902985.3999999999</v>
      </c>
      <c r="G28" s="21">
        <f t="shared" si="11"/>
        <v>1266744.2999999998</v>
      </c>
      <c r="H28" s="21">
        <f t="shared" si="11"/>
        <v>898215.6000000001</v>
      </c>
      <c r="I28" s="21">
        <f t="shared" si="11"/>
        <v>1440359.3</v>
      </c>
      <c r="J28" s="21">
        <f>J22+J8</f>
        <v>2922697.3000000003</v>
      </c>
      <c r="K28" s="23">
        <f t="shared" si="9"/>
        <v>95.26562615050535</v>
      </c>
      <c r="L28" s="21">
        <f t="shared" si="10"/>
        <v>64.82918878196473</v>
      </c>
      <c r="M28" s="21">
        <f>J28*100/C28</f>
        <v>64.81756324059462</v>
      </c>
    </row>
    <row r="29" spans="1:13" ht="12.75">
      <c r="A29" s="169"/>
      <c r="B29" s="170"/>
      <c r="C29" s="170"/>
      <c r="D29" s="170"/>
      <c r="E29" s="170"/>
      <c r="F29" s="170"/>
      <c r="G29" s="170"/>
      <c r="H29" s="170"/>
      <c r="I29" s="170"/>
      <c r="J29" s="170"/>
      <c r="K29" s="23"/>
      <c r="L29" s="21"/>
      <c r="M29" s="16"/>
    </row>
    <row r="30" spans="1:13" ht="12.75">
      <c r="A30" s="172" t="s">
        <v>23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4"/>
    </row>
    <row r="31" spans="1:13" ht="12.75">
      <c r="A31" s="30" t="s">
        <v>3</v>
      </c>
      <c r="B31" s="22" t="s">
        <v>53</v>
      </c>
      <c r="C31" s="23">
        <f aca="true" t="shared" si="12" ref="C31:I31">C32+C34+C36+C38+C35+C37+C40+C33</f>
        <v>19719.7</v>
      </c>
      <c r="D31" s="23">
        <f t="shared" si="12"/>
        <v>21195.6</v>
      </c>
      <c r="E31" s="23">
        <f t="shared" si="12"/>
        <v>15986.000000000002</v>
      </c>
      <c r="F31" s="23">
        <f t="shared" si="12"/>
        <v>4576.9</v>
      </c>
      <c r="G31" s="23">
        <f t="shared" si="12"/>
        <v>6883.7</v>
      </c>
      <c r="H31" s="23">
        <f t="shared" si="12"/>
        <v>4525.400000000001</v>
      </c>
      <c r="I31" s="23">
        <f t="shared" si="12"/>
        <v>5209.6</v>
      </c>
      <c r="J31" s="23">
        <f>J32+J34+J36+J38+J35+J37+J40+J33+J39</f>
        <v>15272.8</v>
      </c>
      <c r="K31" s="23">
        <f aca="true" t="shared" si="13" ref="K31:K37">J31*100/E31</f>
        <v>95.53859627173776</v>
      </c>
      <c r="L31" s="21">
        <f aca="true" t="shared" si="14" ref="L31:L36">J31*100/D31</f>
        <v>72.05646454924607</v>
      </c>
      <c r="M31" s="21">
        <f aca="true" t="shared" si="15" ref="M31:M37">J31*100/C31</f>
        <v>77.4494540992003</v>
      </c>
    </row>
    <row r="32" spans="1:14" ht="12.75">
      <c r="A32" s="29" t="s">
        <v>63</v>
      </c>
      <c r="B32" s="47" t="s">
        <v>64</v>
      </c>
      <c r="C32" s="38">
        <v>16000</v>
      </c>
      <c r="D32" s="51">
        <f aca="true" t="shared" si="16" ref="D32:D40">F32+G32+H32+I32</f>
        <v>16900</v>
      </c>
      <c r="E32" s="38">
        <f aca="true" t="shared" si="17" ref="E32:E42">F32+G32+H32</f>
        <v>13343.1</v>
      </c>
      <c r="F32" s="38">
        <v>3704.1</v>
      </c>
      <c r="G32" s="38">
        <v>5881.4</v>
      </c>
      <c r="H32" s="15">
        <v>3757.6</v>
      </c>
      <c r="I32" s="16">
        <v>3556.9</v>
      </c>
      <c r="J32" s="57">
        <v>12603</v>
      </c>
      <c r="K32" s="18">
        <f t="shared" si="13"/>
        <v>94.45331294826539</v>
      </c>
      <c r="L32" s="16">
        <f t="shared" si="14"/>
        <v>74.57396449704142</v>
      </c>
      <c r="M32" s="16">
        <f t="shared" si="15"/>
        <v>78.76875</v>
      </c>
      <c r="N32" s="2"/>
    </row>
    <row r="33" spans="1:13" ht="25.5" customHeight="1">
      <c r="A33" s="29" t="s">
        <v>62</v>
      </c>
      <c r="B33" s="24" t="s">
        <v>61</v>
      </c>
      <c r="C33" s="51">
        <v>1802.4</v>
      </c>
      <c r="D33" s="51">
        <f t="shared" si="16"/>
        <v>2050.7999999999997</v>
      </c>
      <c r="E33" s="38">
        <f t="shared" si="17"/>
        <v>1599.6</v>
      </c>
      <c r="F33" s="38">
        <v>598.7</v>
      </c>
      <c r="G33" s="38">
        <v>550.3</v>
      </c>
      <c r="H33" s="15">
        <v>450.6</v>
      </c>
      <c r="I33" s="16">
        <v>451.2</v>
      </c>
      <c r="J33" s="57">
        <v>1458.4</v>
      </c>
      <c r="K33" s="18">
        <f t="shared" si="13"/>
        <v>91.17279319829959</v>
      </c>
      <c r="L33" s="16">
        <f t="shared" si="14"/>
        <v>71.11371172225473</v>
      </c>
      <c r="M33" s="16">
        <f t="shared" si="15"/>
        <v>80.91433644030181</v>
      </c>
    </row>
    <row r="34" spans="1:13" ht="12.75">
      <c r="A34" s="29" t="s">
        <v>9</v>
      </c>
      <c r="B34" s="24" t="s">
        <v>6</v>
      </c>
      <c r="C34" s="51">
        <v>1250</v>
      </c>
      <c r="D34" s="51">
        <f t="shared" si="16"/>
        <v>1250</v>
      </c>
      <c r="E34" s="38">
        <f t="shared" si="17"/>
        <v>334.6</v>
      </c>
      <c r="F34" s="51">
        <v>66.2</v>
      </c>
      <c r="G34" s="51">
        <v>38.6</v>
      </c>
      <c r="H34" s="15">
        <v>229.8</v>
      </c>
      <c r="I34" s="16">
        <v>915.4</v>
      </c>
      <c r="J34" s="16">
        <v>242.7</v>
      </c>
      <c r="K34" s="18">
        <f t="shared" si="13"/>
        <v>72.53436939629408</v>
      </c>
      <c r="L34" s="16">
        <f t="shared" si="14"/>
        <v>19.416</v>
      </c>
      <c r="M34" s="16">
        <f t="shared" si="15"/>
        <v>19.416</v>
      </c>
    </row>
    <row r="35" spans="1:13" ht="12.75">
      <c r="A35" s="29" t="s">
        <v>10</v>
      </c>
      <c r="B35" s="24" t="s">
        <v>21</v>
      </c>
      <c r="C35" s="51">
        <v>12.3</v>
      </c>
      <c r="D35" s="51">
        <f t="shared" si="16"/>
        <v>12.3</v>
      </c>
      <c r="E35" s="38">
        <f t="shared" si="17"/>
        <v>9</v>
      </c>
      <c r="F35" s="51">
        <v>3</v>
      </c>
      <c r="G35" s="51">
        <v>3</v>
      </c>
      <c r="H35" s="15">
        <v>3</v>
      </c>
      <c r="I35" s="16">
        <v>3.3</v>
      </c>
      <c r="J35" s="16">
        <v>2.9</v>
      </c>
      <c r="K35" s="18">
        <f t="shared" si="13"/>
        <v>32.22222222222222</v>
      </c>
      <c r="L35" s="16">
        <f t="shared" si="14"/>
        <v>23.57723577235772</v>
      </c>
      <c r="M35" s="16">
        <f t="shared" si="15"/>
        <v>23.57723577235772</v>
      </c>
    </row>
    <row r="36" spans="1:13" ht="24">
      <c r="A36" s="33" t="s">
        <v>11</v>
      </c>
      <c r="B36" s="24" t="s">
        <v>17</v>
      </c>
      <c r="C36" s="51">
        <v>505</v>
      </c>
      <c r="D36" s="51">
        <f t="shared" si="16"/>
        <v>505</v>
      </c>
      <c r="E36" s="38">
        <f t="shared" si="17"/>
        <v>297.5</v>
      </c>
      <c r="F36" s="51">
        <v>122.5</v>
      </c>
      <c r="G36" s="51">
        <v>115.5</v>
      </c>
      <c r="H36" s="15">
        <v>59.5</v>
      </c>
      <c r="I36" s="16">
        <v>207.5</v>
      </c>
      <c r="J36" s="16">
        <v>487.3</v>
      </c>
      <c r="K36" s="18">
        <f t="shared" si="13"/>
        <v>163.7983193277311</v>
      </c>
      <c r="L36" s="16">
        <f t="shared" si="14"/>
        <v>96.4950495049505</v>
      </c>
      <c r="M36" s="16">
        <f t="shared" si="15"/>
        <v>96.4950495049505</v>
      </c>
    </row>
    <row r="37" spans="1:13" ht="24" customHeight="1">
      <c r="A37" s="35" t="s">
        <v>40</v>
      </c>
      <c r="B37" s="24" t="s">
        <v>41</v>
      </c>
      <c r="C37" s="51">
        <v>50</v>
      </c>
      <c r="D37" s="51">
        <f t="shared" si="16"/>
        <v>107.5</v>
      </c>
      <c r="E37" s="38">
        <f t="shared" si="17"/>
        <v>57.5</v>
      </c>
      <c r="F37" s="51">
        <v>57.5</v>
      </c>
      <c r="G37" s="51"/>
      <c r="H37" s="15"/>
      <c r="I37" s="16">
        <v>50</v>
      </c>
      <c r="J37" s="16">
        <v>108.4</v>
      </c>
      <c r="K37" s="18">
        <f t="shared" si="13"/>
        <v>188.52173913043478</v>
      </c>
      <c r="L37" s="16">
        <f>J37*100/D37</f>
        <v>100.83720930232558</v>
      </c>
      <c r="M37" s="16">
        <f t="shared" si="15"/>
        <v>216.8</v>
      </c>
    </row>
    <row r="38" spans="1:13" ht="13.5" customHeight="1">
      <c r="A38" s="34" t="s">
        <v>18</v>
      </c>
      <c r="B38" s="24" t="s">
        <v>15</v>
      </c>
      <c r="C38" s="51">
        <v>100</v>
      </c>
      <c r="D38" s="51">
        <f t="shared" si="16"/>
        <v>99.99999999999999</v>
      </c>
      <c r="E38" s="38">
        <f t="shared" si="17"/>
        <v>74.69999999999999</v>
      </c>
      <c r="F38" s="51">
        <v>24.9</v>
      </c>
      <c r="G38" s="51">
        <v>24.9</v>
      </c>
      <c r="H38" s="15">
        <v>24.9</v>
      </c>
      <c r="I38" s="16">
        <v>25.3</v>
      </c>
      <c r="J38" s="16">
        <v>100</v>
      </c>
      <c r="K38" s="18">
        <f>J38*100/E38</f>
        <v>133.86880856760376</v>
      </c>
      <c r="L38" s="16">
        <f>J38*100/D38</f>
        <v>100.00000000000001</v>
      </c>
      <c r="M38" s="16">
        <f>J38*100/C38</f>
        <v>100</v>
      </c>
    </row>
    <row r="39" spans="1:13" ht="14.25" customHeight="1" hidden="1">
      <c r="A39" s="31" t="s">
        <v>12</v>
      </c>
      <c r="B39" s="24" t="s">
        <v>7</v>
      </c>
      <c r="C39" s="59"/>
      <c r="D39" s="51">
        <f t="shared" si="16"/>
        <v>0</v>
      </c>
      <c r="E39" s="38">
        <f t="shared" si="17"/>
        <v>0</v>
      </c>
      <c r="F39" s="51"/>
      <c r="G39" s="51"/>
      <c r="H39" s="15"/>
      <c r="I39" s="16"/>
      <c r="J39" s="16"/>
      <c r="K39" s="18"/>
      <c r="L39" s="16"/>
      <c r="M39" s="16"/>
    </row>
    <row r="40" spans="1:13" ht="15.75" customHeight="1">
      <c r="A40" s="69" t="s">
        <v>37</v>
      </c>
      <c r="B40" s="14" t="s">
        <v>38</v>
      </c>
      <c r="C40" s="51">
        <v>0</v>
      </c>
      <c r="D40" s="51">
        <f t="shared" si="16"/>
        <v>270</v>
      </c>
      <c r="E40" s="38">
        <f t="shared" si="17"/>
        <v>270</v>
      </c>
      <c r="F40" s="51"/>
      <c r="G40" s="51">
        <v>270</v>
      </c>
      <c r="H40" s="15"/>
      <c r="I40" s="16"/>
      <c r="J40" s="16">
        <v>270.1</v>
      </c>
      <c r="K40" s="23"/>
      <c r="L40" s="21"/>
      <c r="M40" s="16"/>
    </row>
    <row r="41" spans="1:13" ht="12.75">
      <c r="A41" s="30" t="s">
        <v>1</v>
      </c>
      <c r="B41" s="25" t="s">
        <v>0</v>
      </c>
      <c r="C41" s="26">
        <f aca="true" t="shared" si="18" ref="C41:I41">C42+C43</f>
        <v>6852.5</v>
      </c>
      <c r="D41" s="26">
        <f t="shared" si="18"/>
        <v>17937.7</v>
      </c>
      <c r="E41" s="26">
        <f t="shared" si="18"/>
        <v>16223.9</v>
      </c>
      <c r="F41" s="26">
        <f t="shared" si="18"/>
        <v>1912.8</v>
      </c>
      <c r="G41" s="26">
        <f t="shared" si="18"/>
        <v>12064.2</v>
      </c>
      <c r="H41" s="26">
        <f t="shared" si="18"/>
        <v>2246.9</v>
      </c>
      <c r="I41" s="26">
        <f t="shared" si="18"/>
        <v>1713.8</v>
      </c>
      <c r="J41" s="26">
        <f>J42+J43</f>
        <v>5819</v>
      </c>
      <c r="K41" s="23">
        <f>J41*100/E41</f>
        <v>35.86683842972405</v>
      </c>
      <c r="L41" s="21">
        <f>J41*100/D41</f>
        <v>32.44005641748942</v>
      </c>
      <c r="M41" s="21">
        <f>J41*100/C41</f>
        <v>84.91791317037577</v>
      </c>
    </row>
    <row r="42" spans="1:13" ht="23.25" customHeight="1">
      <c r="A42" s="69" t="s">
        <v>52</v>
      </c>
      <c r="B42" s="27" t="s">
        <v>20</v>
      </c>
      <c r="C42" s="50">
        <v>6852.5</v>
      </c>
      <c r="D42" s="51">
        <f>F42+G42+H42+I42</f>
        <v>17937.7</v>
      </c>
      <c r="E42" s="38">
        <f t="shared" si="17"/>
        <v>16223.9</v>
      </c>
      <c r="F42" s="50">
        <v>1912.8</v>
      </c>
      <c r="G42" s="50">
        <v>12064.2</v>
      </c>
      <c r="H42" s="15">
        <v>2246.9</v>
      </c>
      <c r="I42" s="50">
        <v>1713.8</v>
      </c>
      <c r="J42" s="16">
        <v>5819</v>
      </c>
      <c r="K42" s="18">
        <f>J42*100/E42</f>
        <v>35.86683842972405</v>
      </c>
      <c r="L42" s="16">
        <f>J42*100/D42</f>
        <v>32.44005641748942</v>
      </c>
      <c r="M42" s="16">
        <f>J42*100/C42</f>
        <v>84.91791317037577</v>
      </c>
    </row>
    <row r="43" spans="1:13" ht="28.5" customHeight="1" hidden="1">
      <c r="A43" s="13" t="s">
        <v>51</v>
      </c>
      <c r="B43" s="17" t="s">
        <v>49</v>
      </c>
      <c r="C43" s="58"/>
      <c r="D43" s="51">
        <f>F43+G43+H43+I43</f>
        <v>0</v>
      </c>
      <c r="E43" s="38">
        <f>F43</f>
        <v>0</v>
      </c>
      <c r="F43" s="50"/>
      <c r="G43" s="50"/>
      <c r="H43" s="15"/>
      <c r="I43" s="50"/>
      <c r="J43" s="16"/>
      <c r="K43" s="18"/>
      <c r="L43" s="16"/>
      <c r="M43" s="16"/>
    </row>
    <row r="44" spans="1:13" ht="12.75">
      <c r="A44" s="19"/>
      <c r="B44" s="20" t="s">
        <v>4</v>
      </c>
      <c r="C44" s="21">
        <f aca="true" t="shared" si="19" ref="C44:I44">C41+C31</f>
        <v>26572.2</v>
      </c>
      <c r="D44" s="21">
        <f t="shared" si="19"/>
        <v>39133.3</v>
      </c>
      <c r="E44" s="21">
        <f t="shared" si="19"/>
        <v>32209.9</v>
      </c>
      <c r="F44" s="21">
        <f t="shared" si="19"/>
        <v>6489.7</v>
      </c>
      <c r="G44" s="21">
        <f t="shared" si="19"/>
        <v>18947.9</v>
      </c>
      <c r="H44" s="21">
        <f t="shared" si="19"/>
        <v>6772.300000000001</v>
      </c>
      <c r="I44" s="21">
        <f t="shared" si="19"/>
        <v>6923.400000000001</v>
      </c>
      <c r="J44" s="21">
        <f>J41+J31</f>
        <v>21091.8</v>
      </c>
      <c r="K44" s="23">
        <f>J44*100/E44</f>
        <v>65.48235169932225</v>
      </c>
      <c r="L44" s="21">
        <f>J44*100/D44</f>
        <v>53.897320185110885</v>
      </c>
      <c r="M44" s="21">
        <f>J44*100/C44</f>
        <v>79.37543748729875</v>
      </c>
    </row>
    <row r="45" spans="1:13" ht="12.75">
      <c r="A45" s="48"/>
      <c r="B45" s="171"/>
      <c r="C45" s="171"/>
      <c r="D45" s="171"/>
      <c r="E45" s="171"/>
      <c r="F45" s="171"/>
      <c r="G45" s="171"/>
      <c r="H45" s="171"/>
      <c r="I45" s="171"/>
      <c r="J45" s="171"/>
      <c r="K45" s="23"/>
      <c r="L45" s="21"/>
      <c r="M45" s="16"/>
    </row>
    <row r="46" spans="1:13" ht="12.75">
      <c r="A46" s="172" t="s">
        <v>24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4"/>
    </row>
    <row r="47" spans="1:13" ht="12.75">
      <c r="A47" s="30" t="s">
        <v>3</v>
      </c>
      <c r="B47" s="22" t="s">
        <v>53</v>
      </c>
      <c r="C47" s="23">
        <f aca="true" t="shared" si="20" ref="C47:I47">C48+C51+C53+C55+C56+C57+C52+C50+C49+C54</f>
        <v>22750.7</v>
      </c>
      <c r="D47" s="23">
        <f t="shared" si="20"/>
        <v>23698.6</v>
      </c>
      <c r="E47" s="23">
        <f t="shared" si="20"/>
        <v>16823.399999999998</v>
      </c>
      <c r="F47" s="23">
        <f t="shared" si="20"/>
        <v>5616</v>
      </c>
      <c r="G47" s="23">
        <f t="shared" si="20"/>
        <v>6159.299999999999</v>
      </c>
      <c r="H47" s="23">
        <f t="shared" si="20"/>
        <v>5048.1</v>
      </c>
      <c r="I47" s="23">
        <f t="shared" si="20"/>
        <v>6875.2</v>
      </c>
      <c r="J47" s="23">
        <f>J48+J51+J53+J55+J56+J57+J52+J50+J49+J54+0.1</f>
        <v>15801.4</v>
      </c>
      <c r="K47" s="23">
        <f>J47*100/E47</f>
        <v>93.92512809539096</v>
      </c>
      <c r="L47" s="21">
        <f>J47*100/D47</f>
        <v>66.67651253660554</v>
      </c>
      <c r="M47" s="21">
        <f aca="true" t="shared" si="21" ref="M47:M53">J47*100/C47</f>
        <v>69.4545662331269</v>
      </c>
    </row>
    <row r="48" spans="1:14" ht="13.5" customHeight="1">
      <c r="A48" s="29" t="s">
        <v>63</v>
      </c>
      <c r="B48" s="47" t="s">
        <v>64</v>
      </c>
      <c r="C48" s="38">
        <v>14200</v>
      </c>
      <c r="D48" s="51">
        <f aca="true" t="shared" si="22" ref="D48:D61">F48+G48+H48+I48</f>
        <v>14200</v>
      </c>
      <c r="E48" s="38">
        <f aca="true" t="shared" si="23" ref="E48:E59">F48+G48+H48</f>
        <v>10494</v>
      </c>
      <c r="F48" s="51">
        <v>3128</v>
      </c>
      <c r="G48" s="51">
        <v>3932</v>
      </c>
      <c r="H48" s="15">
        <v>3434</v>
      </c>
      <c r="I48" s="16">
        <v>3706</v>
      </c>
      <c r="J48" s="57">
        <v>9770.5</v>
      </c>
      <c r="K48" s="18">
        <f>J48*100/E48</f>
        <v>93.10558414331999</v>
      </c>
      <c r="L48" s="16">
        <f>J48*100/D48</f>
        <v>68.80633802816901</v>
      </c>
      <c r="M48" s="16">
        <f t="shared" si="21"/>
        <v>68.80633802816901</v>
      </c>
      <c r="N48" s="2"/>
    </row>
    <row r="49" spans="1:13" ht="25.5" customHeight="1">
      <c r="A49" s="29" t="s">
        <v>62</v>
      </c>
      <c r="B49" s="24" t="s">
        <v>61</v>
      </c>
      <c r="C49" s="51">
        <v>4245.2</v>
      </c>
      <c r="D49" s="51">
        <f t="shared" si="22"/>
        <v>4594.9</v>
      </c>
      <c r="E49" s="38">
        <f t="shared" si="23"/>
        <v>3531.8999999999996</v>
      </c>
      <c r="F49" s="51">
        <v>1409.6</v>
      </c>
      <c r="G49" s="51">
        <v>1061.1</v>
      </c>
      <c r="H49" s="15">
        <v>1061.2</v>
      </c>
      <c r="I49" s="16">
        <v>1063</v>
      </c>
      <c r="J49" s="57">
        <v>3435</v>
      </c>
      <c r="K49" s="18">
        <f>J49*100/E49</f>
        <v>97.25643421387923</v>
      </c>
      <c r="L49" s="16">
        <f>J49*100/D49</f>
        <v>74.75679557770572</v>
      </c>
      <c r="M49" s="16">
        <f t="shared" si="21"/>
        <v>80.91491566946199</v>
      </c>
    </row>
    <row r="50" spans="1:13" ht="12.75">
      <c r="A50" s="29" t="s">
        <v>8</v>
      </c>
      <c r="B50" s="24" t="s">
        <v>5</v>
      </c>
      <c r="C50" s="51">
        <v>19</v>
      </c>
      <c r="D50" s="51">
        <f t="shared" si="22"/>
        <v>19</v>
      </c>
      <c r="E50" s="38">
        <f t="shared" si="23"/>
        <v>19</v>
      </c>
      <c r="F50" s="51">
        <v>2</v>
      </c>
      <c r="G50" s="51">
        <v>15</v>
      </c>
      <c r="H50" s="15">
        <v>2</v>
      </c>
      <c r="I50" s="16"/>
      <c r="J50" s="57">
        <v>23.9</v>
      </c>
      <c r="K50" s="18">
        <f>J50*100/E50</f>
        <v>125.78947368421052</v>
      </c>
      <c r="L50" s="16">
        <f>J50*100/D50</f>
        <v>125.78947368421052</v>
      </c>
      <c r="M50" s="16">
        <f t="shared" si="21"/>
        <v>125.78947368421052</v>
      </c>
    </row>
    <row r="51" spans="1:13" ht="13.5" customHeight="1">
      <c r="A51" s="29" t="s">
        <v>9</v>
      </c>
      <c r="B51" s="24" t="s">
        <v>6</v>
      </c>
      <c r="C51" s="51">
        <v>3510</v>
      </c>
      <c r="D51" s="51">
        <f t="shared" si="22"/>
        <v>3510</v>
      </c>
      <c r="E51" s="38">
        <f t="shared" si="23"/>
        <v>1614.5</v>
      </c>
      <c r="F51" s="51">
        <v>903</v>
      </c>
      <c r="G51" s="51">
        <v>349</v>
      </c>
      <c r="H51" s="15">
        <v>362.5</v>
      </c>
      <c r="I51" s="16">
        <v>1895.5</v>
      </c>
      <c r="J51" s="16">
        <v>1505</v>
      </c>
      <c r="K51" s="18">
        <f>J51*100/E51</f>
        <v>93.21771446268194</v>
      </c>
      <c r="L51" s="16">
        <f>J51*100/D51</f>
        <v>42.87749287749288</v>
      </c>
      <c r="M51" s="16">
        <f t="shared" si="21"/>
        <v>42.87749287749288</v>
      </c>
    </row>
    <row r="52" spans="1:13" ht="20.25" customHeight="1" hidden="1">
      <c r="A52" s="29" t="s">
        <v>10</v>
      </c>
      <c r="B52" s="24" t="s">
        <v>21</v>
      </c>
      <c r="C52" s="51"/>
      <c r="D52" s="51">
        <f t="shared" si="22"/>
        <v>0</v>
      </c>
      <c r="E52" s="38">
        <f t="shared" si="23"/>
        <v>0</v>
      </c>
      <c r="F52" s="51"/>
      <c r="G52" s="51"/>
      <c r="H52" s="15"/>
      <c r="I52" s="16"/>
      <c r="J52" s="16"/>
      <c r="K52" s="18"/>
      <c r="L52" s="16"/>
      <c r="M52" s="16" t="e">
        <f t="shared" si="21"/>
        <v>#DIV/0!</v>
      </c>
    </row>
    <row r="53" spans="1:13" ht="24">
      <c r="A53" s="33" t="s">
        <v>11</v>
      </c>
      <c r="B53" s="24" t="s">
        <v>17</v>
      </c>
      <c r="C53" s="51">
        <v>626.5</v>
      </c>
      <c r="D53" s="51">
        <f t="shared" si="22"/>
        <v>847.5</v>
      </c>
      <c r="E53" s="38">
        <f t="shared" si="23"/>
        <v>674.3</v>
      </c>
      <c r="F53" s="51">
        <v>133</v>
      </c>
      <c r="G53" s="51">
        <v>390.4</v>
      </c>
      <c r="H53" s="15">
        <v>150.9</v>
      </c>
      <c r="I53" s="16">
        <v>173.2</v>
      </c>
      <c r="J53" s="16">
        <v>644</v>
      </c>
      <c r="K53" s="18">
        <f aca="true" t="shared" si="24" ref="K53:K60">J53*100/E53</f>
        <v>95.50645113450987</v>
      </c>
      <c r="L53" s="16">
        <f aca="true" t="shared" si="25" ref="L53:L60">J53*100/D53</f>
        <v>75.9882005899705</v>
      </c>
      <c r="M53" s="16">
        <f t="shared" si="21"/>
        <v>102.79329608938548</v>
      </c>
    </row>
    <row r="54" spans="1:13" ht="25.5" customHeight="1">
      <c r="A54" s="35" t="s">
        <v>40</v>
      </c>
      <c r="B54" s="24" t="s">
        <v>41</v>
      </c>
      <c r="C54" s="51">
        <v>0</v>
      </c>
      <c r="D54" s="51">
        <f t="shared" si="22"/>
        <v>0</v>
      </c>
      <c r="E54" s="38">
        <f t="shared" si="23"/>
        <v>0</v>
      </c>
      <c r="F54" s="51"/>
      <c r="G54" s="51"/>
      <c r="H54" s="15"/>
      <c r="I54" s="16"/>
      <c r="J54" s="16"/>
      <c r="K54" s="18"/>
      <c r="L54" s="16"/>
      <c r="M54" s="16"/>
    </row>
    <row r="55" spans="1:13" ht="24">
      <c r="A55" s="35" t="s">
        <v>18</v>
      </c>
      <c r="B55" s="24" t="s">
        <v>15</v>
      </c>
      <c r="C55" s="51">
        <v>150</v>
      </c>
      <c r="D55" s="51">
        <f t="shared" si="22"/>
        <v>150</v>
      </c>
      <c r="E55" s="38">
        <f t="shared" si="23"/>
        <v>112.5</v>
      </c>
      <c r="F55" s="51">
        <v>37.5</v>
      </c>
      <c r="G55" s="51">
        <v>37.5</v>
      </c>
      <c r="H55" s="15">
        <v>37.5</v>
      </c>
      <c r="I55" s="16">
        <v>37.5</v>
      </c>
      <c r="J55" s="16">
        <v>42.4</v>
      </c>
      <c r="K55" s="18">
        <f t="shared" si="24"/>
        <v>37.68888888888889</v>
      </c>
      <c r="L55" s="16">
        <f t="shared" si="25"/>
        <v>28.266666666666666</v>
      </c>
      <c r="M55" s="16">
        <f>J55*100/C55</f>
        <v>28.266666666666666</v>
      </c>
    </row>
    <row r="56" spans="1:13" ht="21" customHeight="1">
      <c r="A56" s="31" t="s">
        <v>12</v>
      </c>
      <c r="B56" s="24" t="s">
        <v>7</v>
      </c>
      <c r="C56" s="51"/>
      <c r="D56" s="51">
        <f t="shared" si="22"/>
        <v>2.9</v>
      </c>
      <c r="E56" s="38">
        <f t="shared" si="23"/>
        <v>2.9</v>
      </c>
      <c r="F56" s="51">
        <v>2.9</v>
      </c>
      <c r="G56" s="51"/>
      <c r="H56" s="15"/>
      <c r="I56" s="16"/>
      <c r="J56" s="16">
        <v>2.9</v>
      </c>
      <c r="K56" s="18">
        <f t="shared" si="24"/>
        <v>100</v>
      </c>
      <c r="L56" s="16">
        <f t="shared" si="25"/>
        <v>100</v>
      </c>
      <c r="M56" s="16"/>
    </row>
    <row r="57" spans="1:13" ht="14.25" customHeight="1">
      <c r="A57" s="70" t="s">
        <v>37</v>
      </c>
      <c r="B57" s="14" t="s">
        <v>38</v>
      </c>
      <c r="C57" s="51"/>
      <c r="D57" s="51">
        <f t="shared" si="22"/>
        <v>374.3</v>
      </c>
      <c r="E57" s="38">
        <f t="shared" si="23"/>
        <v>374.3</v>
      </c>
      <c r="F57" s="51"/>
      <c r="G57" s="51">
        <v>374.3</v>
      </c>
      <c r="H57" s="15"/>
      <c r="I57" s="16"/>
      <c r="J57" s="16">
        <v>377.6</v>
      </c>
      <c r="K57" s="18">
        <f t="shared" si="24"/>
        <v>100.88164573871227</v>
      </c>
      <c r="L57" s="16">
        <f t="shared" si="25"/>
        <v>100.88164573871227</v>
      </c>
      <c r="M57" s="16"/>
    </row>
    <row r="58" spans="1:13" ht="12.75">
      <c r="A58" s="68" t="s">
        <v>1</v>
      </c>
      <c r="B58" s="25" t="s">
        <v>0</v>
      </c>
      <c r="C58" s="26">
        <f>C59+C61+C60</f>
        <v>19897.1</v>
      </c>
      <c r="D58" s="26">
        <f>D59+D61+D60</f>
        <v>35891.4</v>
      </c>
      <c r="E58" s="26">
        <f aca="true" t="shared" si="26" ref="E58:J58">E59+E61+E60</f>
        <v>30915.5</v>
      </c>
      <c r="F58" s="26">
        <f t="shared" si="26"/>
        <v>10223.7</v>
      </c>
      <c r="G58" s="26">
        <f t="shared" si="26"/>
        <v>12359.8</v>
      </c>
      <c r="H58" s="26">
        <f t="shared" si="26"/>
        <v>8332</v>
      </c>
      <c r="I58" s="26">
        <f t="shared" si="26"/>
        <v>4975.9</v>
      </c>
      <c r="J58" s="26">
        <f t="shared" si="26"/>
        <v>15012.5</v>
      </c>
      <c r="K58" s="23">
        <f t="shared" si="24"/>
        <v>48.55978392715628</v>
      </c>
      <c r="L58" s="21">
        <f t="shared" si="25"/>
        <v>41.827568721197835</v>
      </c>
      <c r="M58" s="21">
        <f>J58*100/C58</f>
        <v>75.45069381970238</v>
      </c>
    </row>
    <row r="59" spans="1:13" ht="23.25" customHeight="1">
      <c r="A59" s="69" t="s">
        <v>52</v>
      </c>
      <c r="B59" s="27" t="s">
        <v>20</v>
      </c>
      <c r="C59" s="50">
        <v>19897.1</v>
      </c>
      <c r="D59" s="51">
        <f>F59+G59+H59+I59</f>
        <v>35891.4</v>
      </c>
      <c r="E59" s="38">
        <f t="shared" si="23"/>
        <v>30915.5</v>
      </c>
      <c r="F59" s="50">
        <v>10223.7</v>
      </c>
      <c r="G59" s="50">
        <v>12359.8</v>
      </c>
      <c r="H59" s="15">
        <v>8332</v>
      </c>
      <c r="I59" s="15">
        <v>4975.9</v>
      </c>
      <c r="J59" s="16">
        <v>15012.5</v>
      </c>
      <c r="K59" s="18">
        <f t="shared" si="24"/>
        <v>48.55978392715628</v>
      </c>
      <c r="L59" s="16">
        <f t="shared" si="25"/>
        <v>41.827568721197835</v>
      </c>
      <c r="M59" s="16">
        <f>J59*100/C59</f>
        <v>75.45069381970238</v>
      </c>
    </row>
    <row r="60" spans="1:13" ht="51" customHeight="1" hidden="1">
      <c r="A60" s="13" t="s">
        <v>59</v>
      </c>
      <c r="B60" s="14" t="s">
        <v>50</v>
      </c>
      <c r="C60" s="28"/>
      <c r="D60" s="51">
        <f>F60+G60+H60+I60</f>
        <v>0</v>
      </c>
      <c r="E60" s="38">
        <f>F60+G60+H60</f>
        <v>0</v>
      </c>
      <c r="F60" s="50"/>
      <c r="G60" s="50"/>
      <c r="H60" s="15"/>
      <c r="I60" s="60"/>
      <c r="J60" s="16"/>
      <c r="K60" s="18" t="e">
        <f t="shared" si="24"/>
        <v>#DIV/0!</v>
      </c>
      <c r="L60" s="16" t="e">
        <f t="shared" si="25"/>
        <v>#DIV/0!</v>
      </c>
      <c r="M60" s="16"/>
    </row>
    <row r="61" spans="1:13" ht="38.25" customHeight="1" hidden="1">
      <c r="A61" s="13" t="s">
        <v>51</v>
      </c>
      <c r="B61" s="17" t="s">
        <v>49</v>
      </c>
      <c r="C61" s="17"/>
      <c r="D61" s="51">
        <f t="shared" si="22"/>
        <v>0</v>
      </c>
      <c r="E61" s="51">
        <f>F61</f>
        <v>0</v>
      </c>
      <c r="F61" s="61"/>
      <c r="G61" s="61"/>
      <c r="H61" s="15"/>
      <c r="I61" s="60"/>
      <c r="J61" s="16"/>
      <c r="K61" s="18"/>
      <c r="L61" s="16"/>
      <c r="M61" s="16"/>
    </row>
    <row r="62" spans="1:13" ht="12.75">
      <c r="A62" s="12"/>
      <c r="B62" s="62" t="s">
        <v>4</v>
      </c>
      <c r="C62" s="63">
        <f aca="true" t="shared" si="27" ref="C62:J62">C58+C47</f>
        <v>42647.8</v>
      </c>
      <c r="D62" s="63">
        <f t="shared" si="27"/>
        <v>59590</v>
      </c>
      <c r="E62" s="63">
        <f t="shared" si="27"/>
        <v>47738.899999999994</v>
      </c>
      <c r="F62" s="63">
        <f t="shared" si="27"/>
        <v>15839.7</v>
      </c>
      <c r="G62" s="63">
        <f t="shared" si="27"/>
        <v>18519.1</v>
      </c>
      <c r="H62" s="63">
        <f t="shared" si="27"/>
        <v>13380.1</v>
      </c>
      <c r="I62" s="63">
        <f t="shared" si="27"/>
        <v>11851.099999999999</v>
      </c>
      <c r="J62" s="63">
        <f t="shared" si="27"/>
        <v>30813.9</v>
      </c>
      <c r="K62" s="23">
        <f>J62*100/E62</f>
        <v>64.54673232940014</v>
      </c>
      <c r="L62" s="21">
        <f>J62*100/D62</f>
        <v>51.709850646081556</v>
      </c>
      <c r="M62" s="21">
        <f>J62*100/C62</f>
        <v>72.25202706821922</v>
      </c>
    </row>
    <row r="63" spans="1:13" ht="12.75">
      <c r="A63" s="169"/>
      <c r="B63" s="170"/>
      <c r="C63" s="170"/>
      <c r="D63" s="170"/>
      <c r="E63" s="170"/>
      <c r="F63" s="170"/>
      <c r="G63" s="170"/>
      <c r="H63" s="170"/>
      <c r="I63" s="170"/>
      <c r="J63" s="170"/>
      <c r="K63" s="23"/>
      <c r="L63" s="21"/>
      <c r="M63" s="16"/>
    </row>
    <row r="64" spans="1:13" ht="12.75">
      <c r="A64" s="172" t="s">
        <v>25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4"/>
    </row>
    <row r="65" spans="1:13" ht="12.75">
      <c r="A65" s="68" t="s">
        <v>3</v>
      </c>
      <c r="B65" s="56" t="s">
        <v>53</v>
      </c>
      <c r="C65" s="52">
        <f aca="true" t="shared" si="28" ref="C65:I65">C66+C69+C71+C73+C70+C75+C74+C68+C72+C67</f>
        <v>43589.5</v>
      </c>
      <c r="D65" s="52">
        <f t="shared" si="28"/>
        <v>47139.5</v>
      </c>
      <c r="E65" s="52">
        <f t="shared" si="28"/>
        <v>33575.8</v>
      </c>
      <c r="F65" s="52">
        <f t="shared" si="28"/>
        <v>11825.300000000001</v>
      </c>
      <c r="G65" s="52">
        <f t="shared" si="28"/>
        <v>10445.3</v>
      </c>
      <c r="H65" s="52">
        <f t="shared" si="28"/>
        <v>11305.2</v>
      </c>
      <c r="I65" s="52">
        <f t="shared" si="28"/>
        <v>13563.699999999999</v>
      </c>
      <c r="J65" s="52">
        <f>J66+J69+J71+J73+J70+J75+J74+J68+J72+J67</f>
        <v>35951.700000000004</v>
      </c>
      <c r="K65" s="23">
        <f aca="true" t="shared" si="29" ref="K65:K73">J65*100/E65</f>
        <v>107.07622752101216</v>
      </c>
      <c r="L65" s="21">
        <f aca="true" t="shared" si="30" ref="L65:L71">J65*100/D65</f>
        <v>76.26661292546592</v>
      </c>
      <c r="M65" s="21">
        <f aca="true" t="shared" si="31" ref="M65:M71">J65*100/C65</f>
        <v>82.47789031762237</v>
      </c>
    </row>
    <row r="66" spans="1:14" ht="12.75">
      <c r="A66" s="29" t="s">
        <v>63</v>
      </c>
      <c r="B66" s="47" t="s">
        <v>64</v>
      </c>
      <c r="C66" s="38">
        <v>22000</v>
      </c>
      <c r="D66" s="51">
        <f>F66+G66+H66+I66</f>
        <v>22000</v>
      </c>
      <c r="E66" s="38">
        <f aca="true" t="shared" si="32" ref="E66:E78">F66+G66+H66</f>
        <v>16567.5</v>
      </c>
      <c r="F66" s="64">
        <v>5302.5</v>
      </c>
      <c r="G66" s="64">
        <v>5532.5</v>
      </c>
      <c r="H66" s="18">
        <v>5732.5</v>
      </c>
      <c r="I66" s="18">
        <v>5432.5</v>
      </c>
      <c r="J66" s="18">
        <v>18241.9</v>
      </c>
      <c r="K66" s="18">
        <f t="shared" si="29"/>
        <v>110.10653387656558</v>
      </c>
      <c r="L66" s="16">
        <f t="shared" si="30"/>
        <v>82.91772727272728</v>
      </c>
      <c r="M66" s="16">
        <f t="shared" si="31"/>
        <v>82.91772727272728</v>
      </c>
      <c r="N66" s="2"/>
    </row>
    <row r="67" spans="1:13" ht="23.25" customHeight="1">
      <c r="A67" s="29" t="s">
        <v>62</v>
      </c>
      <c r="B67" s="24" t="s">
        <v>61</v>
      </c>
      <c r="C67" s="51">
        <v>7209.5</v>
      </c>
      <c r="D67" s="51">
        <f>F67+G67+H67+I67</f>
        <v>7209.500000000001</v>
      </c>
      <c r="E67" s="38">
        <f t="shared" si="32"/>
        <v>5417.200000000001</v>
      </c>
      <c r="F67" s="64">
        <v>1792.4</v>
      </c>
      <c r="G67" s="64">
        <v>1832.4</v>
      </c>
      <c r="H67" s="18">
        <v>1792.4</v>
      </c>
      <c r="I67" s="18">
        <v>1792.3</v>
      </c>
      <c r="J67" s="18">
        <v>5833.7</v>
      </c>
      <c r="K67" s="18">
        <f t="shared" si="29"/>
        <v>107.68847375027688</v>
      </c>
      <c r="L67" s="16">
        <f t="shared" si="30"/>
        <v>80.91684582842082</v>
      </c>
      <c r="M67" s="16">
        <f t="shared" si="31"/>
        <v>80.91684582842083</v>
      </c>
    </row>
    <row r="68" spans="1:13" ht="12.75">
      <c r="A68" s="29" t="s">
        <v>8</v>
      </c>
      <c r="B68" s="24" t="s">
        <v>5</v>
      </c>
      <c r="C68" s="51">
        <v>45</v>
      </c>
      <c r="D68" s="51">
        <f aca="true" t="shared" si="33" ref="D68:D78">F68+G68+H68+I68</f>
        <v>45</v>
      </c>
      <c r="E68" s="38">
        <f t="shared" si="32"/>
        <v>33.7</v>
      </c>
      <c r="F68" s="50">
        <v>11.2</v>
      </c>
      <c r="G68" s="50">
        <v>11.3</v>
      </c>
      <c r="H68" s="15">
        <v>11.2</v>
      </c>
      <c r="I68" s="15">
        <v>11.3</v>
      </c>
      <c r="J68" s="15">
        <v>17.2</v>
      </c>
      <c r="K68" s="18">
        <f t="shared" si="29"/>
        <v>51.038575667655785</v>
      </c>
      <c r="L68" s="16">
        <f t="shared" si="30"/>
        <v>38.22222222222222</v>
      </c>
      <c r="M68" s="16">
        <f t="shared" si="31"/>
        <v>38.22222222222222</v>
      </c>
    </row>
    <row r="69" spans="1:13" ht="12.75">
      <c r="A69" s="29" t="s">
        <v>9</v>
      </c>
      <c r="B69" s="24" t="s">
        <v>6</v>
      </c>
      <c r="C69" s="51">
        <v>8160</v>
      </c>
      <c r="D69" s="51">
        <f t="shared" si="33"/>
        <v>10760</v>
      </c>
      <c r="E69" s="38">
        <f t="shared" si="32"/>
        <v>5975</v>
      </c>
      <c r="F69" s="50">
        <v>3175</v>
      </c>
      <c r="G69" s="50">
        <v>575</v>
      </c>
      <c r="H69" s="15">
        <v>2225</v>
      </c>
      <c r="I69" s="15">
        <v>4785</v>
      </c>
      <c r="J69" s="15">
        <v>5831.2</v>
      </c>
      <c r="K69" s="18">
        <f t="shared" si="29"/>
        <v>97.59330543933055</v>
      </c>
      <c r="L69" s="16">
        <f t="shared" si="30"/>
        <v>54.193308550185876</v>
      </c>
      <c r="M69" s="16">
        <f t="shared" si="31"/>
        <v>71.46078431372548</v>
      </c>
    </row>
    <row r="70" spans="1:13" ht="18.75" customHeight="1">
      <c r="A70" s="29" t="s">
        <v>10</v>
      </c>
      <c r="B70" s="24" t="s">
        <v>21</v>
      </c>
      <c r="C70" s="51">
        <v>56.4</v>
      </c>
      <c r="D70" s="51">
        <f t="shared" si="33"/>
        <v>56.4</v>
      </c>
      <c r="E70" s="38">
        <f t="shared" si="32"/>
        <v>42.3</v>
      </c>
      <c r="F70" s="50">
        <v>14.1</v>
      </c>
      <c r="G70" s="50">
        <v>14.1</v>
      </c>
      <c r="H70" s="15">
        <v>14.1</v>
      </c>
      <c r="I70" s="15">
        <v>14.1</v>
      </c>
      <c r="J70" s="15">
        <v>40</v>
      </c>
      <c r="K70" s="18">
        <f t="shared" si="29"/>
        <v>94.56264775413712</v>
      </c>
      <c r="L70" s="16">
        <f t="shared" si="30"/>
        <v>70.92198581560284</v>
      </c>
      <c r="M70" s="16">
        <f t="shared" si="31"/>
        <v>70.92198581560284</v>
      </c>
    </row>
    <row r="71" spans="1:13" ht="23.25" customHeight="1">
      <c r="A71" s="33" t="s">
        <v>11</v>
      </c>
      <c r="B71" s="24" t="s">
        <v>17</v>
      </c>
      <c r="C71" s="51">
        <v>5938.6</v>
      </c>
      <c r="D71" s="51">
        <f t="shared" si="33"/>
        <v>6838.6</v>
      </c>
      <c r="E71" s="38">
        <f t="shared" si="32"/>
        <v>5355.1</v>
      </c>
      <c r="F71" s="50">
        <v>1485.1</v>
      </c>
      <c r="G71" s="50">
        <v>2385</v>
      </c>
      <c r="H71" s="15">
        <v>1485</v>
      </c>
      <c r="I71" s="15">
        <v>1483.5</v>
      </c>
      <c r="J71" s="15">
        <v>5645.5</v>
      </c>
      <c r="K71" s="18">
        <f t="shared" si="29"/>
        <v>105.42286792030026</v>
      </c>
      <c r="L71" s="16">
        <f t="shared" si="30"/>
        <v>82.55344661187962</v>
      </c>
      <c r="M71" s="16">
        <f t="shared" si="31"/>
        <v>95.0644933149227</v>
      </c>
    </row>
    <row r="72" spans="1:13" ht="27" customHeight="1">
      <c r="A72" s="35" t="s">
        <v>40</v>
      </c>
      <c r="B72" s="24" t="s">
        <v>41</v>
      </c>
      <c r="C72" s="51"/>
      <c r="D72" s="51">
        <f t="shared" si="33"/>
        <v>0</v>
      </c>
      <c r="E72" s="38">
        <f t="shared" si="32"/>
        <v>0</v>
      </c>
      <c r="F72" s="50"/>
      <c r="G72" s="50"/>
      <c r="H72" s="15"/>
      <c r="I72" s="15"/>
      <c r="J72" s="15">
        <v>18.8</v>
      </c>
      <c r="K72" s="18"/>
      <c r="L72" s="16"/>
      <c r="M72" s="16"/>
    </row>
    <row r="73" spans="1:13" ht="24">
      <c r="A73" s="34" t="s">
        <v>18</v>
      </c>
      <c r="B73" s="24" t="s">
        <v>15</v>
      </c>
      <c r="C73" s="51">
        <v>180</v>
      </c>
      <c r="D73" s="51">
        <f t="shared" si="33"/>
        <v>230</v>
      </c>
      <c r="E73" s="38">
        <f t="shared" si="32"/>
        <v>185</v>
      </c>
      <c r="F73" s="50">
        <v>45</v>
      </c>
      <c r="G73" s="50">
        <v>95</v>
      </c>
      <c r="H73" s="15">
        <v>45</v>
      </c>
      <c r="I73" s="15">
        <v>45</v>
      </c>
      <c r="J73" s="15">
        <v>239.9</v>
      </c>
      <c r="K73" s="18">
        <f t="shared" si="29"/>
        <v>129.67567567567568</v>
      </c>
      <c r="L73" s="16">
        <f>J73*100/D73</f>
        <v>104.30434782608695</v>
      </c>
      <c r="M73" s="16">
        <f>J73*100/C73</f>
        <v>133.27777777777777</v>
      </c>
    </row>
    <row r="74" spans="1:13" ht="18" customHeight="1">
      <c r="A74" s="31" t="s">
        <v>12</v>
      </c>
      <c r="B74" s="24" t="s">
        <v>7</v>
      </c>
      <c r="C74" s="51"/>
      <c r="D74" s="51">
        <f t="shared" si="33"/>
        <v>0</v>
      </c>
      <c r="E74" s="38">
        <f t="shared" si="32"/>
        <v>0</v>
      </c>
      <c r="F74" s="50"/>
      <c r="G74" s="50"/>
      <c r="H74" s="15"/>
      <c r="I74" s="15"/>
      <c r="J74" s="15">
        <v>15.1</v>
      </c>
      <c r="K74" s="18"/>
      <c r="L74" s="16"/>
      <c r="M74" s="16"/>
    </row>
    <row r="75" spans="1:13" ht="16.5" customHeight="1">
      <c r="A75" s="69" t="s">
        <v>37</v>
      </c>
      <c r="B75" s="14" t="s">
        <v>38</v>
      </c>
      <c r="C75" s="51"/>
      <c r="D75" s="51">
        <f t="shared" si="33"/>
        <v>0</v>
      </c>
      <c r="E75" s="38">
        <f t="shared" si="32"/>
        <v>0</v>
      </c>
      <c r="F75" s="50"/>
      <c r="G75" s="50"/>
      <c r="H75" s="15"/>
      <c r="I75" s="15"/>
      <c r="J75" s="15">
        <v>68.4</v>
      </c>
      <c r="K75" s="18"/>
      <c r="L75" s="16"/>
      <c r="M75" s="16"/>
    </row>
    <row r="76" spans="1:13" ht="12.75">
      <c r="A76" s="30" t="s">
        <v>1</v>
      </c>
      <c r="B76" s="25" t="s">
        <v>0</v>
      </c>
      <c r="C76" s="26">
        <f aca="true" t="shared" si="34" ref="C76:J76">C77+C78</f>
        <v>38231.5</v>
      </c>
      <c r="D76" s="26">
        <f t="shared" si="34"/>
        <v>61068.5</v>
      </c>
      <c r="E76" s="26">
        <f t="shared" si="34"/>
        <v>50972.1</v>
      </c>
      <c r="F76" s="26">
        <f t="shared" si="34"/>
        <v>9338.8</v>
      </c>
      <c r="G76" s="26">
        <f t="shared" si="34"/>
        <v>28960.2</v>
      </c>
      <c r="H76" s="26">
        <f t="shared" si="34"/>
        <v>12673.1</v>
      </c>
      <c r="I76" s="26">
        <f t="shared" si="34"/>
        <v>10096.4</v>
      </c>
      <c r="J76" s="26">
        <f t="shared" si="34"/>
        <v>45050.3</v>
      </c>
      <c r="K76" s="23">
        <f>J76*100/E76</f>
        <v>88.38227187029767</v>
      </c>
      <c r="L76" s="21">
        <f>J76*100/D76</f>
        <v>73.77011061349141</v>
      </c>
      <c r="M76" s="21">
        <f>J76*100/C76</f>
        <v>117.83555445117246</v>
      </c>
    </row>
    <row r="77" spans="1:13" ht="24">
      <c r="A77" s="69" t="s">
        <v>52</v>
      </c>
      <c r="B77" s="27" t="s">
        <v>20</v>
      </c>
      <c r="C77" s="50">
        <v>38231.5</v>
      </c>
      <c r="D77" s="51">
        <f t="shared" si="33"/>
        <v>60978.5</v>
      </c>
      <c r="E77" s="38">
        <f t="shared" si="32"/>
        <v>50882.1</v>
      </c>
      <c r="F77" s="50">
        <v>9338.8</v>
      </c>
      <c r="G77" s="50">
        <v>28940.2</v>
      </c>
      <c r="H77" s="15">
        <v>12603.1</v>
      </c>
      <c r="I77" s="16">
        <v>10096.4</v>
      </c>
      <c r="J77" s="16">
        <v>44960.3</v>
      </c>
      <c r="K77" s="18">
        <f>J77*100/E77</f>
        <v>88.36172249179967</v>
      </c>
      <c r="L77" s="16">
        <f>J77*100/D77</f>
        <v>73.73139713177595</v>
      </c>
      <c r="M77" s="16">
        <f>J77*100/C77</f>
        <v>117.60014647607339</v>
      </c>
    </row>
    <row r="78" spans="1:13" ht="18.75" customHeight="1">
      <c r="A78" s="69" t="s">
        <v>60</v>
      </c>
      <c r="B78" s="28" t="s">
        <v>19</v>
      </c>
      <c r="C78" s="54"/>
      <c r="D78" s="51">
        <f t="shared" si="33"/>
        <v>90</v>
      </c>
      <c r="E78" s="38">
        <f t="shared" si="32"/>
        <v>90</v>
      </c>
      <c r="F78" s="61"/>
      <c r="G78" s="61">
        <v>20</v>
      </c>
      <c r="H78" s="15">
        <v>70</v>
      </c>
      <c r="I78" s="16"/>
      <c r="J78" s="16">
        <v>90</v>
      </c>
      <c r="K78" s="18"/>
      <c r="L78" s="16"/>
      <c r="M78" s="16"/>
    </row>
    <row r="79" spans="1:13" ht="12.75">
      <c r="A79" s="19"/>
      <c r="B79" s="20" t="s">
        <v>4</v>
      </c>
      <c r="C79" s="21">
        <f aca="true" t="shared" si="35" ref="C79:I79">C76+C65</f>
        <v>81821</v>
      </c>
      <c r="D79" s="21">
        <f t="shared" si="35"/>
        <v>108208</v>
      </c>
      <c r="E79" s="21">
        <f t="shared" si="35"/>
        <v>84547.9</v>
      </c>
      <c r="F79" s="21">
        <f t="shared" si="35"/>
        <v>21164.1</v>
      </c>
      <c r="G79" s="21">
        <f t="shared" si="35"/>
        <v>39405.5</v>
      </c>
      <c r="H79" s="21">
        <f t="shared" si="35"/>
        <v>23978.300000000003</v>
      </c>
      <c r="I79" s="21">
        <f t="shared" si="35"/>
        <v>23660.1</v>
      </c>
      <c r="J79" s="21">
        <f>J76+J65-0.1</f>
        <v>81001.9</v>
      </c>
      <c r="K79" s="23">
        <f>J79*100/E79</f>
        <v>95.80592776402489</v>
      </c>
      <c r="L79" s="21">
        <f>J79*100/D79</f>
        <v>74.85758908768297</v>
      </c>
      <c r="M79" s="21">
        <f>J79*100/C79</f>
        <v>98.99891225968882</v>
      </c>
    </row>
    <row r="80" spans="1:13" ht="12.75">
      <c r="A80" s="169"/>
      <c r="B80" s="170"/>
      <c r="C80" s="170"/>
      <c r="D80" s="170"/>
      <c r="E80" s="170"/>
      <c r="F80" s="170"/>
      <c r="G80" s="170"/>
      <c r="H80" s="170"/>
      <c r="I80" s="170"/>
      <c r="J80" s="170"/>
      <c r="K80" s="23"/>
      <c r="L80" s="21"/>
      <c r="M80" s="16"/>
    </row>
    <row r="81" spans="1:13" ht="12.75">
      <c r="A81" s="172" t="s">
        <v>26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4"/>
    </row>
    <row r="82" spans="1:13" ht="12.75">
      <c r="A82" s="30" t="s">
        <v>3</v>
      </c>
      <c r="B82" s="22" t="s">
        <v>53</v>
      </c>
      <c r="C82" s="23">
        <f aca="true" t="shared" si="36" ref="C82:I82">C83+C85+C86+C87+C88+C89+C90+C91+C92+C84</f>
        <v>37495.899999999994</v>
      </c>
      <c r="D82" s="23">
        <f t="shared" si="36"/>
        <v>39142.09999999999</v>
      </c>
      <c r="E82" s="23">
        <f t="shared" si="36"/>
        <v>29356.2</v>
      </c>
      <c r="F82" s="23">
        <f t="shared" si="36"/>
        <v>11089.9</v>
      </c>
      <c r="G82" s="23">
        <f t="shared" si="36"/>
        <v>9190.9</v>
      </c>
      <c r="H82" s="23">
        <f t="shared" si="36"/>
        <v>9075.4</v>
      </c>
      <c r="I82" s="23">
        <f t="shared" si="36"/>
        <v>9785.9</v>
      </c>
      <c r="J82" s="23">
        <f>J83+J85+J86+J87+J88+J89+J90+J91+J92+J84</f>
        <v>24463.899999999998</v>
      </c>
      <c r="K82" s="23">
        <f aca="true" t="shared" si="37" ref="K82:K88">J82*100/E82</f>
        <v>83.33469590750846</v>
      </c>
      <c r="L82" s="21">
        <f aca="true" t="shared" si="38" ref="L82:L88">J82*100/D82</f>
        <v>62.50022354447003</v>
      </c>
      <c r="M82" s="21">
        <f aca="true" t="shared" si="39" ref="M82:M88">J82*100/C82</f>
        <v>65.2442000325369</v>
      </c>
    </row>
    <row r="83" spans="1:14" ht="13.5" customHeight="1">
      <c r="A83" s="29" t="s">
        <v>63</v>
      </c>
      <c r="B83" s="47" t="s">
        <v>64</v>
      </c>
      <c r="C83" s="51">
        <v>25000</v>
      </c>
      <c r="D83" s="51">
        <f>F83+G83+H83+I83</f>
        <v>25000</v>
      </c>
      <c r="E83" s="38">
        <f aca="true" t="shared" si="40" ref="E83:E95">F83+G83+H83</f>
        <v>19500</v>
      </c>
      <c r="F83" s="50">
        <v>8250</v>
      </c>
      <c r="G83" s="50">
        <v>5750</v>
      </c>
      <c r="H83" s="15">
        <v>5500</v>
      </c>
      <c r="I83" s="15">
        <v>5500</v>
      </c>
      <c r="J83" s="16">
        <v>13590.2</v>
      </c>
      <c r="K83" s="18">
        <f t="shared" si="37"/>
        <v>69.69333333333333</v>
      </c>
      <c r="L83" s="16">
        <f t="shared" si="38"/>
        <v>54.3608</v>
      </c>
      <c r="M83" s="16">
        <f t="shared" si="39"/>
        <v>54.3608</v>
      </c>
      <c r="N83" s="2"/>
    </row>
    <row r="84" spans="1:13" ht="24.75" customHeight="1">
      <c r="A84" s="29" t="s">
        <v>62</v>
      </c>
      <c r="B84" s="24" t="s">
        <v>61</v>
      </c>
      <c r="C84" s="51">
        <v>4634.7</v>
      </c>
      <c r="D84" s="51">
        <f>F84+G84+H84+I84</f>
        <v>5016.5</v>
      </c>
      <c r="E84" s="38">
        <f t="shared" si="40"/>
        <v>3957.1</v>
      </c>
      <c r="F84" s="50">
        <v>1199</v>
      </c>
      <c r="G84" s="50">
        <v>1338.6</v>
      </c>
      <c r="H84" s="15">
        <v>1419.5</v>
      </c>
      <c r="I84" s="15">
        <v>1059.4</v>
      </c>
      <c r="J84" s="16">
        <v>3750.2</v>
      </c>
      <c r="K84" s="18">
        <f t="shared" si="37"/>
        <v>94.77142351722222</v>
      </c>
      <c r="L84" s="16">
        <f t="shared" si="38"/>
        <v>74.75730090700688</v>
      </c>
      <c r="M84" s="16">
        <f t="shared" si="39"/>
        <v>80.91570112412886</v>
      </c>
    </row>
    <row r="85" spans="1:13" ht="15" customHeight="1" hidden="1">
      <c r="A85" s="29" t="s">
        <v>8</v>
      </c>
      <c r="B85" s="24" t="s">
        <v>5</v>
      </c>
      <c r="C85" s="51"/>
      <c r="D85" s="51">
        <f aca="true" t="shared" si="41" ref="D85:D92">F85+G85+H85+I85</f>
        <v>0</v>
      </c>
      <c r="E85" s="38">
        <f t="shared" si="40"/>
        <v>0</v>
      </c>
      <c r="F85" s="50"/>
      <c r="G85" s="50"/>
      <c r="H85" s="15"/>
      <c r="I85" s="15"/>
      <c r="J85" s="16"/>
      <c r="K85" s="18" t="e">
        <f t="shared" si="37"/>
        <v>#DIV/0!</v>
      </c>
      <c r="L85" s="16" t="e">
        <f t="shared" si="38"/>
        <v>#DIV/0!</v>
      </c>
      <c r="M85" s="16" t="e">
        <f t="shared" si="39"/>
        <v>#DIV/0!</v>
      </c>
    </row>
    <row r="86" spans="1:13" ht="12.75">
      <c r="A86" s="29" t="s">
        <v>9</v>
      </c>
      <c r="B86" s="24" t="s">
        <v>6</v>
      </c>
      <c r="C86" s="51">
        <v>2670</v>
      </c>
      <c r="D86" s="51">
        <f t="shared" si="41"/>
        <v>2670</v>
      </c>
      <c r="E86" s="38">
        <f t="shared" si="40"/>
        <v>1108.5</v>
      </c>
      <c r="F86" s="50">
        <v>339</v>
      </c>
      <c r="G86" s="50">
        <v>287</v>
      </c>
      <c r="H86" s="15">
        <v>482.5</v>
      </c>
      <c r="I86" s="15">
        <v>1561.5</v>
      </c>
      <c r="J86" s="16">
        <v>1359.8</v>
      </c>
      <c r="K86" s="18">
        <f t="shared" si="37"/>
        <v>122.67027514659449</v>
      </c>
      <c r="L86" s="16">
        <f t="shared" si="38"/>
        <v>50.92883895131086</v>
      </c>
      <c r="M86" s="16">
        <f t="shared" si="39"/>
        <v>50.92883895131086</v>
      </c>
    </row>
    <row r="87" spans="1:13" ht="12.75" hidden="1">
      <c r="A87" s="29" t="s">
        <v>10</v>
      </c>
      <c r="B87" s="24" t="s">
        <v>21</v>
      </c>
      <c r="C87" s="51"/>
      <c r="D87" s="51">
        <f t="shared" si="41"/>
        <v>0</v>
      </c>
      <c r="E87" s="38">
        <f t="shared" si="40"/>
        <v>0</v>
      </c>
      <c r="F87" s="50"/>
      <c r="G87" s="50"/>
      <c r="H87" s="15"/>
      <c r="I87" s="15"/>
      <c r="J87" s="16"/>
      <c r="K87" s="18" t="e">
        <f t="shared" si="37"/>
        <v>#DIV/0!</v>
      </c>
      <c r="L87" s="16" t="e">
        <f t="shared" si="38"/>
        <v>#DIV/0!</v>
      </c>
      <c r="M87" s="16" t="e">
        <f t="shared" si="39"/>
        <v>#DIV/0!</v>
      </c>
    </row>
    <row r="88" spans="1:13" ht="26.25" customHeight="1">
      <c r="A88" s="33" t="s">
        <v>11</v>
      </c>
      <c r="B88" s="24" t="s">
        <v>17</v>
      </c>
      <c r="C88" s="51">
        <v>5159.7</v>
      </c>
      <c r="D88" s="51">
        <f t="shared" si="41"/>
        <v>6159.700000000001</v>
      </c>
      <c r="E88" s="38">
        <f t="shared" si="40"/>
        <v>4494.700000000001</v>
      </c>
      <c r="F88" s="50">
        <v>1289.9</v>
      </c>
      <c r="G88" s="50">
        <v>1539.9</v>
      </c>
      <c r="H88" s="15">
        <v>1664.9</v>
      </c>
      <c r="I88" s="15">
        <v>1665</v>
      </c>
      <c r="J88" s="16">
        <v>5458.6</v>
      </c>
      <c r="K88" s="18">
        <f t="shared" si="37"/>
        <v>121.44525774801431</v>
      </c>
      <c r="L88" s="16">
        <f t="shared" si="38"/>
        <v>88.61795217299543</v>
      </c>
      <c r="M88" s="16">
        <f t="shared" si="39"/>
        <v>105.79297245963913</v>
      </c>
    </row>
    <row r="89" spans="1:13" ht="23.25" customHeight="1">
      <c r="A89" s="35" t="s">
        <v>40</v>
      </c>
      <c r="B89" s="24" t="s">
        <v>41</v>
      </c>
      <c r="C89" s="51"/>
      <c r="D89" s="51">
        <f t="shared" si="41"/>
        <v>207.2</v>
      </c>
      <c r="E89" s="38">
        <f t="shared" si="40"/>
        <v>207.2</v>
      </c>
      <c r="F89" s="50"/>
      <c r="G89" s="50">
        <v>207.2</v>
      </c>
      <c r="H89" s="15"/>
      <c r="I89" s="15"/>
      <c r="J89" s="16">
        <v>207.2</v>
      </c>
      <c r="K89" s="18">
        <f>J89*100/E89</f>
        <v>100</v>
      </c>
      <c r="L89" s="16">
        <f>J89*100/D89</f>
        <v>100</v>
      </c>
      <c r="M89" s="16"/>
    </row>
    <row r="90" spans="1:13" ht="24">
      <c r="A90" s="34" t="s">
        <v>18</v>
      </c>
      <c r="B90" s="24" t="s">
        <v>15</v>
      </c>
      <c r="C90" s="51">
        <v>31.5</v>
      </c>
      <c r="D90" s="51">
        <f t="shared" si="41"/>
        <v>83.7</v>
      </c>
      <c r="E90" s="38">
        <f t="shared" si="40"/>
        <v>83.7</v>
      </c>
      <c r="F90" s="50">
        <v>12</v>
      </c>
      <c r="G90" s="50">
        <v>63.2</v>
      </c>
      <c r="H90" s="15">
        <v>8.5</v>
      </c>
      <c r="I90" s="15"/>
      <c r="J90" s="16">
        <v>93.6</v>
      </c>
      <c r="K90" s="18">
        <f>J90*100/E90</f>
        <v>111.82795698924731</v>
      </c>
      <c r="L90" s="16">
        <f>J90*100/D90</f>
        <v>111.82795698924731</v>
      </c>
      <c r="M90" s="16">
        <f>J90*100/C90</f>
        <v>297.14285714285717</v>
      </c>
    </row>
    <row r="91" spans="1:13" ht="15.75" customHeight="1">
      <c r="A91" s="31" t="s">
        <v>12</v>
      </c>
      <c r="B91" s="24" t="s">
        <v>7</v>
      </c>
      <c r="C91" s="51"/>
      <c r="D91" s="51">
        <f t="shared" si="41"/>
        <v>5</v>
      </c>
      <c r="E91" s="38">
        <f t="shared" si="40"/>
        <v>5</v>
      </c>
      <c r="F91" s="50"/>
      <c r="G91" s="50">
        <v>5</v>
      </c>
      <c r="H91" s="15"/>
      <c r="I91" s="15"/>
      <c r="J91" s="16">
        <v>5</v>
      </c>
      <c r="K91" s="18">
        <f>J91*100/E91</f>
        <v>100</v>
      </c>
      <c r="L91" s="16">
        <f>J91*100/D91</f>
        <v>100</v>
      </c>
      <c r="M91" s="16"/>
    </row>
    <row r="92" spans="1:13" ht="12.75">
      <c r="A92" s="69" t="s">
        <v>37</v>
      </c>
      <c r="B92" s="14" t="s">
        <v>38</v>
      </c>
      <c r="C92" s="51"/>
      <c r="D92" s="51">
        <f t="shared" si="41"/>
        <v>0</v>
      </c>
      <c r="E92" s="38">
        <f t="shared" si="40"/>
        <v>0</v>
      </c>
      <c r="F92" s="50"/>
      <c r="G92" s="50"/>
      <c r="H92" s="15"/>
      <c r="I92" s="15"/>
      <c r="J92" s="16">
        <v>-0.7</v>
      </c>
      <c r="K92" s="18"/>
      <c r="L92" s="16"/>
      <c r="M92" s="16"/>
    </row>
    <row r="93" spans="1:13" ht="12.75" hidden="1">
      <c r="A93" s="69" t="s">
        <v>42</v>
      </c>
      <c r="B93" s="14" t="s">
        <v>43</v>
      </c>
      <c r="C93" s="59"/>
      <c r="D93" s="14"/>
      <c r="E93" s="38" t="e">
        <f t="shared" si="40"/>
        <v>#REF!</v>
      </c>
      <c r="F93" s="50"/>
      <c r="G93" s="50"/>
      <c r="H93" s="15" t="e">
        <f>I93+#REF!+#REF!+#REF!</f>
        <v>#REF!</v>
      </c>
      <c r="I93" s="15"/>
      <c r="J93" s="16"/>
      <c r="K93" s="23" t="e">
        <f>J93*100/E93</f>
        <v>#REF!</v>
      </c>
      <c r="L93" s="21" t="e">
        <f>J93*100/D93</f>
        <v>#DIV/0!</v>
      </c>
      <c r="M93" s="16" t="e">
        <f>J93*100/C93</f>
        <v>#DIV/0!</v>
      </c>
    </row>
    <row r="94" spans="1:13" ht="12.75">
      <c r="A94" s="30" t="s">
        <v>1</v>
      </c>
      <c r="B94" s="25" t="s">
        <v>0</v>
      </c>
      <c r="C94" s="26">
        <f aca="true" t="shared" si="42" ref="C94:J94">C95+C96</f>
        <v>53397.2</v>
      </c>
      <c r="D94" s="26">
        <f t="shared" si="42"/>
        <v>87023.8</v>
      </c>
      <c r="E94" s="65">
        <f t="shared" si="42"/>
        <v>76737.6</v>
      </c>
      <c r="F94" s="26">
        <f t="shared" si="42"/>
        <v>13451.2</v>
      </c>
      <c r="G94" s="26">
        <f t="shared" si="42"/>
        <v>34802</v>
      </c>
      <c r="H94" s="26">
        <f t="shared" si="42"/>
        <v>28484.4</v>
      </c>
      <c r="I94" s="26">
        <f t="shared" si="42"/>
        <v>10286.2</v>
      </c>
      <c r="J94" s="26">
        <f t="shared" si="42"/>
        <v>67599.5</v>
      </c>
      <c r="K94" s="23">
        <f>J94*100/E94</f>
        <v>88.09175684410249</v>
      </c>
      <c r="L94" s="21">
        <f>J94*100/D94</f>
        <v>77.67932450662921</v>
      </c>
      <c r="M94" s="21">
        <f>J94*100/C94</f>
        <v>126.59746203920805</v>
      </c>
    </row>
    <row r="95" spans="1:13" ht="24">
      <c r="A95" s="69" t="s">
        <v>52</v>
      </c>
      <c r="B95" s="27" t="s">
        <v>20</v>
      </c>
      <c r="C95" s="50">
        <v>53397.2</v>
      </c>
      <c r="D95" s="51">
        <f>F95+G95+H95+I95</f>
        <v>87023.8</v>
      </c>
      <c r="E95" s="38">
        <f t="shared" si="40"/>
        <v>76737.6</v>
      </c>
      <c r="F95" s="50">
        <v>13451.2</v>
      </c>
      <c r="G95" s="50">
        <v>34802</v>
      </c>
      <c r="H95" s="15">
        <v>28484.4</v>
      </c>
      <c r="I95" s="15">
        <v>10286.2</v>
      </c>
      <c r="J95" s="16">
        <v>67599.5</v>
      </c>
      <c r="K95" s="18">
        <f>J95*100/E95</f>
        <v>88.09175684410249</v>
      </c>
      <c r="L95" s="16">
        <f>J95*100/D95</f>
        <v>77.67932450662921</v>
      </c>
      <c r="M95" s="16">
        <f>J95*100/C95</f>
        <v>126.59746203920805</v>
      </c>
    </row>
    <row r="96" spans="1:13" ht="12.75" hidden="1">
      <c r="A96" s="13" t="s">
        <v>60</v>
      </c>
      <c r="B96" s="28" t="s">
        <v>19</v>
      </c>
      <c r="C96" s="54"/>
      <c r="D96" s="51">
        <f>F96+G96+H96+I96</f>
        <v>0</v>
      </c>
      <c r="E96" s="38">
        <f>F96</f>
        <v>0</v>
      </c>
      <c r="F96" s="55"/>
      <c r="G96" s="55"/>
      <c r="H96" s="15"/>
      <c r="I96" s="15"/>
      <c r="J96" s="16"/>
      <c r="K96" s="18" t="e">
        <f>J96*100/E96</f>
        <v>#DIV/0!</v>
      </c>
      <c r="L96" s="16" t="e">
        <f>J96*100/D96</f>
        <v>#DIV/0!</v>
      </c>
      <c r="M96" s="16"/>
    </row>
    <row r="97" spans="1:13" ht="12.75">
      <c r="A97" s="19"/>
      <c r="B97" s="20" t="s">
        <v>4</v>
      </c>
      <c r="C97" s="21">
        <f aca="true" t="shared" si="43" ref="C97:J97">C94+C82</f>
        <v>90893.09999999999</v>
      </c>
      <c r="D97" s="21">
        <f t="shared" si="43"/>
        <v>126165.9</v>
      </c>
      <c r="E97" s="21">
        <f t="shared" si="43"/>
        <v>106093.8</v>
      </c>
      <c r="F97" s="21">
        <f t="shared" si="43"/>
        <v>24541.1</v>
      </c>
      <c r="G97" s="21">
        <f t="shared" si="43"/>
        <v>43992.9</v>
      </c>
      <c r="H97" s="21">
        <f t="shared" si="43"/>
        <v>37559.8</v>
      </c>
      <c r="I97" s="21">
        <f t="shared" si="43"/>
        <v>20072.1</v>
      </c>
      <c r="J97" s="21">
        <f t="shared" si="43"/>
        <v>92063.4</v>
      </c>
      <c r="K97" s="23">
        <f>J97*100/E97</f>
        <v>86.77547604101277</v>
      </c>
      <c r="L97" s="21">
        <f>J97*100/D97</f>
        <v>72.97011316052911</v>
      </c>
      <c r="M97" s="21">
        <f>J97*100/C97</f>
        <v>101.28755648118505</v>
      </c>
    </row>
    <row r="98" spans="1:13" ht="12.75">
      <c r="A98" s="169"/>
      <c r="B98" s="170"/>
      <c r="C98" s="170"/>
      <c r="D98" s="170"/>
      <c r="E98" s="170"/>
      <c r="F98" s="170"/>
      <c r="G98" s="170"/>
      <c r="H98" s="170"/>
      <c r="I98" s="170"/>
      <c r="J98" s="170"/>
      <c r="K98" s="23"/>
      <c r="L98" s="21"/>
      <c r="M98" s="16"/>
    </row>
    <row r="99" spans="1:13" ht="12.75">
      <c r="A99" s="172" t="s">
        <v>27</v>
      </c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4"/>
    </row>
    <row r="100" spans="1:13" ht="12.75">
      <c r="A100" s="30" t="s">
        <v>3</v>
      </c>
      <c r="B100" s="22" t="s">
        <v>53</v>
      </c>
      <c r="C100" s="23">
        <f aca="true" t="shared" si="44" ref="C100:I100">C101+C104+C108+C105+C106+C109+C107+C103+C102</f>
        <v>3174.8</v>
      </c>
      <c r="D100" s="23">
        <f t="shared" si="44"/>
        <v>3174.8</v>
      </c>
      <c r="E100" s="23">
        <f t="shared" si="44"/>
        <v>2379</v>
      </c>
      <c r="F100" s="23">
        <f t="shared" si="44"/>
        <v>787.9000000000001</v>
      </c>
      <c r="G100" s="23">
        <f t="shared" si="44"/>
        <v>795.5</v>
      </c>
      <c r="H100" s="23">
        <f t="shared" si="44"/>
        <v>795.5999999999999</v>
      </c>
      <c r="I100" s="23">
        <f t="shared" si="44"/>
        <v>795.8</v>
      </c>
      <c r="J100" s="23">
        <f>J101+J104+J108+J105+J106+J109+J107+J103+J102</f>
        <v>2188.2</v>
      </c>
      <c r="K100" s="23">
        <f aca="true" t="shared" si="45" ref="K100:K106">J100*100/E100</f>
        <v>91.97982345523327</v>
      </c>
      <c r="L100" s="21">
        <f aca="true" t="shared" si="46" ref="L100:L106">J100*100/D100</f>
        <v>68.92402671034395</v>
      </c>
      <c r="M100" s="21">
        <f aca="true" t="shared" si="47" ref="M100:M106">J100*100/C100</f>
        <v>68.92402671034395</v>
      </c>
    </row>
    <row r="101" spans="1:14" ht="12.75">
      <c r="A101" s="29" t="s">
        <v>63</v>
      </c>
      <c r="B101" s="47" t="s">
        <v>64</v>
      </c>
      <c r="C101" s="51">
        <v>1400</v>
      </c>
      <c r="D101" s="51">
        <f>F101+G101+H101+I101</f>
        <v>1400</v>
      </c>
      <c r="E101" s="38">
        <f aca="true" t="shared" si="48" ref="E101:E112">F101+G101+H101</f>
        <v>1050</v>
      </c>
      <c r="F101" s="50">
        <v>350</v>
      </c>
      <c r="G101" s="50">
        <v>350</v>
      </c>
      <c r="H101" s="15">
        <v>350</v>
      </c>
      <c r="I101" s="16">
        <v>350</v>
      </c>
      <c r="J101" s="16">
        <v>808.4</v>
      </c>
      <c r="K101" s="18">
        <f t="shared" si="45"/>
        <v>76.99047619047619</v>
      </c>
      <c r="L101" s="16">
        <f t="shared" si="46"/>
        <v>57.74285714285714</v>
      </c>
      <c r="M101" s="16">
        <f t="shared" si="47"/>
        <v>57.74285714285714</v>
      </c>
      <c r="N101" s="2"/>
    </row>
    <row r="102" spans="1:13" ht="25.5" customHeight="1">
      <c r="A102" s="29" t="s">
        <v>62</v>
      </c>
      <c r="B102" s="24" t="s">
        <v>61</v>
      </c>
      <c r="C102" s="51">
        <v>1505.3</v>
      </c>
      <c r="D102" s="51">
        <f>F102+G102+H102+I102</f>
        <v>1505.3000000000002</v>
      </c>
      <c r="E102" s="38">
        <f t="shared" si="48"/>
        <v>1128.9</v>
      </c>
      <c r="F102" s="50">
        <v>376.3</v>
      </c>
      <c r="G102" s="50">
        <v>376.3</v>
      </c>
      <c r="H102" s="15">
        <v>376.3</v>
      </c>
      <c r="I102" s="16">
        <v>376.4</v>
      </c>
      <c r="J102" s="16">
        <v>1218</v>
      </c>
      <c r="K102" s="18">
        <f t="shared" si="45"/>
        <v>107.8926388519798</v>
      </c>
      <c r="L102" s="16">
        <f t="shared" si="46"/>
        <v>80.91410350096325</v>
      </c>
      <c r="M102" s="16">
        <f t="shared" si="47"/>
        <v>80.91410350096326</v>
      </c>
    </row>
    <row r="103" spans="1:13" ht="12.75" hidden="1">
      <c r="A103" s="29" t="s">
        <v>8</v>
      </c>
      <c r="B103" s="24" t="s">
        <v>5</v>
      </c>
      <c r="C103" s="51"/>
      <c r="D103" s="51">
        <f>F103+G103+H103+I103</f>
        <v>0</v>
      </c>
      <c r="E103" s="38">
        <f t="shared" si="48"/>
        <v>0</v>
      </c>
      <c r="F103" s="50"/>
      <c r="G103" s="50"/>
      <c r="H103" s="15"/>
      <c r="I103" s="16"/>
      <c r="J103" s="16"/>
      <c r="K103" s="18" t="e">
        <f t="shared" si="45"/>
        <v>#DIV/0!</v>
      </c>
      <c r="L103" s="16" t="e">
        <f t="shared" si="46"/>
        <v>#DIV/0!</v>
      </c>
      <c r="M103" s="16" t="e">
        <f t="shared" si="47"/>
        <v>#DIV/0!</v>
      </c>
    </row>
    <row r="104" spans="1:13" ht="12.75">
      <c r="A104" s="29" t="s">
        <v>9</v>
      </c>
      <c r="B104" s="24" t="s">
        <v>6</v>
      </c>
      <c r="C104" s="51">
        <v>228</v>
      </c>
      <c r="D104" s="51">
        <f aca="true" t="shared" si="49" ref="D104:D112">F104+G104+H104+I104</f>
        <v>228</v>
      </c>
      <c r="E104" s="38">
        <f t="shared" si="48"/>
        <v>169.1</v>
      </c>
      <c r="F104" s="50">
        <v>51.5</v>
      </c>
      <c r="G104" s="50">
        <v>58.7</v>
      </c>
      <c r="H104" s="15">
        <v>58.9</v>
      </c>
      <c r="I104" s="16">
        <v>58.9</v>
      </c>
      <c r="J104" s="16">
        <v>126</v>
      </c>
      <c r="K104" s="18">
        <f t="shared" si="45"/>
        <v>74.51212300413957</v>
      </c>
      <c r="L104" s="16">
        <f t="shared" si="46"/>
        <v>55.26315789473684</v>
      </c>
      <c r="M104" s="16">
        <f t="shared" si="47"/>
        <v>55.26315789473684</v>
      </c>
    </row>
    <row r="105" spans="1:13" ht="12.75">
      <c r="A105" s="29" t="s">
        <v>10</v>
      </c>
      <c r="B105" s="24" t="s">
        <v>21</v>
      </c>
      <c r="C105" s="51">
        <v>1.5</v>
      </c>
      <c r="D105" s="51">
        <f t="shared" si="49"/>
        <v>1.5</v>
      </c>
      <c r="E105" s="38">
        <f t="shared" si="48"/>
        <v>1</v>
      </c>
      <c r="F105" s="50">
        <v>0.1</v>
      </c>
      <c r="G105" s="50">
        <v>0.5</v>
      </c>
      <c r="H105" s="15">
        <v>0.4</v>
      </c>
      <c r="I105" s="16">
        <v>0.5</v>
      </c>
      <c r="J105" s="16">
        <v>0.5</v>
      </c>
      <c r="K105" s="18">
        <f t="shared" si="45"/>
        <v>50</v>
      </c>
      <c r="L105" s="16">
        <f t="shared" si="46"/>
        <v>33.333333333333336</v>
      </c>
      <c r="M105" s="16">
        <f t="shared" si="47"/>
        <v>33.333333333333336</v>
      </c>
    </row>
    <row r="106" spans="1:13" ht="24">
      <c r="A106" s="33" t="s">
        <v>11</v>
      </c>
      <c r="B106" s="24" t="s">
        <v>17</v>
      </c>
      <c r="C106" s="51">
        <v>40</v>
      </c>
      <c r="D106" s="51">
        <f t="shared" si="49"/>
        <v>40</v>
      </c>
      <c r="E106" s="38">
        <f t="shared" si="48"/>
        <v>30</v>
      </c>
      <c r="F106" s="50">
        <v>10</v>
      </c>
      <c r="G106" s="50">
        <v>10</v>
      </c>
      <c r="H106" s="15">
        <v>10</v>
      </c>
      <c r="I106" s="16">
        <v>10</v>
      </c>
      <c r="J106" s="16">
        <v>35.3</v>
      </c>
      <c r="K106" s="18">
        <f t="shared" si="45"/>
        <v>117.66666666666666</v>
      </c>
      <c r="L106" s="16">
        <f t="shared" si="46"/>
        <v>88.24999999999999</v>
      </c>
      <c r="M106" s="16">
        <f t="shared" si="47"/>
        <v>88.24999999999999</v>
      </c>
    </row>
    <row r="107" spans="1:13" ht="24" customHeight="1">
      <c r="A107" s="35" t="s">
        <v>40</v>
      </c>
      <c r="B107" s="24" t="s">
        <v>41</v>
      </c>
      <c r="C107" s="51"/>
      <c r="D107" s="51">
        <f t="shared" si="49"/>
        <v>0</v>
      </c>
      <c r="E107" s="38">
        <f t="shared" si="48"/>
        <v>0</v>
      </c>
      <c r="F107" s="50"/>
      <c r="G107" s="50"/>
      <c r="H107" s="15"/>
      <c r="I107" s="16"/>
      <c r="J107" s="16">
        <v>5</v>
      </c>
      <c r="K107" s="18"/>
      <c r="L107" s="16"/>
      <c r="M107" s="16"/>
    </row>
    <row r="108" spans="1:13" ht="14.25" customHeight="1" hidden="1">
      <c r="A108" s="31" t="s">
        <v>12</v>
      </c>
      <c r="B108" s="66" t="s">
        <v>7</v>
      </c>
      <c r="C108" s="51"/>
      <c r="D108" s="51">
        <f t="shared" si="49"/>
        <v>0</v>
      </c>
      <c r="E108" s="38">
        <f t="shared" si="48"/>
        <v>0</v>
      </c>
      <c r="F108" s="50"/>
      <c r="G108" s="50"/>
      <c r="H108" s="15"/>
      <c r="I108" s="16"/>
      <c r="J108" s="16"/>
      <c r="K108" s="18"/>
      <c r="L108" s="16"/>
      <c r="M108" s="16"/>
    </row>
    <row r="109" spans="1:13" ht="16.5" customHeight="1">
      <c r="A109" s="35" t="s">
        <v>37</v>
      </c>
      <c r="B109" s="14" t="s">
        <v>38</v>
      </c>
      <c r="C109" s="51"/>
      <c r="D109" s="51">
        <f t="shared" si="49"/>
        <v>0</v>
      </c>
      <c r="E109" s="38">
        <f t="shared" si="48"/>
        <v>0</v>
      </c>
      <c r="F109" s="50"/>
      <c r="G109" s="50"/>
      <c r="H109" s="15"/>
      <c r="I109" s="16"/>
      <c r="J109" s="16">
        <v>-5</v>
      </c>
      <c r="K109" s="23"/>
      <c r="L109" s="21"/>
      <c r="M109" s="16"/>
    </row>
    <row r="110" spans="1:13" ht="12.75">
      <c r="A110" s="68" t="s">
        <v>1</v>
      </c>
      <c r="B110" s="25" t="s">
        <v>0</v>
      </c>
      <c r="C110" s="26">
        <f aca="true" t="shared" si="50" ref="C110:J110">C111+C112</f>
        <v>25449.7</v>
      </c>
      <c r="D110" s="26">
        <f t="shared" si="50"/>
        <v>35056.7</v>
      </c>
      <c r="E110" s="26">
        <f t="shared" si="50"/>
        <v>28692</v>
      </c>
      <c r="F110" s="26">
        <f t="shared" si="50"/>
        <v>5747.3</v>
      </c>
      <c r="G110" s="26">
        <f t="shared" si="50"/>
        <v>16062.7</v>
      </c>
      <c r="H110" s="26">
        <f t="shared" si="50"/>
        <v>6882</v>
      </c>
      <c r="I110" s="26">
        <f t="shared" si="50"/>
        <v>6364.7</v>
      </c>
      <c r="J110" s="26">
        <f t="shared" si="50"/>
        <v>28207.699999999997</v>
      </c>
      <c r="K110" s="23">
        <f>J110*100/E110</f>
        <v>98.31207305172171</v>
      </c>
      <c r="L110" s="21">
        <f>J110*100/D110</f>
        <v>80.46307838444577</v>
      </c>
      <c r="M110" s="21">
        <f>J110*100/C110</f>
        <v>110.83706291233294</v>
      </c>
    </row>
    <row r="111" spans="1:13" ht="24">
      <c r="A111" s="69" t="s">
        <v>52</v>
      </c>
      <c r="B111" s="27" t="s">
        <v>20</v>
      </c>
      <c r="C111" s="50">
        <v>25449.7</v>
      </c>
      <c r="D111" s="51">
        <f>F111+G111+H111+I111</f>
        <v>35056.7</v>
      </c>
      <c r="E111" s="38">
        <f t="shared" si="48"/>
        <v>28692</v>
      </c>
      <c r="F111" s="50">
        <v>5747.3</v>
      </c>
      <c r="G111" s="50">
        <v>16062.7</v>
      </c>
      <c r="H111" s="15">
        <v>6882</v>
      </c>
      <c r="I111" s="16">
        <v>6364.7</v>
      </c>
      <c r="J111" s="16">
        <v>28207.6</v>
      </c>
      <c r="K111" s="18">
        <f>J111*100/E111</f>
        <v>98.311724522515</v>
      </c>
      <c r="L111" s="16">
        <f>J111*100/D111</f>
        <v>80.46279313226859</v>
      </c>
      <c r="M111" s="16">
        <f>J111*100/C111</f>
        <v>110.8366699803927</v>
      </c>
    </row>
    <row r="112" spans="1:13" ht="17.25" customHeight="1">
      <c r="A112" s="67" t="s">
        <v>60</v>
      </c>
      <c r="B112" s="28" t="s">
        <v>19</v>
      </c>
      <c r="C112" s="28"/>
      <c r="D112" s="51">
        <f t="shared" si="49"/>
        <v>0</v>
      </c>
      <c r="E112" s="38">
        <f t="shared" si="48"/>
        <v>0</v>
      </c>
      <c r="F112" s="55"/>
      <c r="G112" s="55"/>
      <c r="H112" s="15"/>
      <c r="I112" s="16"/>
      <c r="J112" s="16">
        <v>0.1</v>
      </c>
      <c r="K112" s="23"/>
      <c r="L112" s="21"/>
      <c r="M112" s="16"/>
    </row>
    <row r="113" spans="1:13" ht="12.75">
      <c r="A113" s="19"/>
      <c r="B113" s="20" t="s">
        <v>4</v>
      </c>
      <c r="C113" s="21">
        <f aca="true" t="shared" si="51" ref="C113:J113">C110+C100</f>
        <v>28624.5</v>
      </c>
      <c r="D113" s="21">
        <f t="shared" si="51"/>
        <v>38231.5</v>
      </c>
      <c r="E113" s="52">
        <f t="shared" si="51"/>
        <v>31071</v>
      </c>
      <c r="F113" s="52">
        <f t="shared" si="51"/>
        <v>6535.200000000001</v>
      </c>
      <c r="G113" s="52">
        <f>G110+G100</f>
        <v>16858.2</v>
      </c>
      <c r="H113" s="21">
        <f t="shared" si="51"/>
        <v>7677.6</v>
      </c>
      <c r="I113" s="21">
        <f t="shared" si="51"/>
        <v>7160.5</v>
      </c>
      <c r="J113" s="21">
        <f t="shared" si="51"/>
        <v>30395.899999999998</v>
      </c>
      <c r="K113" s="23">
        <f>J113*100/E113</f>
        <v>97.82723439863538</v>
      </c>
      <c r="L113" s="21">
        <f>J113*100/D113</f>
        <v>79.50485855904162</v>
      </c>
      <c r="M113" s="21">
        <f>J113*100/C113</f>
        <v>106.18840503764258</v>
      </c>
    </row>
    <row r="114" spans="1:13" ht="12.75">
      <c r="A114" s="169"/>
      <c r="B114" s="170"/>
      <c r="C114" s="170"/>
      <c r="D114" s="170"/>
      <c r="E114" s="170"/>
      <c r="F114" s="170"/>
      <c r="G114" s="170"/>
      <c r="H114" s="170"/>
      <c r="I114" s="170"/>
      <c r="J114" s="170"/>
      <c r="K114" s="23"/>
      <c r="L114" s="21"/>
      <c r="M114" s="16"/>
    </row>
    <row r="115" spans="1:13" ht="12.75">
      <c r="A115" s="172" t="s">
        <v>28</v>
      </c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4"/>
    </row>
    <row r="116" spans="1:13" ht="12.75">
      <c r="A116" s="30" t="s">
        <v>3</v>
      </c>
      <c r="B116" s="22" t="s">
        <v>53</v>
      </c>
      <c r="C116" s="23">
        <f>C117+C121+C125+C122+C123+C126+C124+C127+C118+C119+C120</f>
        <v>5481.3</v>
      </c>
      <c r="D116" s="23">
        <f aca="true" t="shared" si="52" ref="D116:I116">D117+D121+D125+D122+D123+D126+D124+D127+D118+D119+D120</f>
        <v>5481.3</v>
      </c>
      <c r="E116" s="23">
        <f t="shared" si="52"/>
        <v>4188.299999999999</v>
      </c>
      <c r="F116" s="23">
        <f t="shared" si="52"/>
        <v>1382.6</v>
      </c>
      <c r="G116" s="23">
        <f t="shared" si="52"/>
        <v>1426.6</v>
      </c>
      <c r="H116" s="23">
        <f t="shared" si="52"/>
        <v>1379.1</v>
      </c>
      <c r="I116" s="23">
        <f t="shared" si="52"/>
        <v>1293</v>
      </c>
      <c r="J116" s="23">
        <f>J117+J121+J125+J122+J123+J126+J124+J127+J118+J119+J120</f>
        <v>4299.200000000001</v>
      </c>
      <c r="K116" s="23">
        <f aca="true" t="shared" si="53" ref="K116:K123">J116*100/E116</f>
        <v>102.64785235059574</v>
      </c>
      <c r="L116" s="21">
        <f aca="true" t="shared" si="54" ref="L116:L123">J116*100/D116</f>
        <v>78.43394815098608</v>
      </c>
      <c r="M116" s="21">
        <f aca="true" t="shared" si="55" ref="M116:M123">J116*100/C116</f>
        <v>78.43394815098608</v>
      </c>
    </row>
    <row r="117" spans="1:14" ht="12.75">
      <c r="A117" s="29" t="s">
        <v>63</v>
      </c>
      <c r="B117" s="47" t="s">
        <v>64</v>
      </c>
      <c r="C117" s="51">
        <v>1470</v>
      </c>
      <c r="D117" s="51">
        <f>F117+G117+H117+I117</f>
        <v>1470</v>
      </c>
      <c r="E117" s="38">
        <f aca="true" t="shared" si="56" ref="E117:E130">F117+G117+H117</f>
        <v>1102.5</v>
      </c>
      <c r="F117" s="51">
        <v>367.5</v>
      </c>
      <c r="G117" s="51">
        <v>367.5</v>
      </c>
      <c r="H117" s="16">
        <v>367.5</v>
      </c>
      <c r="I117" s="16">
        <v>367.5</v>
      </c>
      <c r="J117" s="16">
        <v>1289.4</v>
      </c>
      <c r="K117" s="18">
        <f t="shared" si="53"/>
        <v>116.95238095238096</v>
      </c>
      <c r="L117" s="16">
        <f t="shared" si="54"/>
        <v>87.71428571428572</v>
      </c>
      <c r="M117" s="16">
        <f t="shared" si="55"/>
        <v>87.71428571428572</v>
      </c>
      <c r="N117" s="2"/>
    </row>
    <row r="118" spans="1:13" ht="36" hidden="1">
      <c r="A118" s="29" t="s">
        <v>62</v>
      </c>
      <c r="B118" s="24" t="s">
        <v>61</v>
      </c>
      <c r="C118" s="51"/>
      <c r="D118" s="51">
        <f>F118+G118+H118+I118</f>
        <v>0</v>
      </c>
      <c r="E118" s="38">
        <f t="shared" si="56"/>
        <v>0</v>
      </c>
      <c r="F118" s="51"/>
      <c r="G118" s="51"/>
      <c r="H118" s="16"/>
      <c r="I118" s="16"/>
      <c r="J118" s="16"/>
      <c r="K118" s="18" t="e">
        <f t="shared" si="53"/>
        <v>#DIV/0!</v>
      </c>
      <c r="L118" s="16" t="e">
        <f t="shared" si="54"/>
        <v>#DIV/0!</v>
      </c>
      <c r="M118" s="16" t="e">
        <f t="shared" si="55"/>
        <v>#DIV/0!</v>
      </c>
    </row>
    <row r="119" spans="1:13" ht="26.25" customHeight="1">
      <c r="A119" s="29" t="s">
        <v>62</v>
      </c>
      <c r="B119" s="24" t="s">
        <v>61</v>
      </c>
      <c r="C119" s="51">
        <v>3261.5</v>
      </c>
      <c r="D119" s="51">
        <f>F119+G119+H119+I119</f>
        <v>3261.5</v>
      </c>
      <c r="E119" s="38">
        <f t="shared" si="56"/>
        <v>2521.7</v>
      </c>
      <c r="F119" s="51">
        <v>819.9</v>
      </c>
      <c r="G119" s="51">
        <v>850.9</v>
      </c>
      <c r="H119" s="16">
        <v>850.9</v>
      </c>
      <c r="I119" s="16">
        <v>739.8</v>
      </c>
      <c r="J119" s="16">
        <v>2639</v>
      </c>
      <c r="K119" s="18">
        <f t="shared" si="53"/>
        <v>104.65162390450887</v>
      </c>
      <c r="L119" s="16">
        <f t="shared" si="54"/>
        <v>80.91369001992948</v>
      </c>
      <c r="M119" s="16">
        <f t="shared" si="55"/>
        <v>80.91369001992948</v>
      </c>
    </row>
    <row r="120" spans="1:13" ht="16.5" customHeight="1">
      <c r="A120" s="29" t="s">
        <v>8</v>
      </c>
      <c r="B120" s="24" t="s">
        <v>5</v>
      </c>
      <c r="C120" s="51">
        <v>10</v>
      </c>
      <c r="D120" s="51">
        <f>F120+G120+H120+I120</f>
        <v>10</v>
      </c>
      <c r="E120" s="38">
        <f t="shared" si="56"/>
        <v>10</v>
      </c>
      <c r="F120" s="51">
        <v>10</v>
      </c>
      <c r="G120" s="51"/>
      <c r="H120" s="16"/>
      <c r="I120" s="16"/>
      <c r="J120" s="16">
        <v>9</v>
      </c>
      <c r="K120" s="18">
        <f t="shared" si="53"/>
        <v>90</v>
      </c>
      <c r="L120" s="16">
        <f t="shared" si="54"/>
        <v>90</v>
      </c>
      <c r="M120" s="16">
        <f t="shared" si="55"/>
        <v>90</v>
      </c>
    </row>
    <row r="121" spans="1:13" ht="12.75">
      <c r="A121" s="29" t="s">
        <v>9</v>
      </c>
      <c r="B121" s="24" t="s">
        <v>6</v>
      </c>
      <c r="C121" s="51">
        <v>259</v>
      </c>
      <c r="D121" s="51">
        <f aca="true" t="shared" si="57" ref="D121:D129">F121+G121+H121+I121</f>
        <v>259</v>
      </c>
      <c r="E121" s="38">
        <f t="shared" si="56"/>
        <v>193.5</v>
      </c>
      <c r="F121" s="51">
        <v>65</v>
      </c>
      <c r="G121" s="51">
        <v>88</v>
      </c>
      <c r="H121" s="16">
        <v>40.5</v>
      </c>
      <c r="I121" s="16">
        <v>65.5</v>
      </c>
      <c r="J121" s="16">
        <v>64.4</v>
      </c>
      <c r="K121" s="18">
        <f t="shared" si="53"/>
        <v>33.28165374677003</v>
      </c>
      <c r="L121" s="16">
        <f t="shared" si="54"/>
        <v>24.864864864864867</v>
      </c>
      <c r="M121" s="16">
        <f t="shared" si="55"/>
        <v>24.864864864864867</v>
      </c>
    </row>
    <row r="122" spans="1:13" ht="12.75">
      <c r="A122" s="29" t="s">
        <v>10</v>
      </c>
      <c r="B122" s="24" t="s">
        <v>21</v>
      </c>
      <c r="C122" s="51">
        <v>13.5</v>
      </c>
      <c r="D122" s="51">
        <f t="shared" si="57"/>
        <v>13.5</v>
      </c>
      <c r="E122" s="38">
        <f t="shared" si="56"/>
        <v>10.2</v>
      </c>
      <c r="F122" s="51">
        <v>3.4</v>
      </c>
      <c r="G122" s="51">
        <v>3.4</v>
      </c>
      <c r="H122" s="16">
        <v>3.4</v>
      </c>
      <c r="I122" s="16">
        <v>3.3</v>
      </c>
      <c r="J122" s="16">
        <v>13.4</v>
      </c>
      <c r="K122" s="18">
        <f t="shared" si="53"/>
        <v>131.37254901960785</v>
      </c>
      <c r="L122" s="16">
        <f t="shared" si="54"/>
        <v>99.25925925925925</v>
      </c>
      <c r="M122" s="16">
        <f t="shared" si="55"/>
        <v>99.25925925925925</v>
      </c>
    </row>
    <row r="123" spans="1:13" ht="23.25" customHeight="1">
      <c r="A123" s="33" t="s">
        <v>11</v>
      </c>
      <c r="B123" s="24" t="s">
        <v>17</v>
      </c>
      <c r="C123" s="51">
        <v>467.3</v>
      </c>
      <c r="D123" s="51">
        <f t="shared" si="57"/>
        <v>467.29999999999995</v>
      </c>
      <c r="E123" s="38">
        <f t="shared" si="56"/>
        <v>350.4</v>
      </c>
      <c r="F123" s="51">
        <v>116.8</v>
      </c>
      <c r="G123" s="51">
        <v>116.8</v>
      </c>
      <c r="H123" s="16">
        <v>116.8</v>
      </c>
      <c r="I123" s="16">
        <v>116.9</v>
      </c>
      <c r="J123" s="16">
        <v>284</v>
      </c>
      <c r="K123" s="18">
        <f t="shared" si="53"/>
        <v>81.05022831050229</v>
      </c>
      <c r="L123" s="16">
        <f t="shared" si="54"/>
        <v>60.77466295741494</v>
      </c>
      <c r="M123" s="16">
        <f t="shared" si="55"/>
        <v>60.77466295741493</v>
      </c>
    </row>
    <row r="124" spans="1:13" ht="27" customHeight="1" hidden="1">
      <c r="A124" s="35" t="s">
        <v>40</v>
      </c>
      <c r="B124" s="24" t="s">
        <v>41</v>
      </c>
      <c r="C124" s="51"/>
      <c r="D124" s="51">
        <f t="shared" si="57"/>
        <v>0</v>
      </c>
      <c r="E124" s="38">
        <f t="shared" si="56"/>
        <v>0</v>
      </c>
      <c r="F124" s="51"/>
      <c r="G124" s="51"/>
      <c r="H124" s="16"/>
      <c r="I124" s="16"/>
      <c r="J124" s="16"/>
      <c r="K124" s="18"/>
      <c r="L124" s="16"/>
      <c r="M124" s="16"/>
    </row>
    <row r="125" spans="1:13" ht="14.25" customHeight="1" hidden="1">
      <c r="A125" s="34" t="s">
        <v>18</v>
      </c>
      <c r="B125" s="24" t="s">
        <v>15</v>
      </c>
      <c r="C125" s="51"/>
      <c r="D125" s="51">
        <f t="shared" si="57"/>
        <v>0</v>
      </c>
      <c r="E125" s="38">
        <f t="shared" si="56"/>
        <v>0</v>
      </c>
      <c r="F125" s="51"/>
      <c r="G125" s="51"/>
      <c r="H125" s="16"/>
      <c r="I125" s="16"/>
      <c r="J125" s="16"/>
      <c r="K125" s="18"/>
      <c r="L125" s="16"/>
      <c r="M125" s="16"/>
    </row>
    <row r="126" spans="1:13" ht="14.25" customHeight="1" hidden="1">
      <c r="A126" s="31" t="s">
        <v>12</v>
      </c>
      <c r="B126" s="24" t="s">
        <v>7</v>
      </c>
      <c r="C126" s="51"/>
      <c r="D126" s="51">
        <f t="shared" si="57"/>
        <v>0</v>
      </c>
      <c r="E126" s="38">
        <f t="shared" si="56"/>
        <v>0</v>
      </c>
      <c r="F126" s="51"/>
      <c r="G126" s="51"/>
      <c r="H126" s="16"/>
      <c r="I126" s="16"/>
      <c r="J126" s="16"/>
      <c r="K126" s="23"/>
      <c r="L126" s="21"/>
      <c r="M126" s="16"/>
    </row>
    <row r="127" spans="1:13" ht="14.25" customHeight="1">
      <c r="A127" s="34" t="s">
        <v>37</v>
      </c>
      <c r="B127" s="14" t="s">
        <v>38</v>
      </c>
      <c r="C127" s="51"/>
      <c r="D127" s="51">
        <f t="shared" si="57"/>
        <v>0</v>
      </c>
      <c r="E127" s="38">
        <f t="shared" si="56"/>
        <v>0</v>
      </c>
      <c r="F127" s="51"/>
      <c r="G127" s="51"/>
      <c r="H127" s="16"/>
      <c r="I127" s="16"/>
      <c r="J127" s="16"/>
      <c r="K127" s="23"/>
      <c r="L127" s="21"/>
      <c r="M127" s="16"/>
    </row>
    <row r="128" spans="1:13" ht="12.75">
      <c r="A128" s="30" t="s">
        <v>1</v>
      </c>
      <c r="B128" s="25" t="s">
        <v>0</v>
      </c>
      <c r="C128" s="26">
        <f>C129+C130</f>
        <v>26468.9</v>
      </c>
      <c r="D128" s="26">
        <f aca="true" t="shared" si="58" ref="D128:J128">D129+D130</f>
        <v>39273.4</v>
      </c>
      <c r="E128" s="26">
        <f t="shared" si="58"/>
        <v>32671.1</v>
      </c>
      <c r="F128" s="26">
        <f t="shared" si="58"/>
        <v>9204.9</v>
      </c>
      <c r="G128" s="26">
        <f t="shared" si="58"/>
        <v>16338.1</v>
      </c>
      <c r="H128" s="26">
        <f t="shared" si="58"/>
        <v>7128.1</v>
      </c>
      <c r="I128" s="26">
        <f t="shared" si="58"/>
        <v>6602.3</v>
      </c>
      <c r="J128" s="26">
        <f t="shared" si="58"/>
        <v>31318.800000000003</v>
      </c>
      <c r="K128" s="23">
        <f>J128*100/E128</f>
        <v>95.8608678618106</v>
      </c>
      <c r="L128" s="21">
        <f>J128*100/D128</f>
        <v>79.74557843222131</v>
      </c>
      <c r="M128" s="21">
        <f>J128*100/C128</f>
        <v>118.3230130454987</v>
      </c>
    </row>
    <row r="129" spans="1:13" ht="24">
      <c r="A129" s="69" t="s">
        <v>52</v>
      </c>
      <c r="B129" s="27" t="s">
        <v>20</v>
      </c>
      <c r="C129" s="50">
        <v>26468.9</v>
      </c>
      <c r="D129" s="51">
        <f t="shared" si="57"/>
        <v>38920</v>
      </c>
      <c r="E129" s="38">
        <f t="shared" si="56"/>
        <v>32317.699999999997</v>
      </c>
      <c r="F129" s="51">
        <v>9204.9</v>
      </c>
      <c r="G129" s="51">
        <v>15984.7</v>
      </c>
      <c r="H129" s="16">
        <v>7128.1</v>
      </c>
      <c r="I129" s="16">
        <v>6602.3</v>
      </c>
      <c r="J129" s="16">
        <v>30965.4</v>
      </c>
      <c r="K129" s="18">
        <f>J129*100/E129</f>
        <v>95.81560568976134</v>
      </c>
      <c r="L129" s="16">
        <f>J129*100/D129</f>
        <v>79.56166495375129</v>
      </c>
      <c r="M129" s="16">
        <f>J129*100/C129</f>
        <v>116.98786122581595</v>
      </c>
    </row>
    <row r="130" spans="1:13" ht="24">
      <c r="A130" s="69" t="s">
        <v>69</v>
      </c>
      <c r="B130" s="24" t="s">
        <v>70</v>
      </c>
      <c r="C130" s="50"/>
      <c r="D130" s="51">
        <f>F130+G130+H130+I130</f>
        <v>353.4</v>
      </c>
      <c r="E130" s="38">
        <f t="shared" si="56"/>
        <v>353.4</v>
      </c>
      <c r="F130" s="51"/>
      <c r="G130" s="51">
        <v>353.4</v>
      </c>
      <c r="H130" s="16"/>
      <c r="I130" s="16"/>
      <c r="J130" s="16">
        <v>353.4</v>
      </c>
      <c r="K130" s="18"/>
      <c r="L130" s="16"/>
      <c r="M130" s="16"/>
    </row>
    <row r="131" spans="1:13" ht="12.75">
      <c r="A131" s="19"/>
      <c r="B131" s="20" t="s">
        <v>4</v>
      </c>
      <c r="C131" s="21">
        <f aca="true" t="shared" si="59" ref="C131:J131">C128+C116</f>
        <v>31950.2</v>
      </c>
      <c r="D131" s="21">
        <f t="shared" si="59"/>
        <v>44754.700000000004</v>
      </c>
      <c r="E131" s="21">
        <f t="shared" si="59"/>
        <v>36859.399999999994</v>
      </c>
      <c r="F131" s="21">
        <f t="shared" si="59"/>
        <v>10587.5</v>
      </c>
      <c r="G131" s="21">
        <f t="shared" si="59"/>
        <v>17764.7</v>
      </c>
      <c r="H131" s="21">
        <f t="shared" si="59"/>
        <v>8507.2</v>
      </c>
      <c r="I131" s="21">
        <f t="shared" si="59"/>
        <v>7895.3</v>
      </c>
      <c r="J131" s="21">
        <f t="shared" si="59"/>
        <v>35618</v>
      </c>
      <c r="K131" s="23">
        <f>J131*100/E131</f>
        <v>96.63206671839478</v>
      </c>
      <c r="L131" s="21">
        <f>J131*100/D131</f>
        <v>79.58493744791049</v>
      </c>
      <c r="M131" s="21">
        <f>J131*100/C131</f>
        <v>111.47974034591333</v>
      </c>
    </row>
    <row r="132" spans="1:13" ht="12.75">
      <c r="A132" s="169"/>
      <c r="B132" s="170"/>
      <c r="C132" s="170"/>
      <c r="D132" s="170"/>
      <c r="E132" s="170"/>
      <c r="F132" s="170"/>
      <c r="G132" s="170"/>
      <c r="H132" s="170"/>
      <c r="I132" s="170"/>
      <c r="J132" s="170"/>
      <c r="K132" s="23"/>
      <c r="L132" s="21"/>
      <c r="M132" s="16"/>
    </row>
    <row r="133" spans="1:13" ht="12.75">
      <c r="A133" s="172" t="s">
        <v>29</v>
      </c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4"/>
    </row>
    <row r="134" spans="1:13" ht="12.75">
      <c r="A134" s="30" t="s">
        <v>3</v>
      </c>
      <c r="B134" s="22" t="s">
        <v>53</v>
      </c>
      <c r="C134" s="23">
        <f aca="true" t="shared" si="60" ref="C134:I134">C135+C137+C138+C139+C141+C143+C140+C142+C136</f>
        <v>10865.7</v>
      </c>
      <c r="D134" s="23">
        <f t="shared" si="60"/>
        <v>11038.3</v>
      </c>
      <c r="E134" s="23">
        <f t="shared" si="60"/>
        <v>8541.5</v>
      </c>
      <c r="F134" s="23">
        <f t="shared" si="60"/>
        <v>2861.5</v>
      </c>
      <c r="G134" s="23">
        <f t="shared" si="60"/>
        <v>2987.5</v>
      </c>
      <c r="H134" s="23">
        <f t="shared" si="60"/>
        <v>2692.5</v>
      </c>
      <c r="I134" s="23">
        <f t="shared" si="60"/>
        <v>2496.8</v>
      </c>
      <c r="J134" s="23">
        <f>J135+J137+J138+J139+J141+J143+J140+J142+J136</f>
        <v>8385.1</v>
      </c>
      <c r="K134" s="23">
        <f aca="true" t="shared" si="61" ref="K134:K139">J134*100/E134</f>
        <v>98.16893988175379</v>
      </c>
      <c r="L134" s="21">
        <f aca="true" t="shared" si="62" ref="L134:L139">J134*100/D134</f>
        <v>75.96369006096954</v>
      </c>
      <c r="M134" s="21">
        <f aca="true" t="shared" si="63" ref="M134:M139">J134*100/C134</f>
        <v>77.17036178064919</v>
      </c>
    </row>
    <row r="135" spans="1:14" ht="12.75">
      <c r="A135" s="29" t="s">
        <v>63</v>
      </c>
      <c r="B135" s="47" t="s">
        <v>64</v>
      </c>
      <c r="C135" s="51">
        <v>3050</v>
      </c>
      <c r="D135" s="51">
        <f>F135+G135+H135+I135</f>
        <v>3050</v>
      </c>
      <c r="E135" s="38">
        <f aca="true" t="shared" si="64" ref="E135:E145">F135+G135+H135</f>
        <v>2300</v>
      </c>
      <c r="F135" s="50">
        <v>800</v>
      </c>
      <c r="G135" s="50">
        <v>750</v>
      </c>
      <c r="H135" s="15">
        <v>750</v>
      </c>
      <c r="I135" s="16">
        <v>750</v>
      </c>
      <c r="J135" s="16">
        <v>2049.4</v>
      </c>
      <c r="K135" s="18">
        <f t="shared" si="61"/>
        <v>89.10434782608695</v>
      </c>
      <c r="L135" s="16">
        <f t="shared" si="62"/>
        <v>67.19344262295083</v>
      </c>
      <c r="M135" s="16">
        <f t="shared" si="63"/>
        <v>67.19344262295083</v>
      </c>
      <c r="N135" s="2"/>
    </row>
    <row r="136" spans="1:13" ht="23.25" customHeight="1">
      <c r="A136" s="29" t="s">
        <v>62</v>
      </c>
      <c r="B136" s="24" t="s">
        <v>61</v>
      </c>
      <c r="C136" s="51">
        <v>7123.7</v>
      </c>
      <c r="D136" s="51">
        <f>F136+G136+H136+I136</f>
        <v>7123.7</v>
      </c>
      <c r="E136" s="38">
        <f t="shared" si="64"/>
        <v>5561.5</v>
      </c>
      <c r="F136" s="50">
        <v>1896.2</v>
      </c>
      <c r="G136" s="50">
        <v>1896.1</v>
      </c>
      <c r="H136" s="15">
        <v>1769.2</v>
      </c>
      <c r="I136" s="16">
        <v>1562.2</v>
      </c>
      <c r="J136" s="16">
        <v>5764.2</v>
      </c>
      <c r="K136" s="18">
        <f t="shared" si="61"/>
        <v>103.64470017081723</v>
      </c>
      <c r="L136" s="16">
        <f t="shared" si="62"/>
        <v>80.91581621909963</v>
      </c>
      <c r="M136" s="16">
        <f t="shared" si="63"/>
        <v>80.91581621909963</v>
      </c>
    </row>
    <row r="137" spans="1:13" ht="12.75">
      <c r="A137" s="29" t="s">
        <v>9</v>
      </c>
      <c r="B137" s="24" t="s">
        <v>6</v>
      </c>
      <c r="C137" s="51">
        <v>602</v>
      </c>
      <c r="D137" s="51">
        <f aca="true" t="shared" si="65" ref="D137:D148">F137+G137+H137+I137</f>
        <v>602</v>
      </c>
      <c r="E137" s="38">
        <f t="shared" si="64"/>
        <v>443</v>
      </c>
      <c r="F137" s="50">
        <v>147</v>
      </c>
      <c r="G137" s="50">
        <v>147</v>
      </c>
      <c r="H137" s="15">
        <v>149</v>
      </c>
      <c r="I137" s="16">
        <v>159</v>
      </c>
      <c r="J137" s="16">
        <v>131.4</v>
      </c>
      <c r="K137" s="18">
        <f t="shared" si="61"/>
        <v>29.66139954853273</v>
      </c>
      <c r="L137" s="16">
        <f t="shared" si="62"/>
        <v>21.827242524916944</v>
      </c>
      <c r="M137" s="16">
        <f t="shared" si="63"/>
        <v>21.827242524916944</v>
      </c>
    </row>
    <row r="138" spans="1:13" ht="12.75">
      <c r="A138" s="29" t="s">
        <v>10</v>
      </c>
      <c r="B138" s="24" t="s">
        <v>21</v>
      </c>
      <c r="C138" s="51">
        <v>20</v>
      </c>
      <c r="D138" s="51">
        <f t="shared" si="65"/>
        <v>20</v>
      </c>
      <c r="E138" s="38">
        <f t="shared" si="64"/>
        <v>14.399999999999999</v>
      </c>
      <c r="F138" s="50">
        <v>4.8</v>
      </c>
      <c r="G138" s="50">
        <v>4.8</v>
      </c>
      <c r="H138" s="15">
        <v>4.8</v>
      </c>
      <c r="I138" s="16">
        <v>5.6</v>
      </c>
      <c r="J138" s="16">
        <v>10.2</v>
      </c>
      <c r="K138" s="18">
        <f t="shared" si="61"/>
        <v>70.83333333333333</v>
      </c>
      <c r="L138" s="16">
        <f t="shared" si="62"/>
        <v>50.99999999999999</v>
      </c>
      <c r="M138" s="16">
        <f t="shared" si="63"/>
        <v>50.99999999999999</v>
      </c>
    </row>
    <row r="139" spans="1:13" ht="24">
      <c r="A139" s="33" t="s">
        <v>11</v>
      </c>
      <c r="B139" s="24" t="s">
        <v>17</v>
      </c>
      <c r="C139" s="51">
        <v>70</v>
      </c>
      <c r="D139" s="51">
        <f t="shared" si="65"/>
        <v>192.6</v>
      </c>
      <c r="E139" s="38">
        <f t="shared" si="64"/>
        <v>172.6</v>
      </c>
      <c r="F139" s="50">
        <v>13.5</v>
      </c>
      <c r="G139" s="50">
        <v>139.6</v>
      </c>
      <c r="H139" s="15">
        <v>19.5</v>
      </c>
      <c r="I139" s="16">
        <v>20</v>
      </c>
      <c r="J139" s="16">
        <v>212</v>
      </c>
      <c r="K139" s="18">
        <f t="shared" si="61"/>
        <v>122.82734646581692</v>
      </c>
      <c r="L139" s="16">
        <f t="shared" si="62"/>
        <v>110.07268951194185</v>
      </c>
      <c r="M139" s="16">
        <f t="shared" si="63"/>
        <v>302.85714285714283</v>
      </c>
    </row>
    <row r="140" spans="1:13" ht="24" hidden="1">
      <c r="A140" s="35" t="s">
        <v>40</v>
      </c>
      <c r="B140" s="24" t="s">
        <v>41</v>
      </c>
      <c r="C140" s="51"/>
      <c r="D140" s="51">
        <f t="shared" si="65"/>
        <v>0</v>
      </c>
      <c r="E140" s="38">
        <f t="shared" si="64"/>
        <v>0</v>
      </c>
      <c r="F140" s="50"/>
      <c r="G140" s="50"/>
      <c r="H140" s="15"/>
      <c r="I140" s="16"/>
      <c r="J140" s="16"/>
      <c r="K140" s="18" t="e">
        <f>J140*100/E140</f>
        <v>#DIV/0!</v>
      </c>
      <c r="L140" s="16" t="e">
        <f>J140*100/D140</f>
        <v>#DIV/0!</v>
      </c>
      <c r="M140" s="16" t="e">
        <f>J140*100/C140</f>
        <v>#DIV/0!</v>
      </c>
    </row>
    <row r="141" spans="1:13" ht="18.75" customHeight="1" hidden="1">
      <c r="A141" s="35" t="s">
        <v>18</v>
      </c>
      <c r="B141" s="24" t="s">
        <v>15</v>
      </c>
      <c r="C141" s="51"/>
      <c r="D141" s="51">
        <f t="shared" si="65"/>
        <v>0</v>
      </c>
      <c r="E141" s="38">
        <f t="shared" si="64"/>
        <v>0</v>
      </c>
      <c r="F141" s="50"/>
      <c r="G141" s="50"/>
      <c r="H141" s="15"/>
      <c r="I141" s="16"/>
      <c r="J141" s="16"/>
      <c r="K141" s="18" t="e">
        <f>J141*100/E141</f>
        <v>#DIV/0!</v>
      </c>
      <c r="L141" s="16" t="e">
        <f>J141*100/D141</f>
        <v>#DIV/0!</v>
      </c>
      <c r="M141" s="16" t="e">
        <f>J141*100/C141</f>
        <v>#DIV/0!</v>
      </c>
    </row>
    <row r="142" spans="1:13" ht="15" customHeight="1" hidden="1">
      <c r="A142" s="31" t="s">
        <v>12</v>
      </c>
      <c r="B142" s="24" t="s">
        <v>7</v>
      </c>
      <c r="C142" s="51"/>
      <c r="D142" s="51">
        <f t="shared" si="65"/>
        <v>0</v>
      </c>
      <c r="E142" s="38">
        <f t="shared" si="64"/>
        <v>0</v>
      </c>
      <c r="F142" s="50"/>
      <c r="G142" s="50"/>
      <c r="H142" s="15"/>
      <c r="I142" s="16"/>
      <c r="J142" s="16"/>
      <c r="K142" s="18" t="e">
        <f>J142*100/E142</f>
        <v>#DIV/0!</v>
      </c>
      <c r="L142" s="16" t="e">
        <f>J142*100/D142</f>
        <v>#DIV/0!</v>
      </c>
      <c r="M142" s="16" t="e">
        <f>J142*100/C142</f>
        <v>#DIV/0!</v>
      </c>
    </row>
    <row r="143" spans="1:13" ht="18" customHeight="1">
      <c r="A143" s="35" t="s">
        <v>37</v>
      </c>
      <c r="B143" s="14" t="s">
        <v>38</v>
      </c>
      <c r="C143" s="51"/>
      <c r="D143" s="51">
        <f t="shared" si="65"/>
        <v>50</v>
      </c>
      <c r="E143" s="38">
        <f t="shared" si="64"/>
        <v>50</v>
      </c>
      <c r="F143" s="50"/>
      <c r="G143" s="50">
        <v>50</v>
      </c>
      <c r="H143" s="15"/>
      <c r="I143" s="16"/>
      <c r="J143" s="15">
        <v>217.9</v>
      </c>
      <c r="K143" s="18">
        <f>J143*100/E143</f>
        <v>435.8</v>
      </c>
      <c r="L143" s="16">
        <f>J143*100/D143</f>
        <v>435.8</v>
      </c>
      <c r="M143" s="16"/>
    </row>
    <row r="144" spans="1:13" ht="18" customHeight="1">
      <c r="A144" s="68" t="s">
        <v>1</v>
      </c>
      <c r="B144" s="25" t="s">
        <v>0</v>
      </c>
      <c r="C144" s="26">
        <f aca="true" t="shared" si="66" ref="C144:I144">C145+C146+C147</f>
        <v>45067.3</v>
      </c>
      <c r="D144" s="26">
        <f>D145+D146+D148</f>
        <v>59429.600000000006</v>
      </c>
      <c r="E144" s="26">
        <f t="shared" si="66"/>
        <v>44027.4</v>
      </c>
      <c r="F144" s="26">
        <f>F145+F146+F147+F148</f>
        <v>12976.3</v>
      </c>
      <c r="G144" s="26">
        <f t="shared" si="66"/>
        <v>18719.5</v>
      </c>
      <c r="H144" s="26">
        <f t="shared" si="66"/>
        <v>12331.6</v>
      </c>
      <c r="I144" s="26">
        <f t="shared" si="66"/>
        <v>15402.2</v>
      </c>
      <c r="J144" s="26">
        <f>J145+J146+J147+J148</f>
        <v>34181</v>
      </c>
      <c r="K144" s="23">
        <f aca="true" t="shared" si="67" ref="K144:K149">J144*100/E144</f>
        <v>77.63574501333261</v>
      </c>
      <c r="L144" s="21">
        <f aca="true" t="shared" si="68" ref="L144:L149">J144*100/D144</f>
        <v>57.51511031539838</v>
      </c>
      <c r="M144" s="21">
        <f>J144*100/C144</f>
        <v>75.84434834125851</v>
      </c>
    </row>
    <row r="145" spans="1:13" ht="24">
      <c r="A145" s="69" t="s">
        <v>52</v>
      </c>
      <c r="B145" s="27" t="s">
        <v>20</v>
      </c>
      <c r="C145" s="50">
        <v>45067.3</v>
      </c>
      <c r="D145" s="51">
        <f>F145+G145+H145+I145</f>
        <v>59429.600000000006</v>
      </c>
      <c r="E145" s="38">
        <f t="shared" si="64"/>
        <v>44027.4</v>
      </c>
      <c r="F145" s="50">
        <v>12976.3</v>
      </c>
      <c r="G145" s="50">
        <v>18719.5</v>
      </c>
      <c r="H145" s="15">
        <v>12331.6</v>
      </c>
      <c r="I145" s="16">
        <v>15402.2</v>
      </c>
      <c r="J145" s="16">
        <v>34181</v>
      </c>
      <c r="K145" s="18">
        <f t="shared" si="67"/>
        <v>77.63574501333261</v>
      </c>
      <c r="L145" s="16">
        <f t="shared" si="68"/>
        <v>57.51511031539838</v>
      </c>
      <c r="M145" s="16">
        <f>J145*100/C145</f>
        <v>75.84434834125851</v>
      </c>
    </row>
    <row r="146" spans="1:13" ht="12.75" customHeight="1" hidden="1">
      <c r="A146" s="67" t="s">
        <v>2</v>
      </c>
      <c r="B146" s="28" t="s">
        <v>19</v>
      </c>
      <c r="C146" s="28"/>
      <c r="D146" s="51">
        <f t="shared" si="65"/>
        <v>0</v>
      </c>
      <c r="E146" s="38">
        <f>F146</f>
        <v>0</v>
      </c>
      <c r="F146" s="55"/>
      <c r="G146" s="55"/>
      <c r="H146" s="15"/>
      <c r="I146" s="16"/>
      <c r="J146" s="16"/>
      <c r="K146" s="18" t="e">
        <f t="shared" si="67"/>
        <v>#DIV/0!</v>
      </c>
      <c r="L146" s="16" t="e">
        <f t="shared" si="68"/>
        <v>#DIV/0!</v>
      </c>
      <c r="M146" s="16" t="e">
        <f>J146*100/C146</f>
        <v>#DIV/0!</v>
      </c>
    </row>
    <row r="147" spans="1:13" ht="33" customHeight="1" hidden="1">
      <c r="A147" s="67" t="s">
        <v>51</v>
      </c>
      <c r="B147" s="17" t="s">
        <v>49</v>
      </c>
      <c r="C147" s="28"/>
      <c r="D147" s="51">
        <f t="shared" si="65"/>
        <v>0</v>
      </c>
      <c r="E147" s="38">
        <f>F147</f>
        <v>0</v>
      </c>
      <c r="F147" s="55"/>
      <c r="G147" s="55"/>
      <c r="H147" s="15"/>
      <c r="I147" s="16"/>
      <c r="J147" s="16"/>
      <c r="K147" s="18" t="e">
        <f t="shared" si="67"/>
        <v>#DIV/0!</v>
      </c>
      <c r="L147" s="16" t="e">
        <f t="shared" si="68"/>
        <v>#DIV/0!</v>
      </c>
      <c r="M147" s="16" t="e">
        <f>J147*100/C147</f>
        <v>#DIV/0!</v>
      </c>
    </row>
    <row r="148" spans="1:13" ht="16.5" customHeight="1" hidden="1">
      <c r="A148" s="67" t="s">
        <v>60</v>
      </c>
      <c r="B148" s="28" t="s">
        <v>19</v>
      </c>
      <c r="C148" s="28"/>
      <c r="D148" s="51">
        <f t="shared" si="65"/>
        <v>0</v>
      </c>
      <c r="E148" s="38">
        <f>F148</f>
        <v>0</v>
      </c>
      <c r="F148" s="55"/>
      <c r="G148" s="55"/>
      <c r="H148" s="15"/>
      <c r="I148" s="16"/>
      <c r="J148" s="16"/>
      <c r="K148" s="18"/>
      <c r="L148" s="16"/>
      <c r="M148" s="16"/>
    </row>
    <row r="149" spans="1:13" ht="12.75">
      <c r="A149" s="19"/>
      <c r="B149" s="20" t="s">
        <v>4</v>
      </c>
      <c r="C149" s="21">
        <f aca="true" t="shared" si="69" ref="C149:I149">C144+C134</f>
        <v>55933</v>
      </c>
      <c r="D149" s="21">
        <f t="shared" si="69"/>
        <v>70467.90000000001</v>
      </c>
      <c r="E149" s="21">
        <f t="shared" si="69"/>
        <v>52568.9</v>
      </c>
      <c r="F149" s="52">
        <f t="shared" si="69"/>
        <v>15837.8</v>
      </c>
      <c r="G149" s="52">
        <f t="shared" si="69"/>
        <v>21707</v>
      </c>
      <c r="H149" s="52">
        <f t="shared" si="69"/>
        <v>15024.1</v>
      </c>
      <c r="I149" s="21">
        <f t="shared" si="69"/>
        <v>17899</v>
      </c>
      <c r="J149" s="21">
        <f>J144+J134</f>
        <v>42566.1</v>
      </c>
      <c r="K149" s="23">
        <f t="shared" si="67"/>
        <v>80.97201957811558</v>
      </c>
      <c r="L149" s="21">
        <f t="shared" si="68"/>
        <v>60.404950339090554</v>
      </c>
      <c r="M149" s="21">
        <f>J149*100/C149</f>
        <v>76.10194339656374</v>
      </c>
    </row>
    <row r="150" spans="1:13" ht="12.75">
      <c r="A150" s="177"/>
      <c r="B150" s="178"/>
      <c r="C150" s="178"/>
      <c r="D150" s="178"/>
      <c r="E150" s="178"/>
      <c r="F150" s="178"/>
      <c r="G150" s="178"/>
      <c r="H150" s="178"/>
      <c r="I150" s="178"/>
      <c r="J150" s="178"/>
      <c r="K150" s="23"/>
      <c r="L150" s="21"/>
      <c r="M150" s="16"/>
    </row>
    <row r="151" spans="1:13" ht="12.75">
      <c r="A151" s="172" t="s">
        <v>30</v>
      </c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4"/>
    </row>
    <row r="152" spans="1:13" ht="12.75">
      <c r="A152" s="30" t="s">
        <v>3</v>
      </c>
      <c r="B152" s="22" t="s">
        <v>53</v>
      </c>
      <c r="C152" s="23">
        <f aca="true" t="shared" si="70" ref="C152:I152">C153+C156+C158+C160+C157+C161+C159+C162+C155+C154</f>
        <v>24879.8</v>
      </c>
      <c r="D152" s="23">
        <f t="shared" si="70"/>
        <v>27014.699999999997</v>
      </c>
      <c r="E152" s="23">
        <f t="shared" si="70"/>
        <v>20420.5</v>
      </c>
      <c r="F152" s="23">
        <f t="shared" si="70"/>
        <v>7356.8</v>
      </c>
      <c r="G152" s="23">
        <f t="shared" si="70"/>
        <v>6786.7</v>
      </c>
      <c r="H152" s="23">
        <f t="shared" si="70"/>
        <v>6277</v>
      </c>
      <c r="I152" s="23">
        <f t="shared" si="70"/>
        <v>6594.2</v>
      </c>
      <c r="J152" s="23">
        <f>J153+J156+J158+J160+J157+J161+J159+J162+J155+J154</f>
        <v>19316.1</v>
      </c>
      <c r="K152" s="23">
        <f aca="true" t="shared" si="71" ref="K152:K159">J152*100/E152</f>
        <v>94.59170931172105</v>
      </c>
      <c r="L152" s="21">
        <f aca="true" t="shared" si="72" ref="L152:L159">J152*100/D152</f>
        <v>71.50218214527646</v>
      </c>
      <c r="M152" s="21">
        <f aca="true" t="shared" si="73" ref="M152:M158">J152*100/C152</f>
        <v>77.63768197493549</v>
      </c>
    </row>
    <row r="153" spans="1:14" ht="12.75">
      <c r="A153" s="29" t="s">
        <v>63</v>
      </c>
      <c r="B153" s="47" t="s">
        <v>64</v>
      </c>
      <c r="C153" s="51">
        <v>14820</v>
      </c>
      <c r="D153" s="50">
        <f>F153+G153+H153+I153</f>
        <v>14820</v>
      </c>
      <c r="E153" s="38">
        <f aca="true" t="shared" si="74" ref="E153:E164">F153+G153+H153</f>
        <v>10950.6</v>
      </c>
      <c r="F153" s="50">
        <v>3350</v>
      </c>
      <c r="G153" s="50">
        <v>3550</v>
      </c>
      <c r="H153" s="15">
        <v>4050.6</v>
      </c>
      <c r="I153" s="16">
        <v>3869.4</v>
      </c>
      <c r="J153" s="16">
        <v>11516.3</v>
      </c>
      <c r="K153" s="18">
        <f t="shared" si="71"/>
        <v>105.16592698116997</v>
      </c>
      <c r="L153" s="16">
        <f t="shared" si="72"/>
        <v>77.70782726045884</v>
      </c>
      <c r="M153" s="16">
        <f t="shared" si="73"/>
        <v>77.70782726045884</v>
      </c>
      <c r="N153" s="2"/>
    </row>
    <row r="154" spans="1:13" ht="25.5" customHeight="1">
      <c r="A154" s="29" t="s">
        <v>62</v>
      </c>
      <c r="B154" s="24" t="s">
        <v>61</v>
      </c>
      <c r="C154" s="51">
        <v>7486.8</v>
      </c>
      <c r="D154" s="50">
        <f>F154+G154+H154+I154</f>
        <v>8103.5</v>
      </c>
      <c r="E154" s="38">
        <f t="shared" si="74"/>
        <v>6132.2</v>
      </c>
      <c r="F154" s="50">
        <v>2515.7</v>
      </c>
      <c r="G154" s="50">
        <v>1833.7</v>
      </c>
      <c r="H154" s="15">
        <v>1782.8</v>
      </c>
      <c r="I154" s="16">
        <v>1971.3</v>
      </c>
      <c r="J154" s="16">
        <v>6058</v>
      </c>
      <c r="K154" s="18">
        <f t="shared" si="71"/>
        <v>98.78999380320276</v>
      </c>
      <c r="L154" s="16">
        <f t="shared" si="72"/>
        <v>74.75782069476152</v>
      </c>
      <c r="M154" s="16">
        <f t="shared" si="73"/>
        <v>80.91574504461185</v>
      </c>
    </row>
    <row r="155" spans="1:13" ht="12.75" customHeight="1">
      <c r="A155" s="29" t="s">
        <v>8</v>
      </c>
      <c r="B155" s="24" t="s">
        <v>5</v>
      </c>
      <c r="C155" s="51">
        <v>5</v>
      </c>
      <c r="D155" s="50">
        <f aca="true" t="shared" si="75" ref="D155:D166">F155+G155+H155+I155</f>
        <v>5</v>
      </c>
      <c r="E155" s="38">
        <f t="shared" si="74"/>
        <v>3.8</v>
      </c>
      <c r="F155" s="50">
        <v>1.3</v>
      </c>
      <c r="G155" s="50">
        <v>1.5</v>
      </c>
      <c r="H155" s="15">
        <v>1</v>
      </c>
      <c r="I155" s="16">
        <v>1.2</v>
      </c>
      <c r="J155" s="16">
        <v>76.7</v>
      </c>
      <c r="K155" s="18">
        <f t="shared" si="71"/>
        <v>2018.421052631579</v>
      </c>
      <c r="L155" s="16">
        <f t="shared" si="72"/>
        <v>1534</v>
      </c>
      <c r="M155" s="16">
        <f t="shared" si="73"/>
        <v>1534</v>
      </c>
    </row>
    <row r="156" spans="1:13" ht="12.75">
      <c r="A156" s="29" t="s">
        <v>9</v>
      </c>
      <c r="B156" s="24" t="s">
        <v>6</v>
      </c>
      <c r="C156" s="51">
        <v>1695</v>
      </c>
      <c r="D156" s="50">
        <f t="shared" si="75"/>
        <v>1695</v>
      </c>
      <c r="E156" s="38">
        <f t="shared" si="74"/>
        <v>1032.9</v>
      </c>
      <c r="F156" s="50">
        <v>362.6</v>
      </c>
      <c r="G156" s="50">
        <v>308.2</v>
      </c>
      <c r="H156" s="15">
        <v>362.1</v>
      </c>
      <c r="I156" s="16">
        <v>662.1</v>
      </c>
      <c r="J156" s="16">
        <v>677.6</v>
      </c>
      <c r="K156" s="18">
        <f t="shared" si="71"/>
        <v>65.60170394036209</v>
      </c>
      <c r="L156" s="16">
        <f t="shared" si="72"/>
        <v>39.976401179941</v>
      </c>
      <c r="M156" s="16">
        <f t="shared" si="73"/>
        <v>39.976401179941</v>
      </c>
    </row>
    <row r="157" spans="1:13" ht="12.75">
      <c r="A157" s="29" t="s">
        <v>10</v>
      </c>
      <c r="B157" s="24" t="s">
        <v>21</v>
      </c>
      <c r="C157" s="51">
        <v>67.1</v>
      </c>
      <c r="D157" s="50">
        <f t="shared" si="75"/>
        <v>67.1</v>
      </c>
      <c r="E157" s="38">
        <f t="shared" si="74"/>
        <v>50.9</v>
      </c>
      <c r="F157" s="50">
        <v>18.3</v>
      </c>
      <c r="G157" s="50">
        <v>13.7</v>
      </c>
      <c r="H157" s="15">
        <v>18.9</v>
      </c>
      <c r="I157" s="16">
        <v>16.2</v>
      </c>
      <c r="J157" s="16">
        <v>51</v>
      </c>
      <c r="K157" s="18">
        <f t="shared" si="71"/>
        <v>100.19646365422398</v>
      </c>
      <c r="L157" s="16">
        <f t="shared" si="72"/>
        <v>76.0059612518629</v>
      </c>
      <c r="M157" s="16">
        <f t="shared" si="73"/>
        <v>76.0059612518629</v>
      </c>
    </row>
    <row r="158" spans="1:13" ht="24">
      <c r="A158" s="33" t="s">
        <v>11</v>
      </c>
      <c r="B158" s="24" t="s">
        <v>17</v>
      </c>
      <c r="C158" s="51">
        <v>805.9</v>
      </c>
      <c r="D158" s="50">
        <f t="shared" si="75"/>
        <v>1324.1</v>
      </c>
      <c r="E158" s="38">
        <f t="shared" si="74"/>
        <v>1250.1</v>
      </c>
      <c r="F158" s="50">
        <v>608.9</v>
      </c>
      <c r="G158" s="50">
        <v>579.6</v>
      </c>
      <c r="H158" s="15">
        <v>61.6</v>
      </c>
      <c r="I158" s="16">
        <v>74</v>
      </c>
      <c r="J158" s="16">
        <v>87</v>
      </c>
      <c r="K158" s="18">
        <f t="shared" si="71"/>
        <v>6.959443244540437</v>
      </c>
      <c r="L158" s="16">
        <f t="shared" si="72"/>
        <v>6.5705007174684695</v>
      </c>
      <c r="M158" s="16">
        <f t="shared" si="73"/>
        <v>10.795384042685196</v>
      </c>
    </row>
    <row r="159" spans="1:13" ht="24" customHeight="1">
      <c r="A159" s="35" t="s">
        <v>40</v>
      </c>
      <c r="B159" s="24" t="s">
        <v>41</v>
      </c>
      <c r="C159" s="51"/>
      <c r="D159" s="50">
        <f t="shared" si="75"/>
        <v>1000</v>
      </c>
      <c r="E159" s="38">
        <f t="shared" si="74"/>
        <v>1000</v>
      </c>
      <c r="F159" s="50">
        <v>500</v>
      </c>
      <c r="G159" s="50">
        <v>500</v>
      </c>
      <c r="H159" s="15"/>
      <c r="I159" s="16"/>
      <c r="J159" s="16">
        <v>846.3</v>
      </c>
      <c r="K159" s="18">
        <f t="shared" si="71"/>
        <v>84.63</v>
      </c>
      <c r="L159" s="16">
        <f t="shared" si="72"/>
        <v>84.63</v>
      </c>
      <c r="M159" s="16"/>
    </row>
    <row r="160" spans="1:13" ht="18" customHeight="1" hidden="1">
      <c r="A160" s="34" t="s">
        <v>18</v>
      </c>
      <c r="B160" s="24" t="s">
        <v>15</v>
      </c>
      <c r="C160" s="51"/>
      <c r="D160" s="50">
        <f t="shared" si="75"/>
        <v>0</v>
      </c>
      <c r="E160" s="38">
        <f t="shared" si="74"/>
        <v>0</v>
      </c>
      <c r="F160" s="50"/>
      <c r="G160" s="50"/>
      <c r="H160" s="15"/>
      <c r="I160" s="16"/>
      <c r="J160" s="16"/>
      <c r="K160" s="18"/>
      <c r="L160" s="16"/>
      <c r="M160" s="16"/>
    </row>
    <row r="161" spans="1:13" ht="21" customHeight="1">
      <c r="A161" s="31" t="s">
        <v>12</v>
      </c>
      <c r="B161" s="24" t="s">
        <v>7</v>
      </c>
      <c r="C161" s="51"/>
      <c r="D161" s="50">
        <f t="shared" si="75"/>
        <v>0</v>
      </c>
      <c r="E161" s="38">
        <f t="shared" si="74"/>
        <v>0</v>
      </c>
      <c r="F161" s="50"/>
      <c r="G161" s="50"/>
      <c r="H161" s="15"/>
      <c r="I161" s="16"/>
      <c r="J161" s="16">
        <v>3.2</v>
      </c>
      <c r="K161" s="18"/>
      <c r="L161" s="16"/>
      <c r="M161" s="16"/>
    </row>
    <row r="162" spans="1:13" ht="16.5" customHeight="1">
      <c r="A162" s="34" t="s">
        <v>37</v>
      </c>
      <c r="B162" s="14" t="s">
        <v>38</v>
      </c>
      <c r="C162" s="51"/>
      <c r="D162" s="50">
        <f t="shared" si="75"/>
        <v>0</v>
      </c>
      <c r="E162" s="38">
        <f t="shared" si="74"/>
        <v>0</v>
      </c>
      <c r="F162" s="50"/>
      <c r="G162" s="50"/>
      <c r="H162" s="15"/>
      <c r="I162" s="16"/>
      <c r="J162" s="16"/>
      <c r="K162" s="23"/>
      <c r="L162" s="21"/>
      <c r="M162" s="16"/>
    </row>
    <row r="163" spans="1:13" ht="12.75">
      <c r="A163" s="30" t="s">
        <v>1</v>
      </c>
      <c r="B163" s="25" t="s">
        <v>0</v>
      </c>
      <c r="C163" s="26">
        <f>C164+C165+C166</f>
        <v>41406.8</v>
      </c>
      <c r="D163" s="26">
        <f aca="true" t="shared" si="76" ref="D163:I163">D164+D165+D166</f>
        <v>55708</v>
      </c>
      <c r="E163" s="26">
        <f t="shared" si="76"/>
        <v>45251.8</v>
      </c>
      <c r="F163" s="26">
        <f t="shared" si="76"/>
        <v>14341</v>
      </c>
      <c r="G163" s="26">
        <f t="shared" si="76"/>
        <v>15866.1</v>
      </c>
      <c r="H163" s="26">
        <f t="shared" si="76"/>
        <v>15044.7</v>
      </c>
      <c r="I163" s="26">
        <f t="shared" si="76"/>
        <v>10456.2</v>
      </c>
      <c r="J163" s="26">
        <f>J164+J165+J166</f>
        <v>33228.8</v>
      </c>
      <c r="K163" s="23">
        <f>J163*100/E163</f>
        <v>73.43089114687152</v>
      </c>
      <c r="L163" s="21">
        <f>J163*100/D163</f>
        <v>59.64816543404898</v>
      </c>
      <c r="M163" s="21">
        <f>J163*100/C163</f>
        <v>80.24962083522514</v>
      </c>
    </row>
    <row r="164" spans="1:13" ht="24">
      <c r="A164" s="69" t="s">
        <v>52</v>
      </c>
      <c r="B164" s="27" t="s">
        <v>20</v>
      </c>
      <c r="C164" s="50">
        <v>41406.8</v>
      </c>
      <c r="D164" s="50">
        <f t="shared" si="75"/>
        <v>55708</v>
      </c>
      <c r="E164" s="38">
        <f t="shared" si="74"/>
        <v>45251.8</v>
      </c>
      <c r="F164" s="50">
        <v>14341</v>
      </c>
      <c r="G164" s="50">
        <v>15866.1</v>
      </c>
      <c r="H164" s="15">
        <v>15044.7</v>
      </c>
      <c r="I164" s="16">
        <v>10456.2</v>
      </c>
      <c r="J164" s="16">
        <v>33228.8</v>
      </c>
      <c r="K164" s="18">
        <f>J164*100/E164</f>
        <v>73.43089114687152</v>
      </c>
      <c r="L164" s="16">
        <f>J164*100/D164</f>
        <v>59.64816543404898</v>
      </c>
      <c r="M164" s="16">
        <f>J164*100/C164</f>
        <v>80.24962083522514</v>
      </c>
    </row>
    <row r="165" spans="1:13" ht="30.75" customHeight="1" hidden="1">
      <c r="A165" s="67" t="s">
        <v>60</v>
      </c>
      <c r="B165" s="28" t="s">
        <v>19</v>
      </c>
      <c r="C165" s="28"/>
      <c r="D165" s="50">
        <f t="shared" si="75"/>
        <v>0</v>
      </c>
      <c r="E165" s="38">
        <f>F165</f>
        <v>0</v>
      </c>
      <c r="F165" s="50"/>
      <c r="G165" s="50"/>
      <c r="H165" s="15"/>
      <c r="I165" s="16"/>
      <c r="J165" s="16"/>
      <c r="K165" s="18" t="e">
        <f>J165*100/E165</f>
        <v>#DIV/0!</v>
      </c>
      <c r="L165" s="16" t="e">
        <f>J165*100/D165</f>
        <v>#DIV/0!</v>
      </c>
      <c r="M165" s="16"/>
    </row>
    <row r="166" spans="1:13" ht="24" customHeight="1">
      <c r="A166" s="67" t="s">
        <v>51</v>
      </c>
      <c r="B166" s="17" t="s">
        <v>49</v>
      </c>
      <c r="C166" s="28"/>
      <c r="D166" s="50">
        <f t="shared" si="75"/>
        <v>0</v>
      </c>
      <c r="E166" s="38">
        <f>F166</f>
        <v>0</v>
      </c>
      <c r="F166" s="50"/>
      <c r="G166" s="50"/>
      <c r="H166" s="15"/>
      <c r="I166" s="16"/>
      <c r="J166" s="16"/>
      <c r="K166" s="18"/>
      <c r="L166" s="16"/>
      <c r="M166" s="16"/>
    </row>
    <row r="167" spans="1:13" ht="12.75">
      <c r="A167" s="19"/>
      <c r="B167" s="20" t="s">
        <v>4</v>
      </c>
      <c r="C167" s="21">
        <f aca="true" t="shared" si="77" ref="C167:I167">C163+C152</f>
        <v>66286.6</v>
      </c>
      <c r="D167" s="21">
        <f>D163+D152</f>
        <v>82722.7</v>
      </c>
      <c r="E167" s="21">
        <f t="shared" si="77"/>
        <v>65672.3</v>
      </c>
      <c r="F167" s="21">
        <f t="shared" si="77"/>
        <v>21697.8</v>
      </c>
      <c r="G167" s="21">
        <f t="shared" si="77"/>
        <v>22652.8</v>
      </c>
      <c r="H167" s="21">
        <f t="shared" si="77"/>
        <v>21321.7</v>
      </c>
      <c r="I167" s="21">
        <f t="shared" si="77"/>
        <v>17050.4</v>
      </c>
      <c r="J167" s="21">
        <f>J163+J152</f>
        <v>52544.9</v>
      </c>
      <c r="K167" s="23">
        <f>J167*100/E167</f>
        <v>80.01075034679765</v>
      </c>
      <c r="L167" s="21">
        <f>J167*100/D167</f>
        <v>63.51932420000798</v>
      </c>
      <c r="M167" s="21">
        <f>J167*100/C167</f>
        <v>79.26926407448865</v>
      </c>
    </row>
    <row r="168" spans="1:13" ht="12.75">
      <c r="A168" s="169"/>
      <c r="B168" s="170"/>
      <c r="C168" s="170"/>
      <c r="D168" s="170"/>
      <c r="E168" s="170"/>
      <c r="F168" s="170"/>
      <c r="G168" s="170"/>
      <c r="H168" s="170"/>
      <c r="I168" s="170"/>
      <c r="J168" s="170"/>
      <c r="K168" s="23"/>
      <c r="L168" s="21"/>
      <c r="M168" s="16"/>
    </row>
    <row r="169" spans="1:13" ht="12.75">
      <c r="A169" s="172" t="s">
        <v>31</v>
      </c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4"/>
    </row>
    <row r="170" spans="1:13" ht="12.75">
      <c r="A170" s="30" t="s">
        <v>3</v>
      </c>
      <c r="B170" s="22" t="s">
        <v>53</v>
      </c>
      <c r="C170" s="23">
        <f aca="true" t="shared" si="78" ref="C170:I170">C171+C174+C175+C176+C178+C179+C180+C177+C172+C173</f>
        <v>7324.9</v>
      </c>
      <c r="D170" s="23">
        <f t="shared" si="78"/>
        <v>8029.9</v>
      </c>
      <c r="E170" s="23">
        <f t="shared" si="78"/>
        <v>5772.0999999999985</v>
      </c>
      <c r="F170" s="23">
        <f t="shared" si="78"/>
        <v>1574.8</v>
      </c>
      <c r="G170" s="23">
        <f t="shared" si="78"/>
        <v>1966.5</v>
      </c>
      <c r="H170" s="23">
        <f t="shared" si="78"/>
        <v>2230.7999999999997</v>
      </c>
      <c r="I170" s="23">
        <f t="shared" si="78"/>
        <v>2257.8</v>
      </c>
      <c r="J170" s="23">
        <f>J171+J174+J175+J176+J178+J179+J180+J177+J172+J173</f>
        <v>5267.199999999999</v>
      </c>
      <c r="K170" s="23">
        <f aca="true" t="shared" si="79" ref="K170:K178">J170*100/E170</f>
        <v>91.25275029885137</v>
      </c>
      <c r="L170" s="21">
        <f aca="true" t="shared" si="80" ref="L170:L178">J170*100/D170</f>
        <v>65.59483928816049</v>
      </c>
      <c r="M170" s="21">
        <f aca="true" t="shared" si="81" ref="M170:M177">J170*100/C170</f>
        <v>71.90814891670875</v>
      </c>
    </row>
    <row r="171" spans="1:14" ht="12.75">
      <c r="A171" s="29" t="s">
        <v>63</v>
      </c>
      <c r="B171" s="47" t="s">
        <v>64</v>
      </c>
      <c r="C171" s="51">
        <v>2750</v>
      </c>
      <c r="D171" s="50">
        <f>F171+G171+H171+I171</f>
        <v>3150</v>
      </c>
      <c r="E171" s="38">
        <f aca="true" t="shared" si="82" ref="E171:E182">F171+G171+H171</f>
        <v>2462.5</v>
      </c>
      <c r="F171" s="51">
        <v>687.5</v>
      </c>
      <c r="G171" s="51">
        <v>687.5</v>
      </c>
      <c r="H171" s="15">
        <v>1087.5</v>
      </c>
      <c r="I171" s="16">
        <v>687.5</v>
      </c>
      <c r="J171" s="16">
        <v>2013.6</v>
      </c>
      <c r="K171" s="18">
        <f t="shared" si="79"/>
        <v>81.77055837563452</v>
      </c>
      <c r="L171" s="16">
        <f t="shared" si="80"/>
        <v>63.923809523809524</v>
      </c>
      <c r="M171" s="16">
        <f t="shared" si="81"/>
        <v>73.22181818181818</v>
      </c>
      <c r="N171" s="2"/>
    </row>
    <row r="172" spans="1:13" ht="26.25" customHeight="1">
      <c r="A172" s="29" t="s">
        <v>62</v>
      </c>
      <c r="B172" s="24" t="s">
        <v>61</v>
      </c>
      <c r="C172" s="51">
        <v>3083.2</v>
      </c>
      <c r="D172" s="50">
        <f>F172+G172+H172+I172</f>
        <v>3383.2</v>
      </c>
      <c r="E172" s="38">
        <f t="shared" si="82"/>
        <v>2612.3999999999996</v>
      </c>
      <c r="F172" s="51">
        <v>770.8</v>
      </c>
      <c r="G172" s="51">
        <v>1070.8</v>
      </c>
      <c r="H172" s="15">
        <v>770.8</v>
      </c>
      <c r="I172" s="16">
        <v>770.8</v>
      </c>
      <c r="J172" s="16">
        <v>2494.8</v>
      </c>
      <c r="K172" s="18">
        <f t="shared" si="79"/>
        <v>95.49839228295822</v>
      </c>
      <c r="L172" s="16">
        <f t="shared" si="80"/>
        <v>73.74083707732326</v>
      </c>
      <c r="M172" s="16">
        <f t="shared" si="81"/>
        <v>80.91593149974054</v>
      </c>
    </row>
    <row r="173" spans="1:13" ht="17.25" customHeight="1">
      <c r="A173" s="29" t="s">
        <v>8</v>
      </c>
      <c r="B173" s="24" t="s">
        <v>5</v>
      </c>
      <c r="C173" s="51">
        <v>2</v>
      </c>
      <c r="D173" s="50">
        <f>F173+G173+H173+I173</f>
        <v>6.4</v>
      </c>
      <c r="E173" s="38">
        <f t="shared" si="82"/>
        <v>6.4</v>
      </c>
      <c r="F173" s="51"/>
      <c r="G173" s="51">
        <v>2</v>
      </c>
      <c r="H173" s="15">
        <v>4.4</v>
      </c>
      <c r="I173" s="16"/>
      <c r="J173" s="16">
        <v>6.4</v>
      </c>
      <c r="K173" s="18">
        <f t="shared" si="79"/>
        <v>100</v>
      </c>
      <c r="L173" s="16">
        <f t="shared" si="80"/>
        <v>100</v>
      </c>
      <c r="M173" s="16">
        <f t="shared" si="81"/>
        <v>320</v>
      </c>
    </row>
    <row r="174" spans="1:13" ht="12.75">
      <c r="A174" s="29" t="s">
        <v>9</v>
      </c>
      <c r="B174" s="24" t="s">
        <v>6</v>
      </c>
      <c r="C174" s="51">
        <v>685</v>
      </c>
      <c r="D174" s="50">
        <f>F174+G174+H174+I174</f>
        <v>685</v>
      </c>
      <c r="E174" s="38">
        <f t="shared" si="82"/>
        <v>171.3</v>
      </c>
      <c r="F174" s="51"/>
      <c r="G174" s="51"/>
      <c r="H174" s="15">
        <v>171.3</v>
      </c>
      <c r="I174" s="16">
        <v>513.7</v>
      </c>
      <c r="J174" s="16">
        <v>306.2</v>
      </c>
      <c r="K174" s="18">
        <f t="shared" si="79"/>
        <v>178.75072971395213</v>
      </c>
      <c r="L174" s="16">
        <f t="shared" si="80"/>
        <v>44.7007299270073</v>
      </c>
      <c r="M174" s="16">
        <f t="shared" si="81"/>
        <v>44.7007299270073</v>
      </c>
    </row>
    <row r="175" spans="1:13" ht="12.75">
      <c r="A175" s="29" t="s">
        <v>10</v>
      </c>
      <c r="B175" s="24" t="s">
        <v>21</v>
      </c>
      <c r="C175" s="51">
        <v>24</v>
      </c>
      <c r="D175" s="50">
        <f aca="true" t="shared" si="83" ref="D175:D182">F175+G175+H175+I175</f>
        <v>19.6</v>
      </c>
      <c r="E175" s="38">
        <f t="shared" si="82"/>
        <v>13.6</v>
      </c>
      <c r="F175" s="51">
        <v>6</v>
      </c>
      <c r="G175" s="51">
        <v>6</v>
      </c>
      <c r="H175" s="15">
        <v>1.6</v>
      </c>
      <c r="I175" s="16">
        <v>6</v>
      </c>
      <c r="J175" s="16">
        <v>4.7</v>
      </c>
      <c r="K175" s="18">
        <f t="shared" si="79"/>
        <v>34.55882352941177</v>
      </c>
      <c r="L175" s="16">
        <f t="shared" si="80"/>
        <v>23.97959183673469</v>
      </c>
      <c r="M175" s="16">
        <f t="shared" si="81"/>
        <v>19.583333333333332</v>
      </c>
    </row>
    <row r="176" spans="1:13" ht="24">
      <c r="A176" s="33" t="s">
        <v>11</v>
      </c>
      <c r="B176" s="24" t="s">
        <v>17</v>
      </c>
      <c r="C176" s="51">
        <v>761.2</v>
      </c>
      <c r="D176" s="50">
        <f t="shared" si="83"/>
        <v>761.2</v>
      </c>
      <c r="E176" s="38">
        <f t="shared" si="82"/>
        <v>486.2</v>
      </c>
      <c r="F176" s="51">
        <v>105.6</v>
      </c>
      <c r="G176" s="51">
        <v>190.3</v>
      </c>
      <c r="H176" s="15">
        <v>190.3</v>
      </c>
      <c r="I176" s="16">
        <v>275</v>
      </c>
      <c r="J176" s="16">
        <v>434.7</v>
      </c>
      <c r="K176" s="18">
        <f t="shared" si="79"/>
        <v>89.40765117235706</v>
      </c>
      <c r="L176" s="16">
        <f t="shared" si="80"/>
        <v>57.107199159222276</v>
      </c>
      <c r="M176" s="16">
        <f t="shared" si="81"/>
        <v>57.107199159222276</v>
      </c>
    </row>
    <row r="177" spans="1:13" ht="13.5" customHeight="1">
      <c r="A177" s="35" t="s">
        <v>40</v>
      </c>
      <c r="B177" s="24" t="s">
        <v>41</v>
      </c>
      <c r="C177" s="51">
        <v>19.5</v>
      </c>
      <c r="D177" s="50">
        <f t="shared" si="83"/>
        <v>19.5</v>
      </c>
      <c r="E177" s="38">
        <f t="shared" si="82"/>
        <v>14.700000000000001</v>
      </c>
      <c r="F177" s="51">
        <v>4.9</v>
      </c>
      <c r="G177" s="51">
        <v>4.9</v>
      </c>
      <c r="H177" s="15">
        <v>4.9</v>
      </c>
      <c r="I177" s="16">
        <v>4.8</v>
      </c>
      <c r="J177" s="16"/>
      <c r="K177" s="18">
        <f t="shared" si="79"/>
        <v>0</v>
      </c>
      <c r="L177" s="16">
        <f t="shared" si="80"/>
        <v>0</v>
      </c>
      <c r="M177" s="16">
        <f t="shared" si="81"/>
        <v>0</v>
      </c>
    </row>
    <row r="178" spans="1:13" ht="13.5" customHeight="1" hidden="1">
      <c r="A178" s="34" t="s">
        <v>18</v>
      </c>
      <c r="B178" s="24" t="s">
        <v>15</v>
      </c>
      <c r="C178" s="51"/>
      <c r="D178" s="50">
        <f t="shared" si="83"/>
        <v>0</v>
      </c>
      <c r="E178" s="38">
        <f t="shared" si="82"/>
        <v>0</v>
      </c>
      <c r="F178" s="51"/>
      <c r="G178" s="51"/>
      <c r="H178" s="15"/>
      <c r="I178" s="16"/>
      <c r="J178" s="16"/>
      <c r="K178" s="18" t="e">
        <f t="shared" si="79"/>
        <v>#DIV/0!</v>
      </c>
      <c r="L178" s="16" t="e">
        <f t="shared" si="80"/>
        <v>#DIV/0!</v>
      </c>
      <c r="M178" s="16"/>
    </row>
    <row r="179" spans="1:13" ht="16.5" customHeight="1">
      <c r="A179" s="31" t="s">
        <v>12</v>
      </c>
      <c r="B179" s="24" t="s">
        <v>7</v>
      </c>
      <c r="C179" s="51"/>
      <c r="D179" s="50">
        <f t="shared" si="83"/>
        <v>5</v>
      </c>
      <c r="E179" s="38">
        <f t="shared" si="82"/>
        <v>5</v>
      </c>
      <c r="F179" s="51"/>
      <c r="G179" s="51">
        <v>5</v>
      </c>
      <c r="H179" s="15"/>
      <c r="I179" s="16"/>
      <c r="J179" s="16">
        <v>6.9</v>
      </c>
      <c r="K179" s="18"/>
      <c r="L179" s="16"/>
      <c r="M179" s="16"/>
    </row>
    <row r="180" spans="1:13" ht="14.25" customHeight="1">
      <c r="A180" s="70" t="s">
        <v>37</v>
      </c>
      <c r="B180" s="14" t="s">
        <v>38</v>
      </c>
      <c r="C180" s="51"/>
      <c r="D180" s="50">
        <f t="shared" si="83"/>
        <v>0</v>
      </c>
      <c r="E180" s="38">
        <f t="shared" si="82"/>
        <v>0</v>
      </c>
      <c r="F180" s="51"/>
      <c r="G180" s="51"/>
      <c r="H180" s="15"/>
      <c r="I180" s="16"/>
      <c r="J180" s="16">
        <v>-0.1</v>
      </c>
      <c r="K180" s="23"/>
      <c r="L180" s="21"/>
      <c r="M180" s="16"/>
    </row>
    <row r="181" spans="1:13" ht="12.75">
      <c r="A181" s="30" t="s">
        <v>1</v>
      </c>
      <c r="B181" s="25" t="s">
        <v>0</v>
      </c>
      <c r="C181" s="26">
        <f aca="true" t="shared" si="84" ref="C181:J181">C182+C183</f>
        <v>28412.1</v>
      </c>
      <c r="D181" s="26">
        <f t="shared" si="84"/>
        <v>28542.6</v>
      </c>
      <c r="E181" s="53">
        <f t="shared" si="84"/>
        <v>21439.6</v>
      </c>
      <c r="F181" s="53">
        <f t="shared" si="84"/>
        <v>6010.9</v>
      </c>
      <c r="G181" s="53">
        <f t="shared" si="84"/>
        <v>8026.5</v>
      </c>
      <c r="H181" s="26">
        <f t="shared" si="84"/>
        <v>7402.2</v>
      </c>
      <c r="I181" s="26">
        <f t="shared" si="84"/>
        <v>7103</v>
      </c>
      <c r="J181" s="26">
        <f t="shared" si="84"/>
        <v>20325.6</v>
      </c>
      <c r="K181" s="23">
        <f>J181*100/E181</f>
        <v>94.80400753745405</v>
      </c>
      <c r="L181" s="21">
        <f>J181*100/D181</f>
        <v>71.21145235542662</v>
      </c>
      <c r="M181" s="21">
        <f>J181*100/C181</f>
        <v>71.5385346384111</v>
      </c>
    </row>
    <row r="182" spans="1:13" ht="23.25" customHeight="1">
      <c r="A182" s="69" t="s">
        <v>52</v>
      </c>
      <c r="B182" s="27" t="s">
        <v>20</v>
      </c>
      <c r="C182" s="50">
        <v>28412.1</v>
      </c>
      <c r="D182" s="50">
        <f t="shared" si="83"/>
        <v>28542.6</v>
      </c>
      <c r="E182" s="38">
        <f t="shared" si="82"/>
        <v>21439.6</v>
      </c>
      <c r="F182" s="51">
        <v>6010.9</v>
      </c>
      <c r="G182" s="51">
        <v>8026.5</v>
      </c>
      <c r="H182" s="15">
        <v>7402.2</v>
      </c>
      <c r="I182" s="16">
        <v>7103</v>
      </c>
      <c r="J182" s="16">
        <v>20325.6</v>
      </c>
      <c r="K182" s="18">
        <f>J182*100/E182</f>
        <v>94.80400753745405</v>
      </c>
      <c r="L182" s="16">
        <f>J182*100/D182</f>
        <v>71.21145235542662</v>
      </c>
      <c r="M182" s="16">
        <f>J182*100/C182</f>
        <v>71.5385346384111</v>
      </c>
    </row>
    <row r="183" spans="1:13" ht="18" customHeight="1" hidden="1">
      <c r="A183" s="13" t="s">
        <v>2</v>
      </c>
      <c r="B183" s="28" t="s">
        <v>19</v>
      </c>
      <c r="C183" s="54"/>
      <c r="D183" s="50">
        <f>F183+G183+H183+I183</f>
        <v>0</v>
      </c>
      <c r="E183" s="38">
        <f>F183+G183</f>
        <v>0</v>
      </c>
      <c r="F183" s="54"/>
      <c r="G183" s="54"/>
      <c r="H183" s="15"/>
      <c r="I183" s="16"/>
      <c r="J183" s="16"/>
      <c r="K183" s="18"/>
      <c r="L183" s="16"/>
      <c r="M183" s="16"/>
    </row>
    <row r="184" spans="1:13" ht="12.75">
      <c r="A184" s="19"/>
      <c r="B184" s="20" t="s">
        <v>4</v>
      </c>
      <c r="C184" s="21">
        <f aca="true" t="shared" si="85" ref="C184:J184">C181+C170</f>
        <v>35737</v>
      </c>
      <c r="D184" s="21">
        <f t="shared" si="85"/>
        <v>36572.5</v>
      </c>
      <c r="E184" s="21">
        <f t="shared" si="85"/>
        <v>27211.699999999997</v>
      </c>
      <c r="F184" s="21">
        <f t="shared" si="85"/>
        <v>7585.7</v>
      </c>
      <c r="G184" s="21">
        <f t="shared" si="85"/>
        <v>9993</v>
      </c>
      <c r="H184" s="21">
        <f t="shared" si="85"/>
        <v>9633</v>
      </c>
      <c r="I184" s="21">
        <f t="shared" si="85"/>
        <v>9360.8</v>
      </c>
      <c r="J184" s="21">
        <f t="shared" si="85"/>
        <v>25592.799999999996</v>
      </c>
      <c r="K184" s="23">
        <f>J184*100/E184</f>
        <v>94.05072082964313</v>
      </c>
      <c r="L184" s="21">
        <f>J184*100/D184</f>
        <v>69.97826235559504</v>
      </c>
      <c r="M184" s="21">
        <f>J184*100/C184</f>
        <v>71.61429330945518</v>
      </c>
    </row>
    <row r="185" spans="1:13" ht="12.75">
      <c r="A185" s="169"/>
      <c r="B185" s="170"/>
      <c r="C185" s="170"/>
      <c r="D185" s="170"/>
      <c r="E185" s="170"/>
      <c r="F185" s="170"/>
      <c r="G185" s="170"/>
      <c r="H185" s="170"/>
      <c r="I185" s="170"/>
      <c r="J185" s="170"/>
      <c r="K185" s="23"/>
      <c r="L185" s="21"/>
      <c r="M185" s="16"/>
    </row>
    <row r="186" spans="1:13" ht="12.75">
      <c r="A186" s="172" t="s">
        <v>32</v>
      </c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4"/>
    </row>
    <row r="187" spans="1:13" ht="12.75">
      <c r="A187" s="30" t="s">
        <v>3</v>
      </c>
      <c r="B187" s="22" t="s">
        <v>53</v>
      </c>
      <c r="C187" s="23">
        <f aca="true" t="shared" si="86" ref="C187:I187">C188+C190+C191+C192+C193+C195+C197+C196+C194+C189</f>
        <v>27020</v>
      </c>
      <c r="D187" s="23">
        <f>D188+D190+D191+D192+D193+D195+D197+D196+D194+D189-0.1</f>
        <v>32205.500000000004</v>
      </c>
      <c r="E187" s="23">
        <f t="shared" si="86"/>
        <v>24144.2</v>
      </c>
      <c r="F187" s="23">
        <f t="shared" si="86"/>
        <v>6401.099999999999</v>
      </c>
      <c r="G187" s="23">
        <f t="shared" si="86"/>
        <v>6510.299999999999</v>
      </c>
      <c r="H187" s="23">
        <f t="shared" si="86"/>
        <v>11232.8</v>
      </c>
      <c r="I187" s="23">
        <f t="shared" si="86"/>
        <v>8061.400000000001</v>
      </c>
      <c r="J187" s="23">
        <f>J188+J190+J191+J192+J193+J195+J197+J196+J194+J189</f>
        <v>22270.700000000004</v>
      </c>
      <c r="K187" s="23">
        <f aca="true" t="shared" si="87" ref="K187:K195">J187*100/E187</f>
        <v>92.24037242898918</v>
      </c>
      <c r="L187" s="21">
        <f aca="true" t="shared" si="88" ref="L187:L195">J187*100/D187</f>
        <v>69.15185294437286</v>
      </c>
      <c r="M187" s="21">
        <f aca="true" t="shared" si="89" ref="M187:M193">J187*100/C187</f>
        <v>82.42301998519616</v>
      </c>
    </row>
    <row r="188" spans="1:14" ht="12.75">
      <c r="A188" s="29" t="s">
        <v>63</v>
      </c>
      <c r="B188" s="47" t="s">
        <v>64</v>
      </c>
      <c r="C188" s="51">
        <v>18700</v>
      </c>
      <c r="D188" s="50">
        <f>F188+G188+H188+I188</f>
        <v>18754.3</v>
      </c>
      <c r="E188" s="38">
        <f aca="true" t="shared" si="90" ref="E188:E200">F188+G188+H188</f>
        <v>14079.3</v>
      </c>
      <c r="F188" s="50">
        <v>4675</v>
      </c>
      <c r="G188" s="50">
        <v>4729.3</v>
      </c>
      <c r="H188" s="15">
        <v>4675</v>
      </c>
      <c r="I188" s="16">
        <v>4675</v>
      </c>
      <c r="J188" s="16">
        <v>15380.3</v>
      </c>
      <c r="K188" s="18">
        <f t="shared" si="87"/>
        <v>109.24051621884611</v>
      </c>
      <c r="L188" s="16">
        <f t="shared" si="88"/>
        <v>82.00945916403172</v>
      </c>
      <c r="M188" s="16">
        <f t="shared" si="89"/>
        <v>82.2475935828877</v>
      </c>
      <c r="N188" s="2"/>
    </row>
    <row r="189" spans="1:13" ht="23.25" customHeight="1">
      <c r="A189" s="29" t="s">
        <v>62</v>
      </c>
      <c r="B189" s="24" t="s">
        <v>61</v>
      </c>
      <c r="C189" s="51">
        <v>5011</v>
      </c>
      <c r="D189" s="50">
        <f>F189+G189+H189+I189</f>
        <v>5011</v>
      </c>
      <c r="E189" s="38">
        <f t="shared" si="90"/>
        <v>3757.5</v>
      </c>
      <c r="F189" s="50">
        <v>1252.5</v>
      </c>
      <c r="G189" s="50">
        <v>1252.5</v>
      </c>
      <c r="H189" s="15">
        <v>1252.5</v>
      </c>
      <c r="I189" s="16">
        <v>1253.5</v>
      </c>
      <c r="J189" s="16">
        <v>4054.7</v>
      </c>
      <c r="K189" s="18">
        <f t="shared" si="87"/>
        <v>107.90951430472388</v>
      </c>
      <c r="L189" s="16">
        <f t="shared" si="88"/>
        <v>80.9159848333666</v>
      </c>
      <c r="M189" s="16">
        <f t="shared" si="89"/>
        <v>80.9159848333666</v>
      </c>
    </row>
    <row r="190" spans="1:13" ht="14.25" customHeight="1">
      <c r="A190" s="29" t="s">
        <v>8</v>
      </c>
      <c r="B190" s="24" t="s">
        <v>5</v>
      </c>
      <c r="C190" s="51"/>
      <c r="D190" s="50">
        <f aca="true" t="shared" si="91" ref="D190:D200">F190+G190+H190+I190</f>
        <v>34.9</v>
      </c>
      <c r="E190" s="38">
        <f t="shared" si="90"/>
        <v>34.9</v>
      </c>
      <c r="F190" s="50"/>
      <c r="G190" s="50">
        <v>34.9</v>
      </c>
      <c r="H190" s="15"/>
      <c r="I190" s="16"/>
      <c r="J190" s="16">
        <v>34.9</v>
      </c>
      <c r="K190" s="18">
        <f t="shared" si="87"/>
        <v>100</v>
      </c>
      <c r="L190" s="16">
        <f>J190*100/D190</f>
        <v>100</v>
      </c>
      <c r="M190" s="16"/>
    </row>
    <row r="191" spans="1:13" ht="13.5" customHeight="1">
      <c r="A191" s="29" t="s">
        <v>9</v>
      </c>
      <c r="B191" s="24" t="s">
        <v>6</v>
      </c>
      <c r="C191" s="51">
        <v>2795</v>
      </c>
      <c r="D191" s="50">
        <f t="shared" si="91"/>
        <v>2795</v>
      </c>
      <c r="E191" s="38">
        <f t="shared" si="90"/>
        <v>841.5</v>
      </c>
      <c r="F191" s="50">
        <v>280.5</v>
      </c>
      <c r="G191" s="50">
        <v>280.5</v>
      </c>
      <c r="H191" s="15">
        <v>280.5</v>
      </c>
      <c r="I191" s="16">
        <v>1953.5</v>
      </c>
      <c r="J191" s="16">
        <v>1360.6</v>
      </c>
      <c r="K191" s="18">
        <f t="shared" si="87"/>
        <v>161.68746286393346</v>
      </c>
      <c r="L191" s="16">
        <f t="shared" si="88"/>
        <v>48.67978533094812</v>
      </c>
      <c r="M191" s="16">
        <f t="shared" si="89"/>
        <v>48.67978533094812</v>
      </c>
    </row>
    <row r="192" spans="1:13" ht="12.75">
      <c r="A192" s="29" t="s">
        <v>10</v>
      </c>
      <c r="B192" s="24" t="s">
        <v>21</v>
      </c>
      <c r="C192" s="51">
        <v>132</v>
      </c>
      <c r="D192" s="50">
        <f t="shared" si="91"/>
        <v>132</v>
      </c>
      <c r="E192" s="38">
        <f t="shared" si="90"/>
        <v>101.19999999999999</v>
      </c>
      <c r="F192" s="50">
        <v>44.4</v>
      </c>
      <c r="G192" s="50">
        <v>28.4</v>
      </c>
      <c r="H192" s="15">
        <v>28.4</v>
      </c>
      <c r="I192" s="16">
        <v>30.8</v>
      </c>
      <c r="J192" s="16">
        <v>47.9</v>
      </c>
      <c r="K192" s="18">
        <f t="shared" si="87"/>
        <v>47.33201581027669</v>
      </c>
      <c r="L192" s="16">
        <f t="shared" si="88"/>
        <v>36.28787878787879</v>
      </c>
      <c r="M192" s="16">
        <f t="shared" si="89"/>
        <v>36.28787878787879</v>
      </c>
    </row>
    <row r="193" spans="1:13" ht="24">
      <c r="A193" s="33" t="s">
        <v>11</v>
      </c>
      <c r="B193" s="24" t="s">
        <v>17</v>
      </c>
      <c r="C193" s="51">
        <v>382</v>
      </c>
      <c r="D193" s="50">
        <f t="shared" si="91"/>
        <v>594.6999999999999</v>
      </c>
      <c r="E193" s="38">
        <f t="shared" si="90"/>
        <v>446.09999999999997</v>
      </c>
      <c r="F193" s="50">
        <v>148.7</v>
      </c>
      <c r="G193" s="50">
        <v>148.7</v>
      </c>
      <c r="H193" s="15">
        <v>148.7</v>
      </c>
      <c r="I193" s="16">
        <v>148.6</v>
      </c>
      <c r="J193" s="16">
        <v>354</v>
      </c>
      <c r="K193" s="18">
        <f t="shared" si="87"/>
        <v>79.35440484196369</v>
      </c>
      <c r="L193" s="16">
        <f t="shared" si="88"/>
        <v>59.52581133344544</v>
      </c>
      <c r="M193" s="16">
        <f t="shared" si="89"/>
        <v>92.67015706806282</v>
      </c>
    </row>
    <row r="194" spans="1:13" ht="24" customHeight="1">
      <c r="A194" s="34" t="s">
        <v>40</v>
      </c>
      <c r="B194" s="24" t="s">
        <v>41</v>
      </c>
      <c r="C194" s="51"/>
      <c r="D194" s="50">
        <f t="shared" si="91"/>
        <v>280</v>
      </c>
      <c r="E194" s="38">
        <f t="shared" si="90"/>
        <v>280</v>
      </c>
      <c r="F194" s="50"/>
      <c r="G194" s="50"/>
      <c r="H194" s="15">
        <v>280</v>
      </c>
      <c r="I194" s="16"/>
      <c r="J194" s="16">
        <v>278.9</v>
      </c>
      <c r="K194" s="18">
        <f t="shared" si="87"/>
        <v>99.60714285714285</v>
      </c>
      <c r="L194" s="16">
        <f t="shared" si="88"/>
        <v>99.60714285714285</v>
      </c>
      <c r="M194" s="16"/>
    </row>
    <row r="195" spans="1:13" ht="23.25" customHeight="1">
      <c r="A195" s="34" t="s">
        <v>18</v>
      </c>
      <c r="B195" s="24" t="s">
        <v>15</v>
      </c>
      <c r="C195" s="51"/>
      <c r="D195" s="50">
        <f t="shared" si="91"/>
        <v>4603.7</v>
      </c>
      <c r="E195" s="38">
        <f t="shared" si="90"/>
        <v>4603.7</v>
      </c>
      <c r="F195" s="50"/>
      <c r="G195" s="50">
        <v>36</v>
      </c>
      <c r="H195" s="15">
        <v>4567.7</v>
      </c>
      <c r="I195" s="16"/>
      <c r="J195" s="16">
        <v>759.4</v>
      </c>
      <c r="K195" s="18">
        <f t="shared" si="87"/>
        <v>16.495427590850838</v>
      </c>
      <c r="L195" s="16">
        <f t="shared" si="88"/>
        <v>16.495427590850838</v>
      </c>
      <c r="M195" s="16"/>
    </row>
    <row r="196" spans="1:13" ht="17.25" customHeight="1" hidden="1">
      <c r="A196" s="31" t="s">
        <v>12</v>
      </c>
      <c r="B196" s="24" t="s">
        <v>7</v>
      </c>
      <c r="C196" s="51"/>
      <c r="D196" s="50">
        <f t="shared" si="91"/>
        <v>0</v>
      </c>
      <c r="E196" s="38">
        <f t="shared" si="90"/>
        <v>0</v>
      </c>
      <c r="F196" s="50"/>
      <c r="G196" s="50"/>
      <c r="H196" s="15"/>
      <c r="I196" s="16"/>
      <c r="J196" s="16"/>
      <c r="K196" s="18"/>
      <c r="L196" s="16"/>
      <c r="M196" s="16"/>
    </row>
    <row r="197" spans="1:13" ht="15" customHeight="1">
      <c r="A197" s="70" t="s">
        <v>37</v>
      </c>
      <c r="B197" s="14" t="s">
        <v>38</v>
      </c>
      <c r="C197" s="51"/>
      <c r="D197" s="50">
        <f t="shared" si="91"/>
        <v>0</v>
      </c>
      <c r="E197" s="38">
        <f t="shared" si="90"/>
        <v>0</v>
      </c>
      <c r="F197" s="50"/>
      <c r="G197" s="50"/>
      <c r="H197" s="15"/>
      <c r="I197" s="16"/>
      <c r="J197" s="16">
        <v>0</v>
      </c>
      <c r="K197" s="23"/>
      <c r="L197" s="21"/>
      <c r="M197" s="16"/>
    </row>
    <row r="198" spans="1:13" ht="12.75">
      <c r="A198" s="68" t="s">
        <v>1</v>
      </c>
      <c r="B198" s="25" t="s">
        <v>0</v>
      </c>
      <c r="C198" s="52">
        <f aca="true" t="shared" si="92" ref="C198:I198">C199</f>
        <v>33359.5</v>
      </c>
      <c r="D198" s="52">
        <f>D199+D200</f>
        <v>41414.8</v>
      </c>
      <c r="E198" s="52">
        <f>E199</f>
        <v>32880.5</v>
      </c>
      <c r="F198" s="52">
        <f t="shared" si="92"/>
        <v>10619.1</v>
      </c>
      <c r="G198" s="52">
        <f t="shared" si="92"/>
        <v>11739</v>
      </c>
      <c r="H198" s="52">
        <f t="shared" si="92"/>
        <v>10522.4</v>
      </c>
      <c r="I198" s="52">
        <f t="shared" si="92"/>
        <v>8369.3</v>
      </c>
      <c r="J198" s="52">
        <f>J199+J200</f>
        <v>32771.5</v>
      </c>
      <c r="K198" s="23">
        <f>J198*100/E198</f>
        <v>99.66849652529615</v>
      </c>
      <c r="L198" s="21">
        <f>J198*100/D198</f>
        <v>79.12992456802881</v>
      </c>
      <c r="M198" s="21">
        <f>J198*100/C198</f>
        <v>98.23738365383174</v>
      </c>
    </row>
    <row r="199" spans="1:13" ht="24">
      <c r="A199" s="70" t="s">
        <v>52</v>
      </c>
      <c r="B199" s="27" t="s">
        <v>20</v>
      </c>
      <c r="C199" s="50">
        <v>33359.5</v>
      </c>
      <c r="D199" s="50">
        <f t="shared" si="91"/>
        <v>41249.8</v>
      </c>
      <c r="E199" s="38">
        <f t="shared" si="90"/>
        <v>32880.5</v>
      </c>
      <c r="F199" s="50">
        <v>10619.1</v>
      </c>
      <c r="G199" s="50">
        <v>11739</v>
      </c>
      <c r="H199" s="15">
        <v>10522.4</v>
      </c>
      <c r="I199" s="16">
        <v>8369.3</v>
      </c>
      <c r="J199" s="16">
        <v>32606.5</v>
      </c>
      <c r="K199" s="18">
        <f>J199*100/E199</f>
        <v>99.16667933881784</v>
      </c>
      <c r="L199" s="16">
        <f>J199*100/D199</f>
        <v>79.046443861546</v>
      </c>
      <c r="M199" s="16">
        <f>J199*100/C199</f>
        <v>97.74277192403963</v>
      </c>
    </row>
    <row r="200" spans="1:13" ht="24" customHeight="1">
      <c r="A200" s="69" t="s">
        <v>69</v>
      </c>
      <c r="B200" s="24" t="s">
        <v>70</v>
      </c>
      <c r="C200" s="50"/>
      <c r="D200" s="50">
        <f t="shared" si="91"/>
        <v>165</v>
      </c>
      <c r="E200" s="38">
        <f t="shared" si="90"/>
        <v>165</v>
      </c>
      <c r="F200" s="50">
        <v>165</v>
      </c>
      <c r="G200" s="50"/>
      <c r="H200" s="15"/>
      <c r="I200" s="16"/>
      <c r="J200" s="16">
        <v>165</v>
      </c>
      <c r="K200" s="18">
        <f>J200*100/E200</f>
        <v>100</v>
      </c>
      <c r="L200" s="16">
        <f>J200*100/D200</f>
        <v>100</v>
      </c>
      <c r="M200" s="16"/>
    </row>
    <row r="201" spans="1:13" ht="12.75">
      <c r="A201" s="19"/>
      <c r="B201" s="20" t="s">
        <v>4</v>
      </c>
      <c r="C201" s="21">
        <f aca="true" t="shared" si="93" ref="C201:J201">C198+C187</f>
        <v>60379.5</v>
      </c>
      <c r="D201" s="21">
        <f t="shared" si="93"/>
        <v>73620.3</v>
      </c>
      <c r="E201" s="21">
        <f t="shared" si="93"/>
        <v>57024.7</v>
      </c>
      <c r="F201" s="21">
        <f t="shared" si="93"/>
        <v>17020.2</v>
      </c>
      <c r="G201" s="21">
        <f t="shared" si="93"/>
        <v>18249.3</v>
      </c>
      <c r="H201" s="21">
        <f t="shared" si="93"/>
        <v>21755.199999999997</v>
      </c>
      <c r="I201" s="21">
        <f t="shared" si="93"/>
        <v>16430.7</v>
      </c>
      <c r="J201" s="21">
        <f t="shared" si="93"/>
        <v>55042.200000000004</v>
      </c>
      <c r="K201" s="23">
        <f>J201*100/E201</f>
        <v>96.5234363354827</v>
      </c>
      <c r="L201" s="21">
        <f>J201*100/D201</f>
        <v>74.76497650783818</v>
      </c>
      <c r="M201" s="21">
        <f>J201*100/C201</f>
        <v>91.16041040419347</v>
      </c>
    </row>
    <row r="202" spans="1:13" ht="12.75">
      <c r="A202" s="169"/>
      <c r="B202" s="170"/>
      <c r="C202" s="170"/>
      <c r="D202" s="170"/>
      <c r="E202" s="170"/>
      <c r="F202" s="170"/>
      <c r="G202" s="170"/>
      <c r="H202" s="170"/>
      <c r="I202" s="170"/>
      <c r="J202" s="170"/>
      <c r="K202" s="23"/>
      <c r="L202" s="21"/>
      <c r="M202" s="16"/>
    </row>
    <row r="203" spans="1:13" ht="12.75">
      <c r="A203" s="172" t="s">
        <v>33</v>
      </c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4"/>
    </row>
    <row r="204" spans="1:13" ht="12.75">
      <c r="A204" s="30" t="s">
        <v>3</v>
      </c>
      <c r="B204" s="22" t="s">
        <v>53</v>
      </c>
      <c r="C204" s="23">
        <f aca="true" t="shared" si="94" ref="C204:I204">C205+C208+C210+C211+C209+C212+C213+C207+C206</f>
        <v>5671.1</v>
      </c>
      <c r="D204" s="23">
        <f t="shared" si="94"/>
        <v>5854.3</v>
      </c>
      <c r="E204" s="23">
        <f t="shared" si="94"/>
        <v>4312.200000000001</v>
      </c>
      <c r="F204" s="23">
        <f t="shared" si="94"/>
        <v>1375.5</v>
      </c>
      <c r="G204" s="23">
        <f t="shared" si="94"/>
        <v>1467.4</v>
      </c>
      <c r="H204" s="23">
        <f t="shared" si="94"/>
        <v>1469.3</v>
      </c>
      <c r="I204" s="23">
        <f t="shared" si="94"/>
        <v>1542.1</v>
      </c>
      <c r="J204" s="23">
        <f>J205+J208+J210+J211+J209+J212+J213+J207+J206</f>
        <v>4341.900000000001</v>
      </c>
      <c r="K204" s="23">
        <f>J204*100/E204</f>
        <v>100.68874356476972</v>
      </c>
      <c r="L204" s="21">
        <f aca="true" t="shared" si="95" ref="L204:L210">J204*100/D204</f>
        <v>74.16599764275833</v>
      </c>
      <c r="M204" s="21">
        <f aca="true" t="shared" si="96" ref="M204:M210">J204*100/C204</f>
        <v>76.561866304597</v>
      </c>
    </row>
    <row r="205" spans="1:14" ht="12.75">
      <c r="A205" s="29" t="s">
        <v>63</v>
      </c>
      <c r="B205" s="47" t="s">
        <v>64</v>
      </c>
      <c r="C205" s="51">
        <v>1400</v>
      </c>
      <c r="D205" s="50">
        <f>F205+G205+H205+I205</f>
        <v>1400</v>
      </c>
      <c r="E205" s="38">
        <f aca="true" t="shared" si="97" ref="E205:E215">F205+G205+H205</f>
        <v>1050</v>
      </c>
      <c r="F205" s="50">
        <v>350</v>
      </c>
      <c r="G205" s="50">
        <v>350</v>
      </c>
      <c r="H205" s="15">
        <v>350</v>
      </c>
      <c r="I205" s="15">
        <v>350</v>
      </c>
      <c r="J205" s="16">
        <v>870.2</v>
      </c>
      <c r="K205" s="18">
        <f>J205*100/E205</f>
        <v>82.87619047619047</v>
      </c>
      <c r="L205" s="16">
        <f t="shared" si="95"/>
        <v>62.15714285714286</v>
      </c>
      <c r="M205" s="16">
        <f t="shared" si="96"/>
        <v>62.15714285714286</v>
      </c>
      <c r="N205" s="2"/>
    </row>
    <row r="206" spans="1:13" ht="24" customHeight="1">
      <c r="A206" s="29" t="s">
        <v>62</v>
      </c>
      <c r="B206" s="24" t="s">
        <v>61</v>
      </c>
      <c r="C206" s="51">
        <v>3835.8</v>
      </c>
      <c r="D206" s="50">
        <f>F206+G206+H206+I206</f>
        <v>3835.8</v>
      </c>
      <c r="E206" s="38">
        <f t="shared" si="97"/>
        <v>2876.8</v>
      </c>
      <c r="F206" s="50">
        <v>958.9</v>
      </c>
      <c r="G206" s="50">
        <v>958.9</v>
      </c>
      <c r="H206" s="15">
        <v>959</v>
      </c>
      <c r="I206" s="15">
        <v>959</v>
      </c>
      <c r="J206" s="16">
        <v>3103.8</v>
      </c>
      <c r="K206" s="18">
        <f>J206*100/E206</f>
        <v>107.89071190211345</v>
      </c>
      <c r="L206" s="16">
        <f t="shared" si="95"/>
        <v>80.91662756139527</v>
      </c>
      <c r="M206" s="16">
        <f t="shared" si="96"/>
        <v>80.91662756139527</v>
      </c>
    </row>
    <row r="207" spans="1:13" ht="12.75">
      <c r="A207" s="29" t="s">
        <v>8</v>
      </c>
      <c r="B207" s="24" t="s">
        <v>5</v>
      </c>
      <c r="C207" s="51">
        <v>2</v>
      </c>
      <c r="D207" s="50">
        <f aca="true" t="shared" si="98" ref="D207:D216">F207+G207+H207+I207</f>
        <v>2</v>
      </c>
      <c r="E207" s="38">
        <f t="shared" si="97"/>
        <v>2</v>
      </c>
      <c r="F207" s="50"/>
      <c r="G207" s="50">
        <v>2</v>
      </c>
      <c r="H207" s="15"/>
      <c r="I207" s="15"/>
      <c r="J207" s="16"/>
      <c r="K207" s="18"/>
      <c r="L207" s="16">
        <f t="shared" si="95"/>
        <v>0</v>
      </c>
      <c r="M207" s="16">
        <f t="shared" si="96"/>
        <v>0</v>
      </c>
    </row>
    <row r="208" spans="1:13" ht="12.75">
      <c r="A208" s="29" t="s">
        <v>9</v>
      </c>
      <c r="B208" s="24" t="s">
        <v>6</v>
      </c>
      <c r="C208" s="51">
        <v>271</v>
      </c>
      <c r="D208" s="50">
        <f t="shared" si="98"/>
        <v>271</v>
      </c>
      <c r="E208" s="38">
        <f t="shared" si="97"/>
        <v>125</v>
      </c>
      <c r="F208" s="50">
        <v>17</v>
      </c>
      <c r="G208" s="50">
        <v>28.5</v>
      </c>
      <c r="H208" s="15">
        <v>79.5</v>
      </c>
      <c r="I208" s="15">
        <v>146</v>
      </c>
      <c r="J208" s="16">
        <v>112</v>
      </c>
      <c r="K208" s="18">
        <f>J208*100/E208</f>
        <v>89.6</v>
      </c>
      <c r="L208" s="16">
        <f t="shared" si="95"/>
        <v>41.32841328413284</v>
      </c>
      <c r="M208" s="16">
        <f t="shared" si="96"/>
        <v>41.32841328413284</v>
      </c>
    </row>
    <row r="209" spans="1:13" ht="12.75">
      <c r="A209" s="29" t="s">
        <v>10</v>
      </c>
      <c r="B209" s="24" t="s">
        <v>21</v>
      </c>
      <c r="C209" s="51">
        <v>19</v>
      </c>
      <c r="D209" s="50">
        <f t="shared" si="98"/>
        <v>19</v>
      </c>
      <c r="E209" s="38">
        <f t="shared" si="97"/>
        <v>8.7</v>
      </c>
      <c r="F209" s="50">
        <v>1.7</v>
      </c>
      <c r="G209" s="50">
        <v>3</v>
      </c>
      <c r="H209" s="15">
        <v>4</v>
      </c>
      <c r="I209" s="15">
        <v>10.3</v>
      </c>
      <c r="J209" s="16">
        <v>5.9</v>
      </c>
      <c r="K209" s="18">
        <f>J209*100/E209</f>
        <v>67.816091954023</v>
      </c>
      <c r="L209" s="16">
        <f t="shared" si="95"/>
        <v>31.05263157894737</v>
      </c>
      <c r="M209" s="16">
        <f t="shared" si="96"/>
        <v>31.05263157894737</v>
      </c>
    </row>
    <row r="210" spans="1:13" ht="24">
      <c r="A210" s="33" t="s">
        <v>11</v>
      </c>
      <c r="B210" s="24" t="s">
        <v>17</v>
      </c>
      <c r="C210" s="51">
        <v>143.3</v>
      </c>
      <c r="D210" s="50">
        <f t="shared" si="98"/>
        <v>254</v>
      </c>
      <c r="E210" s="38">
        <f t="shared" si="97"/>
        <v>177.2</v>
      </c>
      <c r="F210" s="50">
        <v>47.9</v>
      </c>
      <c r="G210" s="50">
        <v>52.5</v>
      </c>
      <c r="H210" s="15">
        <v>76.8</v>
      </c>
      <c r="I210" s="15">
        <v>76.8</v>
      </c>
      <c r="J210" s="16">
        <v>177.5</v>
      </c>
      <c r="K210" s="18">
        <f>J210*100/E210</f>
        <v>100.16930022573364</v>
      </c>
      <c r="L210" s="16">
        <f t="shared" si="95"/>
        <v>69.88188976377953</v>
      </c>
      <c r="M210" s="16">
        <f t="shared" si="96"/>
        <v>123.86601535240753</v>
      </c>
    </row>
    <row r="211" spans="1:13" ht="24" hidden="1">
      <c r="A211" s="34" t="s">
        <v>18</v>
      </c>
      <c r="B211" s="24" t="s">
        <v>15</v>
      </c>
      <c r="C211" s="51"/>
      <c r="D211" s="50">
        <f t="shared" si="98"/>
        <v>0</v>
      </c>
      <c r="E211" s="38">
        <f t="shared" si="97"/>
        <v>0</v>
      </c>
      <c r="F211" s="50"/>
      <c r="G211" s="50"/>
      <c r="H211" s="15"/>
      <c r="I211" s="15"/>
      <c r="J211" s="16"/>
      <c r="K211" s="18" t="e">
        <f>J211*100/E211</f>
        <v>#DIV/0!</v>
      </c>
      <c r="L211" s="16" t="e">
        <f>J211*100/D211</f>
        <v>#DIV/0!</v>
      </c>
      <c r="M211" s="16" t="e">
        <f>J211*100/C211</f>
        <v>#DIV/0!</v>
      </c>
    </row>
    <row r="212" spans="1:13" ht="16.5" customHeight="1">
      <c r="A212" s="34" t="s">
        <v>12</v>
      </c>
      <c r="B212" s="24" t="s">
        <v>7</v>
      </c>
      <c r="C212" s="51"/>
      <c r="D212" s="50">
        <f t="shared" si="98"/>
        <v>0</v>
      </c>
      <c r="E212" s="38">
        <f t="shared" si="97"/>
        <v>0</v>
      </c>
      <c r="F212" s="50"/>
      <c r="G212" s="50"/>
      <c r="H212" s="15"/>
      <c r="I212" s="15"/>
      <c r="J212" s="16"/>
      <c r="K212" s="18"/>
      <c r="L212" s="16"/>
      <c r="M212" s="16"/>
    </row>
    <row r="213" spans="1:13" ht="13.5" customHeight="1">
      <c r="A213" s="70" t="s">
        <v>37</v>
      </c>
      <c r="B213" s="14" t="s">
        <v>38</v>
      </c>
      <c r="C213" s="51"/>
      <c r="D213" s="50">
        <f t="shared" si="98"/>
        <v>72.5</v>
      </c>
      <c r="E213" s="38">
        <f t="shared" si="97"/>
        <v>72.5</v>
      </c>
      <c r="F213" s="50"/>
      <c r="G213" s="50">
        <v>72.5</v>
      </c>
      <c r="H213" s="15"/>
      <c r="I213" s="15"/>
      <c r="J213" s="16">
        <v>72.5</v>
      </c>
      <c r="K213" s="18">
        <f>J213*100/E213</f>
        <v>100</v>
      </c>
      <c r="L213" s="16">
        <f>J213*100/D213</f>
        <v>100</v>
      </c>
      <c r="M213" s="16"/>
    </row>
    <row r="214" spans="1:13" ht="12.75">
      <c r="A214" s="30" t="s">
        <v>1</v>
      </c>
      <c r="B214" s="25" t="s">
        <v>0</v>
      </c>
      <c r="C214" s="26">
        <f aca="true" t="shared" si="99" ref="C214:I214">C215</f>
        <v>23464.5</v>
      </c>
      <c r="D214" s="26">
        <f>D215+D216</f>
        <v>40382.8</v>
      </c>
      <c r="E214" s="26">
        <f t="shared" si="99"/>
        <v>34528</v>
      </c>
      <c r="F214" s="26">
        <f t="shared" si="99"/>
        <v>3949.2</v>
      </c>
      <c r="G214" s="26">
        <f t="shared" si="99"/>
        <v>23490.3</v>
      </c>
      <c r="H214" s="26">
        <f t="shared" si="99"/>
        <v>7088.5</v>
      </c>
      <c r="I214" s="26">
        <f t="shared" si="99"/>
        <v>5854.8</v>
      </c>
      <c r="J214" s="26">
        <f>J215+J216</f>
        <v>18636</v>
      </c>
      <c r="K214" s="23">
        <f>J214*100/E214</f>
        <v>53.97358665430954</v>
      </c>
      <c r="L214" s="21">
        <f>J214*100/D214</f>
        <v>46.14836019295343</v>
      </c>
      <c r="M214" s="21">
        <f>J214*100/C214</f>
        <v>79.4221057341942</v>
      </c>
    </row>
    <row r="215" spans="1:13" ht="24">
      <c r="A215" s="69" t="s">
        <v>52</v>
      </c>
      <c r="B215" s="27" t="s">
        <v>20</v>
      </c>
      <c r="C215" s="50">
        <v>23464.5</v>
      </c>
      <c r="D215" s="50">
        <f t="shared" si="98"/>
        <v>40382.8</v>
      </c>
      <c r="E215" s="38">
        <f t="shared" si="97"/>
        <v>34528</v>
      </c>
      <c r="F215" s="50">
        <v>3949.2</v>
      </c>
      <c r="G215" s="50">
        <v>23490.3</v>
      </c>
      <c r="H215" s="15">
        <v>7088.5</v>
      </c>
      <c r="I215" s="15">
        <v>5854.8</v>
      </c>
      <c r="J215" s="16">
        <v>18517.2</v>
      </c>
      <c r="K215" s="18">
        <f>J215*100/E215</f>
        <v>53.62951807228916</v>
      </c>
      <c r="L215" s="16">
        <f>J215*100/D215</f>
        <v>45.85417554008142</v>
      </c>
      <c r="M215" s="16">
        <f>J215*100/C215</f>
        <v>78.91580898804577</v>
      </c>
    </row>
    <row r="216" spans="1:13" ht="16.5" customHeight="1">
      <c r="A216" s="67" t="s">
        <v>60</v>
      </c>
      <c r="B216" s="28" t="s">
        <v>19</v>
      </c>
      <c r="C216" s="50"/>
      <c r="D216" s="50">
        <f t="shared" si="98"/>
        <v>0</v>
      </c>
      <c r="E216" s="38">
        <f>F216</f>
        <v>0</v>
      </c>
      <c r="F216" s="50"/>
      <c r="G216" s="50"/>
      <c r="H216" s="15"/>
      <c r="I216" s="15"/>
      <c r="J216" s="16">
        <v>118.8</v>
      </c>
      <c r="K216" s="18"/>
      <c r="L216" s="16"/>
      <c r="M216" s="16"/>
    </row>
    <row r="217" spans="1:13" ht="12.75">
      <c r="A217" s="19"/>
      <c r="B217" s="20" t="s">
        <v>4</v>
      </c>
      <c r="C217" s="21">
        <f aca="true" t="shared" si="100" ref="C217:I217">C214+C204</f>
        <v>29135.6</v>
      </c>
      <c r="D217" s="21">
        <f t="shared" si="100"/>
        <v>46237.100000000006</v>
      </c>
      <c r="E217" s="21">
        <f t="shared" si="100"/>
        <v>38840.2</v>
      </c>
      <c r="F217" s="52">
        <f t="shared" si="100"/>
        <v>5324.7</v>
      </c>
      <c r="G217" s="52">
        <f t="shared" si="100"/>
        <v>24957.7</v>
      </c>
      <c r="H217" s="52">
        <f t="shared" si="100"/>
        <v>8557.8</v>
      </c>
      <c r="I217" s="52">
        <f t="shared" si="100"/>
        <v>7396.9</v>
      </c>
      <c r="J217" s="21">
        <f>J214+J204</f>
        <v>22977.9</v>
      </c>
      <c r="K217" s="23">
        <f>J217*100/E217</f>
        <v>59.16009701288871</v>
      </c>
      <c r="L217" s="21">
        <f>J217*100/D217</f>
        <v>49.695807046722216</v>
      </c>
      <c r="M217" s="21">
        <f>J217*100/C217</f>
        <v>78.86537431870289</v>
      </c>
    </row>
    <row r="218" spans="1:13" ht="12.75">
      <c r="A218" s="169"/>
      <c r="B218" s="170"/>
      <c r="C218" s="170"/>
      <c r="D218" s="170"/>
      <c r="E218" s="170"/>
      <c r="F218" s="170"/>
      <c r="G218" s="170"/>
      <c r="H218" s="170"/>
      <c r="I218" s="170"/>
      <c r="J218" s="170"/>
      <c r="K218" s="23"/>
      <c r="L218" s="21"/>
      <c r="M218" s="16"/>
    </row>
    <row r="219" spans="1:13" ht="12.75">
      <c r="A219" s="172" t="s">
        <v>34</v>
      </c>
      <c r="B219" s="173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4"/>
    </row>
    <row r="220" spans="1:13" ht="12.75">
      <c r="A220" s="30" t="s">
        <v>3</v>
      </c>
      <c r="B220" s="22" t="s">
        <v>53</v>
      </c>
      <c r="C220" s="23">
        <f aca="true" t="shared" si="101" ref="C220:I220">C221+C223+C224+C225+C227+C228+C230+C232+C229+C226+C233+C231+C222</f>
        <v>1018265.9000000001</v>
      </c>
      <c r="D220" s="23">
        <f t="shared" si="101"/>
        <v>1062839.5</v>
      </c>
      <c r="E220" s="23">
        <f t="shared" si="101"/>
        <v>798982.1000000002</v>
      </c>
      <c r="F220" s="23">
        <f t="shared" si="101"/>
        <v>272028.9</v>
      </c>
      <c r="G220" s="23">
        <f t="shared" si="101"/>
        <v>287533.7</v>
      </c>
      <c r="H220" s="23">
        <f t="shared" si="101"/>
        <v>239419.50000000003</v>
      </c>
      <c r="I220" s="23">
        <f t="shared" si="101"/>
        <v>263857.49999999994</v>
      </c>
      <c r="J220" s="23">
        <f>J221+J223+J224+J225+J227+J228+J230+J232+J229+J226+J233+J231+J222</f>
        <v>812244.6000000001</v>
      </c>
      <c r="K220" s="23">
        <f aca="true" t="shared" si="102" ref="K220:K225">J220*100/E220</f>
        <v>101.65992454649484</v>
      </c>
      <c r="L220" s="21">
        <f aca="true" t="shared" si="103" ref="L220:L225">J220*100/D220</f>
        <v>76.42213146952105</v>
      </c>
      <c r="M220" s="21">
        <f aca="true" t="shared" si="104" ref="M220:M233">J220*100/C220</f>
        <v>79.76743599093322</v>
      </c>
    </row>
    <row r="221" spans="1:13" ht="12.75">
      <c r="A221" s="29" t="s">
        <v>63</v>
      </c>
      <c r="B221" s="47" t="s">
        <v>64</v>
      </c>
      <c r="C221" s="16">
        <f>C9+C32+C48+C66+C83+C101+C117+C135+C153+C171+C188+C205</f>
        <v>723175.5</v>
      </c>
      <c r="D221" s="50">
        <f>F221+G221+H221+I221</f>
        <v>735884.2</v>
      </c>
      <c r="E221" s="38">
        <f aca="true" t="shared" si="105" ref="E221:E239">F221+G221+H221</f>
        <v>557677.4</v>
      </c>
      <c r="F221" s="16">
        <f>F9+F32+F48+F66+F83+F101+F117+F135+F153+F171+F188+F205</f>
        <v>192768.9</v>
      </c>
      <c r="G221" s="16">
        <f>G9+G32+G48+G66+G83+G101+G117+G135+G153+G171+G188+G205</f>
        <v>196972.69999999998</v>
      </c>
      <c r="H221" s="16">
        <f>H9+H32+H48+H66+H83+H101+H117+H135+H153+H171+H188+H205</f>
        <v>167935.80000000002</v>
      </c>
      <c r="I221" s="16">
        <f>I9+I32+I48+I66+I83+I101+I117+I135+I153+I171+I188+I205</f>
        <v>178206.8</v>
      </c>
      <c r="J221" s="16">
        <f>J9+J32+J48+J66+J83+J101+J117+J135+J153+J171+J188+J205</f>
        <v>561937.5000000001</v>
      </c>
      <c r="K221" s="18">
        <f t="shared" si="102"/>
        <v>100.76390041984848</v>
      </c>
      <c r="L221" s="16">
        <f t="shared" si="103"/>
        <v>76.36221840338469</v>
      </c>
      <c r="M221" s="16">
        <f t="shared" si="104"/>
        <v>77.70416724571008</v>
      </c>
    </row>
    <row r="222" spans="1:13" ht="36">
      <c r="A222" s="29" t="s">
        <v>62</v>
      </c>
      <c r="B222" s="24" t="s">
        <v>61</v>
      </c>
      <c r="C222" s="16">
        <f>C10+C33+C49+C67+C84+C102+C119+C136+C154+C172+C189+C206</f>
        <v>53068</v>
      </c>
      <c r="D222" s="50">
        <f aca="true" t="shared" si="106" ref="D222:D235">F222+G222+H222+I222</f>
        <v>54964.59999999999</v>
      </c>
      <c r="E222" s="38">
        <f t="shared" si="105"/>
        <v>42064.799999999996</v>
      </c>
      <c r="F222" s="16">
        <f>F10+F33+F49+F67+F84+F102+F119+F136+F154+F172+F189+F206</f>
        <v>14669.999999999998</v>
      </c>
      <c r="G222" s="16">
        <f>G10+G33+G49+G67+G84+G102+G119+G136+G154+G172+G189+G206</f>
        <v>13942.4</v>
      </c>
      <c r="H222" s="16">
        <f>H10+H33+H49+H67+H84+H102+H119+H136+H154+H172+H189+H206</f>
        <v>13452.399999999998</v>
      </c>
      <c r="I222" s="16">
        <f>I10+I33+I49+I67+I84+I102+I119+I136+I154+I172+I189+I206</f>
        <v>12899.799999999997</v>
      </c>
      <c r="J222" s="16">
        <f>J10+J33+J49+J67+J84+J102+J119+J136+J154+J172+J189+J206+0.1</f>
        <v>42940.4</v>
      </c>
      <c r="K222" s="18">
        <f t="shared" si="102"/>
        <v>102.08155036990549</v>
      </c>
      <c r="L222" s="16">
        <f t="shared" si="103"/>
        <v>78.12373782398127</v>
      </c>
      <c r="M222" s="16">
        <f t="shared" si="104"/>
        <v>80.91580613552424</v>
      </c>
    </row>
    <row r="223" spans="1:13" ht="12.75">
      <c r="A223" s="29" t="s">
        <v>8</v>
      </c>
      <c r="B223" s="24" t="s">
        <v>5</v>
      </c>
      <c r="C223" s="16">
        <f>C11+C50+C68+C207+C155+C118+C190+C85+C103+C173+C120</f>
        <v>53414.5</v>
      </c>
      <c r="D223" s="50">
        <f>F223+G223+H223+I223</f>
        <v>54901.3</v>
      </c>
      <c r="E223" s="38">
        <f t="shared" si="105"/>
        <v>47505.5</v>
      </c>
      <c r="F223" s="16">
        <f>F11+F50+F68+F207+F155+F190+F85+F103+F173+F120</f>
        <v>13497.7</v>
      </c>
      <c r="G223" s="16">
        <f>G11+G50+G68+G207+G155+G190+G85+G103+G173+G120</f>
        <v>26709.2</v>
      </c>
      <c r="H223" s="16">
        <f>H11+H50+H68+H207+H155+H190+H85+H103+H173+H120</f>
        <v>7298.599999999999</v>
      </c>
      <c r="I223" s="16">
        <f>I11+I50+I68+I207+I155+I190+I85+I103+I173+I120</f>
        <v>7395.8</v>
      </c>
      <c r="J223" s="16">
        <f>J11+J50+J68+J207+J155+J118+J190+J85+J103+J173+J120</f>
        <v>59948.2</v>
      </c>
      <c r="K223" s="18">
        <f t="shared" si="102"/>
        <v>126.19212512235426</v>
      </c>
      <c r="L223" s="16">
        <f t="shared" si="103"/>
        <v>109.19267849759477</v>
      </c>
      <c r="M223" s="16">
        <f t="shared" si="104"/>
        <v>112.23207181570547</v>
      </c>
    </row>
    <row r="224" spans="1:13" ht="12.75">
      <c r="A224" s="29" t="s">
        <v>9</v>
      </c>
      <c r="B224" s="24" t="s">
        <v>6</v>
      </c>
      <c r="C224" s="16">
        <f>C12+C34+C51+C69+C86+C104+C121+C137+C156+C174+C191+C208</f>
        <v>30805</v>
      </c>
      <c r="D224" s="50">
        <f t="shared" si="106"/>
        <v>33605</v>
      </c>
      <c r="E224" s="38">
        <f t="shared" si="105"/>
        <v>16512.7</v>
      </c>
      <c r="F224" s="16">
        <f>F12+F34+F51+F69+F86+F104+F121+F137+F156+F174+F191+F208</f>
        <v>7423.3</v>
      </c>
      <c r="G224" s="16">
        <f>G12+G34+G51+G69+G86+G104+G121+G137+G156+G174+G191+G208</f>
        <v>3130.3999999999996</v>
      </c>
      <c r="H224" s="16">
        <f>H12+H34+H51+H69+H86+H104+H121+H137+H156+H174+H191+H208</f>
        <v>5959</v>
      </c>
      <c r="I224" s="16">
        <f>I12+I34+I51+I69+I86+I104+I121+I137+I156+I174+I191+I208</f>
        <v>17092.3</v>
      </c>
      <c r="J224" s="16">
        <f>J12+J34+J51+J69+J86+J104+J121+J137+J156+J174+J191+J208+0.1</f>
        <v>17922.599999999995</v>
      </c>
      <c r="K224" s="18">
        <f t="shared" si="102"/>
        <v>108.5382765992236</v>
      </c>
      <c r="L224" s="16">
        <f t="shared" si="103"/>
        <v>53.333134950156214</v>
      </c>
      <c r="M224" s="16">
        <f t="shared" si="104"/>
        <v>58.18081480279174</v>
      </c>
    </row>
    <row r="225" spans="1:13" ht="12.75">
      <c r="A225" s="29" t="s">
        <v>10</v>
      </c>
      <c r="B225" s="24" t="s">
        <v>21</v>
      </c>
      <c r="C225" s="16">
        <f>C13+C35+C52+C70+C87+C105+C122+C138+C157+C175+C192+C209</f>
        <v>4147.8</v>
      </c>
      <c r="D225" s="50">
        <f t="shared" si="106"/>
        <v>4346.400000000001</v>
      </c>
      <c r="E225" s="38">
        <f t="shared" si="105"/>
        <v>3642.1000000000004</v>
      </c>
      <c r="F225" s="16">
        <f>F13+F35+F70+F87+F105+F122+F138+F157+F175+F192+F209+F52</f>
        <v>1265.2</v>
      </c>
      <c r="G225" s="16">
        <f>G13+G35+G70+G87+G105+G122+G138+G157+G175+G192+G209+G52</f>
        <v>1298.3000000000002</v>
      </c>
      <c r="H225" s="16">
        <f>H13+H35+H70+H87+H105+H122+H138+H157+H175+H192+H209+H52</f>
        <v>1078.6000000000001</v>
      </c>
      <c r="I225" s="16">
        <f>I13+I35+I70+I87+I105+I122+I138+I157+I175+I192+I209+I52</f>
        <v>704.3</v>
      </c>
      <c r="J225" s="16">
        <f>J13+J35+J70+J87+J105+J122+J138+J157+J175+J192+J209+J52-0.1</f>
        <v>3495.9</v>
      </c>
      <c r="K225" s="18">
        <f t="shared" si="102"/>
        <v>95.98583234946871</v>
      </c>
      <c r="L225" s="16">
        <f t="shared" si="103"/>
        <v>80.43208172280507</v>
      </c>
      <c r="M225" s="16">
        <f t="shared" si="104"/>
        <v>84.28323448575148</v>
      </c>
    </row>
    <row r="226" spans="1:13" ht="24" hidden="1">
      <c r="A226" s="29" t="s">
        <v>35</v>
      </c>
      <c r="B226" s="24" t="s">
        <v>36</v>
      </c>
      <c r="C226" s="32">
        <f>C14</f>
        <v>0</v>
      </c>
      <c r="D226" s="50">
        <f t="shared" si="106"/>
        <v>0</v>
      </c>
      <c r="E226" s="38">
        <f t="shared" si="105"/>
        <v>0</v>
      </c>
      <c r="F226" s="32">
        <f>F14</f>
        <v>0</v>
      </c>
      <c r="G226" s="32">
        <f>G14</f>
        <v>0</v>
      </c>
      <c r="H226" s="32">
        <f>H14</f>
        <v>0</v>
      </c>
      <c r="I226" s="32">
        <f>I14</f>
        <v>0</v>
      </c>
      <c r="J226" s="32">
        <f>J14</f>
        <v>0</v>
      </c>
      <c r="K226" s="18"/>
      <c r="L226" s="16"/>
      <c r="M226" s="16" t="e">
        <f t="shared" si="104"/>
        <v>#DIV/0!</v>
      </c>
    </row>
    <row r="227" spans="1:13" ht="24">
      <c r="A227" s="33" t="s">
        <v>11</v>
      </c>
      <c r="B227" s="24" t="s">
        <v>17</v>
      </c>
      <c r="C227" s="16">
        <f>C15+C36+C53+C71+C88+C106+C123+C139+C158+C176+C193+C210</f>
        <v>121510.4</v>
      </c>
      <c r="D227" s="50">
        <f>F227+G227+H227+I227-0.1</f>
        <v>129100.5</v>
      </c>
      <c r="E227" s="38">
        <f t="shared" si="105"/>
        <v>93093.9</v>
      </c>
      <c r="F227" s="16">
        <f>F15+F36+F53+F71+F88+F106+F123+F139+F158+F176+F193+F210</f>
        <v>28459.600000000002</v>
      </c>
      <c r="G227" s="16">
        <f>G15+G36+G53+G71+G88+G106+G123+G139+G158+G176+G193+G210</f>
        <v>35720.200000000004</v>
      </c>
      <c r="H227" s="16">
        <f>H15+H36+H53+H71+H88+H106+H123+H139+H158+H176+H193+H210</f>
        <v>28914.1</v>
      </c>
      <c r="I227" s="16">
        <f>I15+I36+I53+I71+I88+I106+I123+I139+I158+I176+I193+I210</f>
        <v>36006.700000000004</v>
      </c>
      <c r="J227" s="16">
        <f>J15+J36+J53+J71+J88+J106+J123+J139+J158+J176+J193+J210+0.1</f>
        <v>88735.00000000001</v>
      </c>
      <c r="K227" s="18">
        <f aca="true" t="shared" si="107" ref="K227:K232">J227*100/E227</f>
        <v>95.31773832657137</v>
      </c>
      <c r="L227" s="16">
        <f aca="true" t="shared" si="108" ref="L227:L232">J227*100/D227</f>
        <v>68.73327368987728</v>
      </c>
      <c r="M227" s="16">
        <f t="shared" si="104"/>
        <v>73.02667096808176</v>
      </c>
    </row>
    <row r="228" spans="1:13" ht="12.75">
      <c r="A228" s="34" t="s">
        <v>14</v>
      </c>
      <c r="B228" s="24" t="s">
        <v>13</v>
      </c>
      <c r="C228" s="16">
        <f>C16</f>
        <v>18177.1</v>
      </c>
      <c r="D228" s="50">
        <f t="shared" si="106"/>
        <v>18177.1</v>
      </c>
      <c r="E228" s="38">
        <f t="shared" si="105"/>
        <v>12571.3</v>
      </c>
      <c r="F228" s="16">
        <f>F16</f>
        <v>4412.7</v>
      </c>
      <c r="G228" s="16">
        <f>G16</f>
        <v>2674.3</v>
      </c>
      <c r="H228" s="16">
        <f>H16</f>
        <v>5484.3</v>
      </c>
      <c r="I228" s="16">
        <f>I16</f>
        <v>5605.8</v>
      </c>
      <c r="J228" s="16">
        <f>J16</f>
        <v>11360</v>
      </c>
      <c r="K228" s="18">
        <f t="shared" si="107"/>
        <v>90.36456054664195</v>
      </c>
      <c r="L228" s="16">
        <f t="shared" si="108"/>
        <v>62.49621776851093</v>
      </c>
      <c r="M228" s="16">
        <f t="shared" si="104"/>
        <v>62.49621776851093</v>
      </c>
    </row>
    <row r="229" spans="1:13" ht="24">
      <c r="A229" s="35" t="s">
        <v>40</v>
      </c>
      <c r="B229" s="24" t="s">
        <v>41</v>
      </c>
      <c r="C229" s="36">
        <f>C17+C89+C54+C107+C140+C159+C177+C194+C124+C72+C37</f>
        <v>809.8</v>
      </c>
      <c r="D229" s="50">
        <f>F229+G229+H229+I229</f>
        <v>2399.5</v>
      </c>
      <c r="E229" s="38">
        <f t="shared" si="105"/>
        <v>2145.5</v>
      </c>
      <c r="F229" s="36">
        <f>F17+F89+F54+F107+F140+F159+F177+F194+F124+F72+F37</f>
        <v>1799.5</v>
      </c>
      <c r="G229" s="36">
        <f>G17+G89+G54+G107+G140+G159+G177+G194+G124+G72+G37</f>
        <v>-857.6999999999999</v>
      </c>
      <c r="H229" s="36">
        <f>H17+H89+H54+H107+H140+H159+H177+H194+H124+H72+H37</f>
        <v>1203.6999999999998</v>
      </c>
      <c r="I229" s="36">
        <f>I17+I89+I54+I107+I140+I159+I177+I194+I124+I72+I37</f>
        <v>254</v>
      </c>
      <c r="J229" s="36">
        <f>J17+J89+J54+J107+J140+J159+J177+J194+J124+J72+J37-0.1</f>
        <v>1667.1000000000001</v>
      </c>
      <c r="K229" s="18">
        <f t="shared" si="107"/>
        <v>77.7021673269634</v>
      </c>
      <c r="L229" s="16">
        <f t="shared" si="108"/>
        <v>69.47697436966034</v>
      </c>
      <c r="M229" s="16">
        <f t="shared" si="104"/>
        <v>205.86564583847866</v>
      </c>
    </row>
    <row r="230" spans="1:13" ht="24">
      <c r="A230" s="35" t="s">
        <v>18</v>
      </c>
      <c r="B230" s="24" t="s">
        <v>15</v>
      </c>
      <c r="C230" s="16">
        <f>C18+C38+C55+C73+C90+C125+C160+C178+C195+C211+C141</f>
        <v>9073</v>
      </c>
      <c r="D230" s="50">
        <f>F230+G230+H230+I230</f>
        <v>21408.9</v>
      </c>
      <c r="E230" s="38">
        <f t="shared" si="105"/>
        <v>16082.3</v>
      </c>
      <c r="F230" s="16">
        <f>F18+F38+F55+F73+F90+F108+F125+F160+F178+F195+F211+F141</f>
        <v>4524.099999999999</v>
      </c>
      <c r="G230" s="16">
        <f>G18+G38+G55+G73+G90+G108+G125+G160+G178+G195+G211+G141</f>
        <v>3582.9</v>
      </c>
      <c r="H230" s="16">
        <f>H18+H38+H55+H73+H90+H108+H125+H160+H178+H195+H211+H141</f>
        <v>7975.299999999999</v>
      </c>
      <c r="I230" s="16">
        <f>I18+I38+I55+I73+I90+I108+I125+I160+I178+I195+I211+I141</f>
        <v>5326.6</v>
      </c>
      <c r="J230" s="16">
        <f>J18+J38+J55+J73+J90+J125+J160+J178+J195+J211+J141</f>
        <v>14143.699999999999</v>
      </c>
      <c r="K230" s="18">
        <f t="shared" si="107"/>
        <v>87.94575402771991</v>
      </c>
      <c r="L230" s="16">
        <f t="shared" si="108"/>
        <v>66.06458061834097</v>
      </c>
      <c r="M230" s="16">
        <f t="shared" si="104"/>
        <v>155.887798963959</v>
      </c>
    </row>
    <row r="231" spans="1:13" ht="12.75">
      <c r="A231" s="35" t="s">
        <v>46</v>
      </c>
      <c r="B231" s="24" t="s">
        <v>47</v>
      </c>
      <c r="C231" s="16">
        <f>C19</f>
        <v>11</v>
      </c>
      <c r="D231" s="50">
        <f t="shared" si="106"/>
        <v>43</v>
      </c>
      <c r="E231" s="38">
        <f t="shared" si="105"/>
        <v>43</v>
      </c>
      <c r="F231" s="16">
        <f>F19</f>
        <v>16</v>
      </c>
      <c r="G231" s="16">
        <f>G19</f>
        <v>27</v>
      </c>
      <c r="H231" s="16">
        <f>H19</f>
        <v>0</v>
      </c>
      <c r="I231" s="16">
        <f>I19</f>
        <v>0</v>
      </c>
      <c r="J231" s="16">
        <f>J19</f>
        <v>45</v>
      </c>
      <c r="K231" s="18">
        <f t="shared" si="107"/>
        <v>104.65116279069767</v>
      </c>
      <c r="L231" s="16">
        <f t="shared" si="108"/>
        <v>104.65116279069767</v>
      </c>
      <c r="M231" s="16">
        <f t="shared" si="104"/>
        <v>409.09090909090907</v>
      </c>
    </row>
    <row r="232" spans="1:13" ht="12.75">
      <c r="A232" s="31" t="s">
        <v>12</v>
      </c>
      <c r="B232" s="24" t="s">
        <v>7</v>
      </c>
      <c r="C232" s="16">
        <f>C20+C196+C212+C74+C142+C56+C161+C91+C179+C108</f>
        <v>4028.8</v>
      </c>
      <c r="D232" s="50">
        <f t="shared" si="106"/>
        <v>7242.2</v>
      </c>
      <c r="E232" s="38">
        <f t="shared" si="105"/>
        <v>6876.8</v>
      </c>
      <c r="F232" s="16">
        <f>F20+F196+F212+F74+F142+F56+F161+F91+F179</f>
        <v>3191.9</v>
      </c>
      <c r="G232" s="16">
        <f>G20+G196+G212+G74+G142+G56+G161+G91+G179</f>
        <v>3567.2</v>
      </c>
      <c r="H232" s="16">
        <f>H20+H196+H212+H74+H142+H56+H161+H91+H179</f>
        <v>117.7</v>
      </c>
      <c r="I232" s="16">
        <f>I20+I196+I212+I74+I142+I56+I161+I91+I179</f>
        <v>365.4</v>
      </c>
      <c r="J232" s="16">
        <f>J20+J196+J212+J74+J142+J56+J161+J91+J179+J108+J39</f>
        <v>9049.300000000001</v>
      </c>
      <c r="K232" s="18">
        <f t="shared" si="107"/>
        <v>131.5917287110284</v>
      </c>
      <c r="L232" s="16">
        <f t="shared" si="108"/>
        <v>124.95236254176909</v>
      </c>
      <c r="M232" s="16">
        <f t="shared" si="104"/>
        <v>224.6152700555997</v>
      </c>
    </row>
    <row r="233" spans="1:13" ht="12.75">
      <c r="A233" s="69" t="s">
        <v>37</v>
      </c>
      <c r="B233" s="14" t="s">
        <v>38</v>
      </c>
      <c r="C233" s="16">
        <f>C21+C40+C57+C75+C92+C109+C127+C143+C162+C180+C197+C213</f>
        <v>45</v>
      </c>
      <c r="D233" s="50">
        <f t="shared" si="106"/>
        <v>766.8</v>
      </c>
      <c r="E233" s="38">
        <f t="shared" si="105"/>
        <v>766.8</v>
      </c>
      <c r="F233" s="16">
        <v>0</v>
      </c>
      <c r="G233" s="16">
        <f>G21+G40+G57+G75+G92+G109+G127+G143+G162+G180+G197+G213</f>
        <v>766.8</v>
      </c>
      <c r="H233" s="16">
        <f>H21+H40+H57+H75+H92+H109+H127+H143+H162+H180+H197+H213</f>
        <v>0</v>
      </c>
      <c r="I233" s="16">
        <f>I21+I40+I57+I75+I92+I109+I127+I143+I162+I180+I197+I213</f>
        <v>0</v>
      </c>
      <c r="J233" s="16">
        <f>J21+J40+J57+J75+J92+J109+J127+J143+J162+J180+J197+J213</f>
        <v>999.9</v>
      </c>
      <c r="K233" s="18">
        <f>J233*100/E233</f>
        <v>130.39906103286387</v>
      </c>
      <c r="L233" s="16">
        <f>J233*100/D233</f>
        <v>130.39906103286387</v>
      </c>
      <c r="M233" s="16">
        <f t="shared" si="104"/>
        <v>2222</v>
      </c>
    </row>
    <row r="234" spans="1:13" ht="12.75">
      <c r="A234" s="30" t="s">
        <v>1</v>
      </c>
      <c r="B234" s="25" t="s">
        <v>0</v>
      </c>
      <c r="C234" s="26">
        <f>C235+C237+C239+C238+C236</f>
        <v>3665297.5</v>
      </c>
      <c r="D234" s="26">
        <f aca="true" t="shared" si="109" ref="D234:I234">D235+D237+D239+D238+D236</f>
        <v>3636063.7</v>
      </c>
      <c r="E234" s="26">
        <f t="shared" si="109"/>
        <v>2409736.9</v>
      </c>
      <c r="F234" s="26">
        <f t="shared" si="109"/>
        <v>677589.1</v>
      </c>
      <c r="G234" s="26">
        <f t="shared" si="109"/>
        <v>1025782.8999999999</v>
      </c>
      <c r="H234" s="26">
        <f t="shared" si="109"/>
        <v>706364.9</v>
      </c>
      <c r="I234" s="26">
        <f t="shared" si="109"/>
        <v>1226326.8</v>
      </c>
      <c r="J234" s="26">
        <f>J235+J237+J239+J238+J236</f>
        <v>2251434.5</v>
      </c>
      <c r="K234" s="23">
        <f aca="true" t="shared" si="110" ref="K234:K240">J234*100/E234</f>
        <v>93.43071851536988</v>
      </c>
      <c r="L234" s="21">
        <f aca="true" t="shared" si="111" ref="L234:L240">J234*100/D234</f>
        <v>61.919556029780225</v>
      </c>
      <c r="M234" s="21">
        <f>J234*100/C234</f>
        <v>61.42569600421248</v>
      </c>
    </row>
    <row r="235" spans="1:13" ht="24">
      <c r="A235" s="69" t="s">
        <v>52</v>
      </c>
      <c r="B235" s="27" t="s">
        <v>20</v>
      </c>
      <c r="C235" s="15">
        <f>C23-33523.2</f>
        <v>3665297.5</v>
      </c>
      <c r="D235" s="50">
        <f t="shared" si="106"/>
        <v>3604065</v>
      </c>
      <c r="E235" s="38">
        <f t="shared" si="105"/>
        <v>2402338.1999999997</v>
      </c>
      <c r="F235" s="15">
        <f>F23-8380.7</f>
        <v>676502.9</v>
      </c>
      <c r="G235" s="15">
        <f>G23-8420.8</f>
        <v>1024540.3999999999</v>
      </c>
      <c r="H235" s="15">
        <f>H23-8532.4</f>
        <v>701294.9</v>
      </c>
      <c r="I235" s="15">
        <f>I23-8650.5</f>
        <v>1201726.8</v>
      </c>
      <c r="J235" s="15">
        <f>J23-17303.7</f>
        <v>2225254</v>
      </c>
      <c r="K235" s="18">
        <f t="shared" si="110"/>
        <v>92.6286731818193</v>
      </c>
      <c r="L235" s="16">
        <f t="shared" si="111"/>
        <v>61.74289309432544</v>
      </c>
      <c r="M235" s="16">
        <f>J235*100/C235</f>
        <v>60.71141564907078</v>
      </c>
    </row>
    <row r="236" spans="1:13" ht="24">
      <c r="A236" s="69" t="s">
        <v>69</v>
      </c>
      <c r="B236" s="24" t="s">
        <v>70</v>
      </c>
      <c r="C236" s="16">
        <v>0</v>
      </c>
      <c r="D236" s="50">
        <f>F236+G236+H236+I236</f>
        <v>1018.4</v>
      </c>
      <c r="E236" s="38">
        <f t="shared" si="105"/>
        <v>1018.4</v>
      </c>
      <c r="F236" s="15">
        <f>F200+F130+F24</f>
        <v>165</v>
      </c>
      <c r="G236" s="15">
        <f>G200+G130+G24</f>
        <v>853.4</v>
      </c>
      <c r="H236" s="15">
        <f>H200+H130+H24</f>
        <v>0</v>
      </c>
      <c r="I236" s="15">
        <f>I200+I130+I24</f>
        <v>0</v>
      </c>
      <c r="J236" s="15">
        <f>J200+J130+J24</f>
        <v>1518.4</v>
      </c>
      <c r="K236" s="18">
        <f t="shared" si="110"/>
        <v>149.09662215239592</v>
      </c>
      <c r="L236" s="16">
        <f t="shared" si="111"/>
        <v>149.09662215239592</v>
      </c>
      <c r="M236" s="16"/>
    </row>
    <row r="237" spans="1:13" ht="12.75" customHeight="1">
      <c r="A237" s="69" t="s">
        <v>60</v>
      </c>
      <c r="B237" s="28" t="s">
        <v>19</v>
      </c>
      <c r="C237" s="16">
        <f>C25+C96+C183+C78</f>
        <v>0</v>
      </c>
      <c r="D237" s="50">
        <f>F237+G237+H237+I237</f>
        <v>37359.1</v>
      </c>
      <c r="E237" s="38">
        <f t="shared" si="105"/>
        <v>12759.1</v>
      </c>
      <c r="F237" s="16">
        <f>F25+F96+F165+F216+F148+F78+F112</f>
        <v>7300</v>
      </c>
      <c r="G237" s="16">
        <f>G25+G96+G165+G216+G148+G78+G112</f>
        <v>389.1</v>
      </c>
      <c r="H237" s="16">
        <f>H25+H96+H165+H216+H148+H78+H112</f>
        <v>5070</v>
      </c>
      <c r="I237" s="16">
        <f>I25+I96+I165+I216+I148+I78+I112</f>
        <v>24600</v>
      </c>
      <c r="J237" s="16">
        <f>J25+J96+J165+J216+J148+J78+J112</f>
        <v>31040.899999999998</v>
      </c>
      <c r="K237" s="18">
        <f t="shared" si="110"/>
        <v>243.28440093737018</v>
      </c>
      <c r="L237" s="16">
        <f t="shared" si="111"/>
        <v>83.08792235358989</v>
      </c>
      <c r="M237" s="16"/>
    </row>
    <row r="238" spans="1:13" ht="63" customHeight="1" hidden="1">
      <c r="A238" s="69" t="s">
        <v>59</v>
      </c>
      <c r="B238" s="14" t="s">
        <v>50</v>
      </c>
      <c r="C238" s="16"/>
      <c r="D238" s="50">
        <f>470.7-470.7</f>
        <v>0</v>
      </c>
      <c r="E238" s="38">
        <f t="shared" si="105"/>
        <v>0</v>
      </c>
      <c r="F238" s="16">
        <f>-470.7+470.7</f>
        <v>0</v>
      </c>
      <c r="G238" s="16"/>
      <c r="H238" s="16"/>
      <c r="I238" s="16"/>
      <c r="J238" s="16"/>
      <c r="K238" s="18" t="e">
        <f t="shared" si="110"/>
        <v>#DIV/0!</v>
      </c>
      <c r="L238" s="16" t="e">
        <f t="shared" si="111"/>
        <v>#DIV/0!</v>
      </c>
      <c r="M238" s="16"/>
    </row>
    <row r="239" spans="1:13" ht="36">
      <c r="A239" s="69" t="s">
        <v>51</v>
      </c>
      <c r="B239" s="17" t="s">
        <v>49</v>
      </c>
      <c r="C239" s="16">
        <f>C27</f>
        <v>0</v>
      </c>
      <c r="D239" s="50">
        <f>F239+G239+H239+I239</f>
        <v>-6378.8</v>
      </c>
      <c r="E239" s="38">
        <f t="shared" si="105"/>
        <v>-6378.8</v>
      </c>
      <c r="F239" s="16">
        <f>F27</f>
        <v>-6378.8</v>
      </c>
      <c r="G239" s="16">
        <f>G27</f>
        <v>0</v>
      </c>
      <c r="H239" s="16">
        <f>H27</f>
        <v>0</v>
      </c>
      <c r="I239" s="16">
        <f>I27</f>
        <v>0</v>
      </c>
      <c r="J239" s="16">
        <f>J27</f>
        <v>-6378.8</v>
      </c>
      <c r="K239" s="18">
        <f t="shared" si="110"/>
        <v>100</v>
      </c>
      <c r="L239" s="16">
        <f t="shared" si="111"/>
        <v>100</v>
      </c>
      <c r="M239" s="16"/>
    </row>
    <row r="240" spans="1:13" ht="12.75">
      <c r="A240" s="19"/>
      <c r="B240" s="20" t="s">
        <v>4</v>
      </c>
      <c r="C240" s="21">
        <f aca="true" t="shared" si="112" ref="C240:I240">C234+C220</f>
        <v>4683563.4</v>
      </c>
      <c r="D240" s="21">
        <f>D234+D220</f>
        <v>4698903.2</v>
      </c>
      <c r="E240" s="21">
        <f t="shared" si="112"/>
        <v>3208719</v>
      </c>
      <c r="F240" s="21">
        <f t="shared" si="112"/>
        <v>949618</v>
      </c>
      <c r="G240" s="21">
        <f t="shared" si="112"/>
        <v>1313316.5999999999</v>
      </c>
      <c r="H240" s="21">
        <f t="shared" si="112"/>
        <v>945784.4</v>
      </c>
      <c r="I240" s="21">
        <f t="shared" si="112"/>
        <v>1490184.3</v>
      </c>
      <c r="J240" s="21">
        <f>J234+J220</f>
        <v>3063679.1</v>
      </c>
      <c r="K240" s="23">
        <f t="shared" si="110"/>
        <v>95.47981920510958</v>
      </c>
      <c r="L240" s="21">
        <f t="shared" si="111"/>
        <v>65.19987685636937</v>
      </c>
      <c r="M240" s="21">
        <f>J240*100/C240</f>
        <v>65.41342218192241</v>
      </c>
    </row>
    <row r="241" spans="2:8" ht="12.75">
      <c r="B241" s="8"/>
      <c r="C241" s="8"/>
      <c r="D241" s="8"/>
      <c r="E241" s="8"/>
      <c r="F241" s="8"/>
      <c r="G241" s="8"/>
      <c r="H241" s="2"/>
    </row>
    <row r="242" spans="2:10" ht="12.75">
      <c r="B242" s="9" t="s">
        <v>45</v>
      </c>
      <c r="C242" s="9"/>
      <c r="D242" s="49" t="e">
        <f>#REF!=D234-D235</f>
        <v>#REF!</v>
      </c>
      <c r="E242" s="9"/>
      <c r="F242" s="9"/>
      <c r="G242" s="9"/>
      <c r="H242" s="3"/>
      <c r="I242" s="3"/>
      <c r="J242" s="5"/>
    </row>
    <row r="243" spans="2:10" ht="12.75" hidden="1">
      <c r="B243" s="9"/>
      <c r="C243" s="9"/>
      <c r="D243" s="9"/>
      <c r="E243" s="9"/>
      <c r="F243" s="9"/>
      <c r="G243" s="9"/>
      <c r="H243" s="3" t="s">
        <v>48</v>
      </c>
      <c r="I243" s="3">
        <f>I242-I220</f>
        <v>-263857.49999999994</v>
      </c>
      <c r="J243" s="4"/>
    </row>
    <row r="244" spans="1:10" ht="12.75" hidden="1">
      <c r="A244" s="2"/>
      <c r="B244" s="9"/>
      <c r="C244" s="9"/>
      <c r="D244" s="9"/>
      <c r="E244" s="9"/>
      <c r="F244" s="9"/>
      <c r="G244" s="9"/>
      <c r="H244" s="6"/>
      <c r="I244" s="3"/>
      <c r="J244" s="5"/>
    </row>
    <row r="245" spans="2:10" ht="12.75" hidden="1">
      <c r="B245" s="10"/>
      <c r="C245" s="10"/>
      <c r="D245" s="10"/>
      <c r="E245" s="10"/>
      <c r="F245" s="10"/>
      <c r="G245" s="10"/>
      <c r="H245" s="3"/>
      <c r="I245" s="3">
        <f>I244-I234</f>
        <v>-1226326.8</v>
      </c>
      <c r="J245" s="5"/>
    </row>
    <row r="246" spans="2:10" ht="12.75" hidden="1">
      <c r="B246" s="10"/>
      <c r="C246" s="10"/>
      <c r="D246" s="10"/>
      <c r="E246" s="10"/>
      <c r="F246" s="10"/>
      <c r="G246" s="10"/>
      <c r="H246" s="6"/>
      <c r="I246" s="3" t="e">
        <f>#REF!+#REF!+#REF!+#REF!+#REF!+#REF!+#REF!+#REF!+#REF!+#REF!</f>
        <v>#REF!</v>
      </c>
      <c r="J246" s="5"/>
    </row>
    <row r="247" spans="1:10" ht="12.75" hidden="1">
      <c r="A247" s="2">
        <f>I220+I234</f>
        <v>1490184.3</v>
      </c>
      <c r="B247" s="11"/>
      <c r="C247" s="11"/>
      <c r="D247" s="11"/>
      <c r="E247" s="11"/>
      <c r="F247" s="11"/>
      <c r="G247" s="11"/>
      <c r="H247" s="6"/>
      <c r="I247" s="3" t="e">
        <f>I246-#REF!</f>
        <v>#REF!</v>
      </c>
      <c r="J247" s="5"/>
    </row>
    <row r="248" spans="1:10" ht="12.75" hidden="1">
      <c r="A248" s="2" t="e">
        <f>#REF!+#REF!</f>
        <v>#REF!</v>
      </c>
      <c r="B248" s="10"/>
      <c r="C248" s="10"/>
      <c r="D248" s="10"/>
      <c r="E248" s="10"/>
      <c r="F248" s="10"/>
      <c r="G248" s="10"/>
      <c r="H248" s="6"/>
      <c r="I248" s="3" t="e">
        <f>I242+I244+I246</f>
        <v>#REF!</v>
      </c>
      <c r="J248" s="5"/>
    </row>
    <row r="249" spans="1:10" ht="12.75" hidden="1">
      <c r="A249" s="2" t="e">
        <f>I220+#REF!</f>
        <v>#REF!</v>
      </c>
      <c r="B249" s="9"/>
      <c r="C249" s="9"/>
      <c r="D249" s="9"/>
      <c r="E249" s="9"/>
      <c r="F249" s="9"/>
      <c r="G249" s="9"/>
      <c r="H249" s="6"/>
      <c r="I249" s="3">
        <f>I28+I44+I62+I79+I97+I113+I131+I149+I167+I184+I201+I217-I214-I198-I181-I163-I144-I128-I110-I94-I76-I41-I58</f>
        <v>1498834.8000000003</v>
      </c>
      <c r="J249" s="5"/>
    </row>
    <row r="250" spans="1:10" ht="12.75" hidden="1">
      <c r="A250" s="2" t="e">
        <f>I234+#REF!</f>
        <v>#REF!</v>
      </c>
      <c r="B250" s="9"/>
      <c r="C250" s="9"/>
      <c r="D250" s="9"/>
      <c r="E250" s="9"/>
      <c r="F250" s="9"/>
      <c r="G250" s="9"/>
      <c r="H250" s="6"/>
      <c r="I250" s="3">
        <f>I249-I240</f>
        <v>8650.500000000233</v>
      </c>
      <c r="J250" s="5"/>
    </row>
    <row r="251" spans="2:10" ht="12.75" hidden="1">
      <c r="B251" s="9"/>
      <c r="C251" s="9"/>
      <c r="D251" s="9"/>
      <c r="E251" s="9"/>
      <c r="F251" s="9"/>
      <c r="G251" s="9"/>
      <c r="H251" s="6"/>
      <c r="I251" s="3"/>
      <c r="J251" s="5"/>
    </row>
    <row r="252" spans="2:10" ht="12.75" hidden="1">
      <c r="B252" s="8"/>
      <c r="C252" s="8"/>
      <c r="D252" s="8"/>
      <c r="E252" s="8"/>
      <c r="F252" s="8"/>
      <c r="G252" s="8"/>
      <c r="H252" s="5"/>
      <c r="I252" s="4"/>
      <c r="J252" s="5"/>
    </row>
    <row r="253" spans="2:10" ht="12.75">
      <c r="B253" s="8"/>
      <c r="C253" s="8"/>
      <c r="D253" s="8"/>
      <c r="E253" s="37"/>
      <c r="F253" s="37"/>
      <c r="G253" s="37"/>
      <c r="H253" s="37"/>
      <c r="I253" s="37"/>
      <c r="J253" s="37"/>
    </row>
    <row r="254" spans="2:10" ht="12.75">
      <c r="B254" s="8"/>
      <c r="C254" s="8"/>
      <c r="D254" s="8"/>
      <c r="E254" s="8"/>
      <c r="F254" s="8"/>
      <c r="G254" s="8"/>
      <c r="H254" s="5"/>
      <c r="I254" s="4"/>
      <c r="J254" s="5"/>
    </row>
    <row r="255" spans="2:10" ht="12.75">
      <c r="B255" s="8"/>
      <c r="C255" s="37"/>
      <c r="D255" s="37"/>
      <c r="E255" s="8"/>
      <c r="F255" s="37"/>
      <c r="G255" s="37"/>
      <c r="H255" s="37"/>
      <c r="I255" s="37"/>
      <c r="J255" s="37"/>
    </row>
    <row r="256" spans="3:10" ht="12.75">
      <c r="C256" s="2"/>
      <c r="D256" s="2"/>
      <c r="E256" s="2"/>
      <c r="F256" s="2"/>
      <c r="G256" s="2"/>
      <c r="H256" s="2"/>
      <c r="I256" s="2"/>
      <c r="J256" s="2"/>
    </row>
    <row r="257" spans="8:10" ht="12.75">
      <c r="H257" s="5"/>
      <c r="I257" s="4"/>
      <c r="J257" s="5"/>
    </row>
    <row r="258" spans="8:10" ht="12.75">
      <c r="H258" s="5"/>
      <c r="I258" s="4"/>
      <c r="J258" s="5"/>
    </row>
    <row r="259" spans="2:10" ht="12.75">
      <c r="B259" s="8"/>
      <c r="C259" s="8"/>
      <c r="D259" s="8"/>
      <c r="E259" s="8"/>
      <c r="F259" s="8"/>
      <c r="G259" s="8"/>
      <c r="H259" s="5"/>
      <c r="I259" s="4"/>
      <c r="J259" s="5"/>
    </row>
    <row r="260" spans="2:10" ht="12.75">
      <c r="B260" s="8"/>
      <c r="C260" s="8"/>
      <c r="D260" s="8"/>
      <c r="E260" s="8"/>
      <c r="F260" s="8"/>
      <c r="G260" s="8"/>
      <c r="H260" s="5"/>
      <c r="I260" s="4"/>
      <c r="J260" s="5"/>
    </row>
    <row r="261" spans="2:10" ht="12.75">
      <c r="B261" s="8"/>
      <c r="C261" s="8"/>
      <c r="D261" s="8"/>
      <c r="E261" s="8"/>
      <c r="F261" s="8"/>
      <c r="G261" s="8"/>
      <c r="H261" s="5"/>
      <c r="I261" s="4"/>
      <c r="J261" s="5"/>
    </row>
    <row r="262" spans="2:10" ht="12.75">
      <c r="B262" s="8"/>
      <c r="C262" s="8"/>
      <c r="D262" s="8"/>
      <c r="E262" s="8"/>
      <c r="F262" s="8"/>
      <c r="G262" s="8"/>
      <c r="H262" s="5"/>
      <c r="I262" s="4"/>
      <c r="J262" s="5"/>
    </row>
    <row r="263" spans="2:10" ht="12.75">
      <c r="B263" s="8"/>
      <c r="C263" s="8"/>
      <c r="D263" s="8"/>
      <c r="E263" s="8"/>
      <c r="F263" s="8"/>
      <c r="G263" s="8"/>
      <c r="H263" s="4"/>
      <c r="I263" s="4"/>
      <c r="J263" s="4"/>
    </row>
    <row r="264" spans="2:10" ht="12.75">
      <c r="B264" s="8"/>
      <c r="C264" s="8"/>
      <c r="D264" s="8"/>
      <c r="E264" s="8"/>
      <c r="F264" s="8"/>
      <c r="G264" s="8"/>
      <c r="H264" s="5"/>
      <c r="I264" s="5"/>
      <c r="J264" s="5"/>
    </row>
    <row r="265" spans="2:10" ht="12.75">
      <c r="B265" s="8"/>
      <c r="C265" s="8"/>
      <c r="D265" s="8"/>
      <c r="E265" s="8"/>
      <c r="F265" s="8"/>
      <c r="G265" s="8"/>
      <c r="H265" s="7"/>
      <c r="I265" s="4"/>
      <c r="J265" s="5"/>
    </row>
  </sheetData>
  <sheetProtection password="CF7A" sheet="1"/>
  <mergeCells count="38">
    <mergeCell ref="A219:M219"/>
    <mergeCell ref="A203:M203"/>
    <mergeCell ref="A186:M186"/>
    <mergeCell ref="A169:M169"/>
    <mergeCell ref="A151:M151"/>
    <mergeCell ref="A133:M133"/>
    <mergeCell ref="A185:J185"/>
    <mergeCell ref="A218:J218"/>
    <mergeCell ref="A202:J202"/>
    <mergeCell ref="A168:J168"/>
    <mergeCell ref="A150:J150"/>
    <mergeCell ref="I4:I6"/>
    <mergeCell ref="F4:F6"/>
    <mergeCell ref="A132:J132"/>
    <mergeCell ref="M4:M6"/>
    <mergeCell ref="E4:E6"/>
    <mergeCell ref="A29:J29"/>
    <mergeCell ref="J4:J6"/>
    <mergeCell ref="A115:M115"/>
    <mergeCell ref="A63:J63"/>
    <mergeCell ref="A7:M7"/>
    <mergeCell ref="A99:M99"/>
    <mergeCell ref="A81:M81"/>
    <mergeCell ref="A1:M1"/>
    <mergeCell ref="L4:L6"/>
    <mergeCell ref="A2:J2"/>
    <mergeCell ref="D4:D6"/>
    <mergeCell ref="H4:H6"/>
    <mergeCell ref="C4:C6"/>
    <mergeCell ref="G4:G6"/>
    <mergeCell ref="A114:J114"/>
    <mergeCell ref="B45:J45"/>
    <mergeCell ref="K4:K6"/>
    <mergeCell ref="A80:J80"/>
    <mergeCell ref="A46:M46"/>
    <mergeCell ref="A30:M30"/>
    <mergeCell ref="A98:J98"/>
    <mergeCell ref="A64:M64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5"/>
  <sheetViews>
    <sheetView tabSelected="1" zoomScalePageLayoutView="0" workbookViewId="0" topLeftCell="A141">
      <selection activeCell="K179" sqref="K179"/>
    </sheetView>
  </sheetViews>
  <sheetFormatPr defaultColWidth="9.00390625" defaultRowHeight="12.75"/>
  <cols>
    <col min="1" max="1" width="6.625" style="0" customWidth="1"/>
    <col min="2" max="2" width="62.375" style="0" customWidth="1"/>
    <col min="3" max="3" width="17.125" style="0" customWidth="1"/>
    <col min="4" max="4" width="14.125" style="0" customWidth="1"/>
    <col min="5" max="5" width="10.625" style="0" customWidth="1"/>
    <col min="6" max="6" width="13.25390625" style="0" customWidth="1"/>
    <col min="7" max="7" width="12.875" style="0" customWidth="1"/>
    <col min="9" max="9" width="13.125" style="0" hidden="1" customWidth="1"/>
    <col min="10" max="10" width="11.375" style="0" hidden="1" customWidth="1"/>
    <col min="11" max="11" width="17.75390625" style="0" customWidth="1"/>
    <col min="12" max="12" width="13.00390625" style="0" hidden="1" customWidth="1"/>
    <col min="13" max="13" width="14.625" style="0" hidden="1" customWidth="1"/>
    <col min="14" max="14" width="18.625" style="0" customWidth="1"/>
  </cols>
  <sheetData>
    <row r="1" spans="1:15" ht="15.75">
      <c r="A1" s="196" t="s">
        <v>75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5" ht="13.5" thickBot="1">
      <c r="A2" s="71"/>
      <c r="B2" s="72"/>
      <c r="C2" s="73"/>
      <c r="D2" s="74"/>
      <c r="E2" s="75"/>
      <c r="F2" s="76"/>
      <c r="G2" s="76"/>
      <c r="H2" s="77"/>
      <c r="I2" s="77"/>
      <c r="J2" s="77"/>
      <c r="K2" s="78"/>
      <c r="L2" s="77"/>
      <c r="M2" s="78"/>
      <c r="N2" s="79"/>
      <c r="O2" s="78"/>
    </row>
    <row r="3" spans="1:15" ht="15">
      <c r="A3" s="197" t="s">
        <v>76</v>
      </c>
      <c r="B3" s="194" t="s">
        <v>77</v>
      </c>
      <c r="C3" s="199" t="s">
        <v>78</v>
      </c>
      <c r="D3" s="199"/>
      <c r="E3" s="199"/>
      <c r="F3" s="200" t="s">
        <v>79</v>
      </c>
      <c r="G3" s="200"/>
      <c r="H3" s="200"/>
      <c r="I3" s="201" t="s">
        <v>80</v>
      </c>
      <c r="J3" s="202"/>
      <c r="K3" s="202"/>
      <c r="L3" s="202"/>
      <c r="M3" s="202"/>
      <c r="N3" s="202"/>
      <c r="O3" s="203"/>
    </row>
    <row r="4" spans="1:15" ht="12.75">
      <c r="A4" s="198"/>
      <c r="B4" s="195"/>
      <c r="C4" s="188" t="s">
        <v>81</v>
      </c>
      <c r="D4" s="188" t="s">
        <v>82</v>
      </c>
      <c r="E4" s="190" t="s">
        <v>83</v>
      </c>
      <c r="F4" s="188" t="s">
        <v>81</v>
      </c>
      <c r="G4" s="188" t="s">
        <v>82</v>
      </c>
      <c r="H4" s="190" t="s">
        <v>83</v>
      </c>
      <c r="I4" s="181" t="s">
        <v>289</v>
      </c>
      <c r="J4" s="181" t="s">
        <v>84</v>
      </c>
      <c r="K4" s="192" t="s">
        <v>81</v>
      </c>
      <c r="L4" s="181" t="s">
        <v>290</v>
      </c>
      <c r="M4" s="181" t="s">
        <v>84</v>
      </c>
      <c r="N4" s="182" t="s">
        <v>85</v>
      </c>
      <c r="O4" s="183" t="s">
        <v>83</v>
      </c>
    </row>
    <row r="5" spans="1:15" ht="42" customHeight="1">
      <c r="A5" s="198"/>
      <c r="B5" s="195"/>
      <c r="C5" s="189"/>
      <c r="D5" s="188"/>
      <c r="E5" s="204"/>
      <c r="F5" s="189"/>
      <c r="G5" s="188"/>
      <c r="H5" s="191"/>
      <c r="I5" s="181"/>
      <c r="J5" s="181"/>
      <c r="K5" s="193"/>
      <c r="L5" s="181"/>
      <c r="M5" s="181"/>
      <c r="N5" s="182"/>
      <c r="O5" s="184"/>
    </row>
    <row r="6" spans="1:15" ht="12.75">
      <c r="A6" s="198"/>
      <c r="B6" s="185" t="s">
        <v>86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</row>
    <row r="7" spans="1:15" ht="2.25" customHeight="1">
      <c r="A7" s="198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</row>
    <row r="8" spans="1:15" ht="12.75" hidden="1">
      <c r="A8" s="198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15" ht="15">
      <c r="A9" s="84" t="s">
        <v>87</v>
      </c>
      <c r="B9" s="85" t="s">
        <v>88</v>
      </c>
      <c r="C9" s="86">
        <f>SUM(C10:C17)</f>
        <v>438942.6</v>
      </c>
      <c r="D9" s="86">
        <f>SUM(D10:D17)</f>
        <v>229114.5</v>
      </c>
      <c r="E9" s="86">
        <f>D9/C9*100</f>
        <v>52.19691595210855</v>
      </c>
      <c r="F9" s="86">
        <f>F10+F11+F12+F13+F14+F16+F17+F15</f>
        <v>220632.2</v>
      </c>
      <c r="G9" s="86">
        <f>SUM(G10:G17)</f>
        <v>150319.5</v>
      </c>
      <c r="H9" s="87">
        <f>G9/F9*100</f>
        <v>68.13126098547718</v>
      </c>
      <c r="I9" s="86">
        <f aca="true" t="shared" si="0" ref="I9:N9">SUM(I10:I17)</f>
        <v>659574.7999999999</v>
      </c>
      <c r="J9" s="86">
        <f>SUM(J10:J17)</f>
        <v>9016.599999999999</v>
      </c>
      <c r="K9" s="86">
        <f>SUM(K10:K17)</f>
        <v>650558.2</v>
      </c>
      <c r="L9" s="86">
        <f t="shared" si="0"/>
        <v>379433.99999999994</v>
      </c>
      <c r="M9" s="86">
        <f t="shared" si="0"/>
        <v>4018.2999999999997</v>
      </c>
      <c r="N9" s="86">
        <f t="shared" si="0"/>
        <v>375415.69999999995</v>
      </c>
      <c r="O9" s="88">
        <f>N9/K9*100</f>
        <v>57.70670479597367</v>
      </c>
    </row>
    <row r="10" spans="1:16" ht="15" customHeight="1">
      <c r="A10" s="89" t="s">
        <v>89</v>
      </c>
      <c r="B10" s="90" t="s">
        <v>90</v>
      </c>
      <c r="C10" s="91">
        <v>4882.3</v>
      </c>
      <c r="D10" s="91">
        <v>3452.2</v>
      </c>
      <c r="E10" s="81">
        <f>D10/C10*100</f>
        <v>70.70847756180488</v>
      </c>
      <c r="F10" s="92">
        <v>45250</v>
      </c>
      <c r="G10" s="92">
        <v>34465.2</v>
      </c>
      <c r="H10" s="82">
        <f>G10/F10*100</f>
        <v>76.16618784530385</v>
      </c>
      <c r="I10" s="93">
        <f>C10+F10</f>
        <v>50132.3</v>
      </c>
      <c r="J10" s="94"/>
      <c r="K10" s="95">
        <f>I10-J10</f>
        <v>50132.3</v>
      </c>
      <c r="L10" s="93">
        <f>D10+G10</f>
        <v>37917.399999999994</v>
      </c>
      <c r="M10" s="94"/>
      <c r="N10" s="95">
        <f>L10-M10</f>
        <v>37917.399999999994</v>
      </c>
      <c r="O10" s="83">
        <f aca="true" t="shared" si="1" ref="O10:O122">N10/K10*100</f>
        <v>75.63467066142984</v>
      </c>
      <c r="P10" s="96"/>
    </row>
    <row r="11" spans="1:16" ht="27" customHeight="1">
      <c r="A11" s="89" t="s">
        <v>91</v>
      </c>
      <c r="B11" s="90" t="s">
        <v>92</v>
      </c>
      <c r="C11" s="91">
        <v>8628.2</v>
      </c>
      <c r="D11" s="91">
        <v>7288.2</v>
      </c>
      <c r="E11" s="81">
        <f aca="true" t="shared" si="2" ref="E11:E19">D11/C11*100</f>
        <v>84.46953014533737</v>
      </c>
      <c r="F11" s="92">
        <v>0</v>
      </c>
      <c r="G11" s="92"/>
      <c r="H11" s="82">
        <v>0</v>
      </c>
      <c r="I11" s="93">
        <f aca="true" t="shared" si="3" ref="I11:I17">C11+F11</f>
        <v>8628.2</v>
      </c>
      <c r="J11" s="94"/>
      <c r="K11" s="95">
        <f aca="true" t="shared" si="4" ref="K11:K17">I11-J11</f>
        <v>8628.2</v>
      </c>
      <c r="L11" s="93">
        <f aca="true" t="shared" si="5" ref="L11:L90">D11+G11</f>
        <v>7288.2</v>
      </c>
      <c r="M11" s="94"/>
      <c r="N11" s="95">
        <f aca="true" t="shared" si="6" ref="N11:N90">L11-M11</f>
        <v>7288.2</v>
      </c>
      <c r="O11" s="83">
        <f t="shared" si="1"/>
        <v>84.46953014533737</v>
      </c>
      <c r="P11" s="96"/>
    </row>
    <row r="12" spans="1:16" ht="18" customHeight="1">
      <c r="A12" s="89" t="s">
        <v>93</v>
      </c>
      <c r="B12" s="90" t="s">
        <v>94</v>
      </c>
      <c r="C12" s="91">
        <v>165796</v>
      </c>
      <c r="D12" s="91">
        <v>125196.4</v>
      </c>
      <c r="E12" s="81">
        <f t="shared" si="2"/>
        <v>75.5123163405631</v>
      </c>
      <c r="F12" s="92">
        <v>130628</v>
      </c>
      <c r="G12" s="92">
        <v>92905.4</v>
      </c>
      <c r="H12" s="82">
        <f>G12/F12*100</f>
        <v>71.12211776954405</v>
      </c>
      <c r="I12" s="93">
        <f t="shared" si="3"/>
        <v>296424</v>
      </c>
      <c r="J12" s="94">
        <v>6855.4</v>
      </c>
      <c r="K12" s="95">
        <f t="shared" si="4"/>
        <v>289568.6</v>
      </c>
      <c r="L12" s="93">
        <f>D12+G12</f>
        <v>218101.8</v>
      </c>
      <c r="M12" s="94">
        <v>3427.7</v>
      </c>
      <c r="N12" s="95">
        <f>L12-M12</f>
        <v>214674.09999999998</v>
      </c>
      <c r="O12" s="83">
        <f t="shared" si="1"/>
        <v>74.13583516997355</v>
      </c>
      <c r="P12" s="96"/>
    </row>
    <row r="13" spans="1:16" ht="15">
      <c r="A13" s="89" t="s">
        <v>95</v>
      </c>
      <c r="B13" s="90" t="s">
        <v>96</v>
      </c>
      <c r="C13" s="91">
        <v>6.1</v>
      </c>
      <c r="D13" s="91">
        <v>0</v>
      </c>
      <c r="E13" s="81">
        <f t="shared" si="2"/>
        <v>0</v>
      </c>
      <c r="F13" s="92">
        <v>0</v>
      </c>
      <c r="G13" s="92"/>
      <c r="H13" s="82">
        <v>0</v>
      </c>
      <c r="I13" s="93">
        <f t="shared" si="3"/>
        <v>6.1</v>
      </c>
      <c r="J13" s="94"/>
      <c r="K13" s="95">
        <f t="shared" si="4"/>
        <v>6.1</v>
      </c>
      <c r="L13" s="93">
        <f>D13+G13</f>
        <v>0</v>
      </c>
      <c r="M13" s="94"/>
      <c r="N13" s="95">
        <f>L13-M13</f>
        <v>0</v>
      </c>
      <c r="O13" s="83">
        <f t="shared" si="1"/>
        <v>0</v>
      </c>
      <c r="P13" s="96"/>
    </row>
    <row r="14" spans="1:16" ht="12.75" customHeight="1">
      <c r="A14" s="89" t="s">
        <v>97</v>
      </c>
      <c r="B14" s="90" t="s">
        <v>98</v>
      </c>
      <c r="C14" s="91">
        <v>34464.1</v>
      </c>
      <c r="D14" s="91">
        <v>26783.6</v>
      </c>
      <c r="E14" s="81">
        <f t="shared" si="2"/>
        <v>77.71449131124851</v>
      </c>
      <c r="F14" s="92">
        <v>0</v>
      </c>
      <c r="G14" s="92"/>
      <c r="H14" s="82">
        <v>0</v>
      </c>
      <c r="I14" s="93">
        <f t="shared" si="3"/>
        <v>34464.1</v>
      </c>
      <c r="J14" s="94"/>
      <c r="K14" s="95">
        <f t="shared" si="4"/>
        <v>34464.1</v>
      </c>
      <c r="L14" s="93">
        <f>D14+G14</f>
        <v>26783.6</v>
      </c>
      <c r="M14" s="94"/>
      <c r="N14" s="95">
        <f t="shared" si="6"/>
        <v>26783.6</v>
      </c>
      <c r="O14" s="83">
        <f t="shared" si="1"/>
        <v>77.71449131124851</v>
      </c>
      <c r="P14" s="96"/>
    </row>
    <row r="15" spans="1:16" ht="12" customHeight="1" hidden="1">
      <c r="A15" s="89" t="s">
        <v>99</v>
      </c>
      <c r="B15" s="90" t="s">
        <v>100</v>
      </c>
      <c r="C15" s="91"/>
      <c r="D15" s="91"/>
      <c r="E15" s="81"/>
      <c r="F15" s="92"/>
      <c r="G15" s="92"/>
      <c r="H15" s="82" t="e">
        <f>G15/F15*100</f>
        <v>#DIV/0!</v>
      </c>
      <c r="I15" s="93">
        <f t="shared" si="3"/>
        <v>0</v>
      </c>
      <c r="J15" s="94"/>
      <c r="K15" s="95">
        <f t="shared" si="4"/>
        <v>0</v>
      </c>
      <c r="L15" s="93">
        <f t="shared" si="5"/>
        <v>0</v>
      </c>
      <c r="M15" s="94"/>
      <c r="N15" s="95">
        <f t="shared" si="6"/>
        <v>0</v>
      </c>
      <c r="O15" s="83" t="e">
        <f t="shared" si="1"/>
        <v>#DIV/0!</v>
      </c>
      <c r="P15" s="96"/>
    </row>
    <row r="16" spans="1:16" ht="15">
      <c r="A16" s="80" t="s">
        <v>101</v>
      </c>
      <c r="B16" s="90" t="s">
        <v>102</v>
      </c>
      <c r="C16" s="91">
        <v>14180</v>
      </c>
      <c r="D16" s="91">
        <v>0</v>
      </c>
      <c r="E16" s="81">
        <f t="shared" si="2"/>
        <v>0</v>
      </c>
      <c r="F16" s="92">
        <v>950</v>
      </c>
      <c r="G16" s="92"/>
      <c r="H16" s="82">
        <f>G16/F16*100</f>
        <v>0</v>
      </c>
      <c r="I16" s="93">
        <f t="shared" si="3"/>
        <v>15130</v>
      </c>
      <c r="J16" s="94"/>
      <c r="K16" s="95">
        <f t="shared" si="4"/>
        <v>15130</v>
      </c>
      <c r="L16" s="93">
        <f t="shared" si="5"/>
        <v>0</v>
      </c>
      <c r="M16" s="94"/>
      <c r="N16" s="95">
        <f t="shared" si="6"/>
        <v>0</v>
      </c>
      <c r="O16" s="83">
        <f t="shared" si="1"/>
        <v>0</v>
      </c>
      <c r="P16" s="96"/>
    </row>
    <row r="17" spans="1:16" ht="15">
      <c r="A17" s="89" t="s">
        <v>103</v>
      </c>
      <c r="B17" s="90" t="s">
        <v>104</v>
      </c>
      <c r="C17" s="91">
        <v>210985.9</v>
      </c>
      <c r="D17" s="91">
        <v>66394.1</v>
      </c>
      <c r="E17" s="81">
        <f t="shared" si="2"/>
        <v>31.46850097565762</v>
      </c>
      <c r="F17" s="92">
        <v>43804.2</v>
      </c>
      <c r="G17" s="92">
        <v>22948.9</v>
      </c>
      <c r="H17" s="82">
        <f>G17/F17*100</f>
        <v>52.389725186169365</v>
      </c>
      <c r="I17" s="93">
        <f t="shared" si="3"/>
        <v>254790.09999999998</v>
      </c>
      <c r="J17" s="94">
        <v>2161.2</v>
      </c>
      <c r="K17" s="95">
        <f t="shared" si="4"/>
        <v>252628.89999999997</v>
      </c>
      <c r="L17" s="93">
        <f>D17+G17</f>
        <v>89343</v>
      </c>
      <c r="M17" s="97">
        <v>590.6</v>
      </c>
      <c r="N17" s="95">
        <f t="shared" si="6"/>
        <v>88752.4</v>
      </c>
      <c r="O17" s="83">
        <f t="shared" si="1"/>
        <v>35.131530873941976</v>
      </c>
      <c r="P17" s="96"/>
    </row>
    <row r="18" spans="1:16" ht="15">
      <c r="A18" s="84" t="s">
        <v>105</v>
      </c>
      <c r="B18" s="85" t="s">
        <v>106</v>
      </c>
      <c r="C18" s="86">
        <f aca="true" t="shared" si="7" ref="C18:N18">C19</f>
        <v>4449.5</v>
      </c>
      <c r="D18" s="86">
        <f t="shared" si="7"/>
        <v>2709.9</v>
      </c>
      <c r="E18" s="86">
        <f t="shared" si="7"/>
        <v>60.90347230025846</v>
      </c>
      <c r="F18" s="86">
        <f t="shared" si="7"/>
        <v>4411.8</v>
      </c>
      <c r="G18" s="86">
        <f t="shared" si="7"/>
        <v>2709.9</v>
      </c>
      <c r="H18" s="98">
        <f t="shared" si="7"/>
        <v>61.423908608731125</v>
      </c>
      <c r="I18" s="86">
        <f>I19</f>
        <v>8861.3</v>
      </c>
      <c r="J18" s="86">
        <f>J19</f>
        <v>4411.8</v>
      </c>
      <c r="K18" s="86">
        <f>K19</f>
        <v>4449.499999999999</v>
      </c>
      <c r="L18" s="86">
        <f t="shared" si="7"/>
        <v>5419.8</v>
      </c>
      <c r="M18" s="86">
        <f>M19</f>
        <v>2710</v>
      </c>
      <c r="N18" s="86">
        <f t="shared" si="7"/>
        <v>2709.8</v>
      </c>
      <c r="O18" s="99">
        <f t="shared" si="1"/>
        <v>60.90122485672549</v>
      </c>
      <c r="P18" s="96"/>
    </row>
    <row r="19" spans="1:16" ht="15">
      <c r="A19" s="100" t="s">
        <v>107</v>
      </c>
      <c r="B19" s="90" t="s">
        <v>108</v>
      </c>
      <c r="C19" s="91">
        <v>4449.5</v>
      </c>
      <c r="D19" s="91">
        <v>2709.9</v>
      </c>
      <c r="E19" s="81">
        <f t="shared" si="2"/>
        <v>60.90347230025846</v>
      </c>
      <c r="F19" s="92">
        <v>4411.8</v>
      </c>
      <c r="G19" s="92">
        <v>2709.9</v>
      </c>
      <c r="H19" s="82">
        <f aca="true" t="shared" si="8" ref="H19:H27">G19/F19*100</f>
        <v>61.423908608731125</v>
      </c>
      <c r="I19" s="93">
        <f aca="true" t="shared" si="9" ref="I19:I90">C19+F19</f>
        <v>8861.3</v>
      </c>
      <c r="J19" s="94">
        <v>4411.8</v>
      </c>
      <c r="K19" s="95">
        <f>I19-J19</f>
        <v>4449.499999999999</v>
      </c>
      <c r="L19" s="93">
        <f>D19+G19</f>
        <v>5419.8</v>
      </c>
      <c r="M19" s="94">
        <v>2710</v>
      </c>
      <c r="N19" s="95">
        <f t="shared" si="6"/>
        <v>2709.8</v>
      </c>
      <c r="O19" s="83">
        <f t="shared" si="1"/>
        <v>60.90122485672549</v>
      </c>
      <c r="P19" s="96"/>
    </row>
    <row r="20" spans="1:16" ht="17.25" customHeight="1">
      <c r="A20" s="84" t="s">
        <v>109</v>
      </c>
      <c r="B20" s="101" t="s">
        <v>110</v>
      </c>
      <c r="C20" s="86">
        <f>C22+C24+C21+C23</f>
        <v>25894.2</v>
      </c>
      <c r="D20" s="86">
        <f>D22+D24+D21+D23</f>
        <v>9846.5</v>
      </c>
      <c r="E20" s="102">
        <f>D20/C20*100</f>
        <v>38.02588996763754</v>
      </c>
      <c r="F20" s="102">
        <f>F22+F24+F21+F23</f>
        <v>6566.9</v>
      </c>
      <c r="G20" s="102">
        <f>G22+G24+G21+G23</f>
        <v>3606.5</v>
      </c>
      <c r="H20" s="102">
        <f t="shared" si="8"/>
        <v>54.91936834731761</v>
      </c>
      <c r="I20" s="102">
        <f aca="true" t="shared" si="10" ref="I20:N20">SUM(I21:I24)</f>
        <v>32461.1</v>
      </c>
      <c r="J20" s="102">
        <f t="shared" si="10"/>
        <v>3200.5</v>
      </c>
      <c r="K20" s="102">
        <f t="shared" si="10"/>
        <v>29260.6</v>
      </c>
      <c r="L20" s="102">
        <f t="shared" si="10"/>
        <v>13453</v>
      </c>
      <c r="M20" s="102">
        <f t="shared" si="10"/>
        <v>2122.7999999999997</v>
      </c>
      <c r="N20" s="102">
        <f t="shared" si="10"/>
        <v>11330.2</v>
      </c>
      <c r="O20" s="103">
        <f>N20/K20*100</f>
        <v>38.721694018577885</v>
      </c>
      <c r="P20" s="96"/>
    </row>
    <row r="21" spans="1:16" ht="15">
      <c r="A21" s="80" t="s">
        <v>111</v>
      </c>
      <c r="B21" s="90" t="s">
        <v>112</v>
      </c>
      <c r="C21" s="91">
        <v>6191.8</v>
      </c>
      <c r="D21" s="91">
        <v>4478.6</v>
      </c>
      <c r="E21" s="81">
        <f aca="true" t="shared" si="11" ref="E21:E135">D21/C21*100</f>
        <v>72.33114764688783</v>
      </c>
      <c r="F21" s="92">
        <v>910.6</v>
      </c>
      <c r="G21" s="92">
        <v>456.2</v>
      </c>
      <c r="H21" s="82">
        <f t="shared" si="8"/>
        <v>50.098835932352294</v>
      </c>
      <c r="I21" s="93">
        <f>C21+F21</f>
        <v>7102.400000000001</v>
      </c>
      <c r="J21" s="94">
        <v>910.6</v>
      </c>
      <c r="K21" s="95">
        <f>I21-J21</f>
        <v>6191.8</v>
      </c>
      <c r="L21" s="93">
        <f>D21+G21</f>
        <v>4934.8</v>
      </c>
      <c r="M21" s="94">
        <v>582.7</v>
      </c>
      <c r="N21" s="95">
        <f t="shared" si="6"/>
        <v>4352.1</v>
      </c>
      <c r="O21" s="83">
        <f>N21/K21*100</f>
        <v>70.28812300138894</v>
      </c>
      <c r="P21" s="96"/>
    </row>
    <row r="22" spans="1:16" ht="19.5" customHeight="1">
      <c r="A22" s="100" t="s">
        <v>113</v>
      </c>
      <c r="B22" s="90" t="s">
        <v>114</v>
      </c>
      <c r="C22" s="91">
        <v>2829.1</v>
      </c>
      <c r="D22" s="91">
        <v>1467.8</v>
      </c>
      <c r="E22" s="81">
        <f t="shared" si="11"/>
        <v>51.88222402884309</v>
      </c>
      <c r="F22" s="92">
        <v>306</v>
      </c>
      <c r="G22" s="92">
        <v>246.4</v>
      </c>
      <c r="H22" s="82">
        <f t="shared" si="8"/>
        <v>80.52287581699346</v>
      </c>
      <c r="I22" s="93">
        <f>C22+F22</f>
        <v>3135.1</v>
      </c>
      <c r="J22" s="94">
        <v>549.1</v>
      </c>
      <c r="K22" s="95">
        <f>I22-J22</f>
        <v>2586</v>
      </c>
      <c r="L22" s="93">
        <f>D22+G22</f>
        <v>1714.2</v>
      </c>
      <c r="M22" s="94">
        <v>298.4</v>
      </c>
      <c r="N22" s="95">
        <f t="shared" si="6"/>
        <v>1415.8000000000002</v>
      </c>
      <c r="O22" s="83">
        <f>N22/K22*100</f>
        <v>54.74864655839134</v>
      </c>
      <c r="P22" s="96"/>
    </row>
    <row r="23" spans="1:16" ht="15">
      <c r="A23" s="100" t="s">
        <v>115</v>
      </c>
      <c r="B23" s="90" t="s">
        <v>116</v>
      </c>
      <c r="C23" s="91">
        <v>16572</v>
      </c>
      <c r="D23" s="91">
        <v>3789.4</v>
      </c>
      <c r="E23" s="81">
        <f t="shared" si="11"/>
        <v>22.866280473087137</v>
      </c>
      <c r="F23" s="92">
        <v>5016.3</v>
      </c>
      <c r="G23" s="92">
        <v>2764.6</v>
      </c>
      <c r="H23" s="82">
        <f t="shared" si="8"/>
        <v>55.112333791838594</v>
      </c>
      <c r="I23" s="93">
        <f>C23+F23</f>
        <v>21588.3</v>
      </c>
      <c r="J23" s="94">
        <v>1507</v>
      </c>
      <c r="K23" s="95">
        <f>I23-J23</f>
        <v>20081.3</v>
      </c>
      <c r="L23" s="93">
        <f>D23+G23</f>
        <v>6554</v>
      </c>
      <c r="M23" s="94">
        <v>1131</v>
      </c>
      <c r="N23" s="95">
        <f t="shared" si="6"/>
        <v>5423</v>
      </c>
      <c r="O23" s="83">
        <f>N23/K23*100</f>
        <v>27.005223765393676</v>
      </c>
      <c r="P23" s="96"/>
    </row>
    <row r="24" spans="1:16" ht="26.25" customHeight="1">
      <c r="A24" s="80" t="s">
        <v>117</v>
      </c>
      <c r="B24" s="90" t="s">
        <v>118</v>
      </c>
      <c r="C24" s="91">
        <v>301.3</v>
      </c>
      <c r="D24" s="91">
        <v>110.7</v>
      </c>
      <c r="E24" s="81">
        <f t="shared" si="11"/>
        <v>36.740789910388315</v>
      </c>
      <c r="F24" s="92">
        <v>334</v>
      </c>
      <c r="G24" s="92">
        <v>139.3</v>
      </c>
      <c r="H24" s="82">
        <f t="shared" si="8"/>
        <v>41.706586826347305</v>
      </c>
      <c r="I24" s="93">
        <f>C24+F24</f>
        <v>635.3</v>
      </c>
      <c r="J24" s="94">
        <v>233.8</v>
      </c>
      <c r="K24" s="95">
        <f>I24-J24</f>
        <v>401.49999999999994</v>
      </c>
      <c r="L24" s="93">
        <f>D24+G24</f>
        <v>250</v>
      </c>
      <c r="M24" s="94">
        <v>110.7</v>
      </c>
      <c r="N24" s="95">
        <f t="shared" si="6"/>
        <v>139.3</v>
      </c>
      <c r="O24" s="83">
        <f>N24/K24*100</f>
        <v>34.694894146948954</v>
      </c>
      <c r="P24" s="96"/>
    </row>
    <row r="25" spans="1:16" ht="15">
      <c r="A25" s="84" t="s">
        <v>119</v>
      </c>
      <c r="B25" s="85" t="s">
        <v>120</v>
      </c>
      <c r="C25" s="86">
        <f>SUM(C26:C57)</f>
        <v>183008.49999999997</v>
      </c>
      <c r="D25" s="86">
        <f>SUM(D26:D57)</f>
        <v>123397.10000000002</v>
      </c>
      <c r="E25" s="86">
        <f>D25/C25*100</f>
        <v>67.42697743547433</v>
      </c>
      <c r="F25" s="86">
        <f>SUM(F26:F57)</f>
        <v>145616.6</v>
      </c>
      <c r="G25" s="86">
        <f>SUM(G26:G57)</f>
        <v>79178.40000000001</v>
      </c>
      <c r="H25" s="87">
        <f t="shared" si="8"/>
        <v>54.374569932274206</v>
      </c>
      <c r="I25" s="86">
        <f aca="true" t="shared" si="12" ref="I25:N25">SUM(I26:I57)</f>
        <v>328625.0999999999</v>
      </c>
      <c r="J25" s="86">
        <f t="shared" si="12"/>
        <v>55530.2</v>
      </c>
      <c r="K25" s="86">
        <f>SUM(K26:K57)</f>
        <v>273094.89999999997</v>
      </c>
      <c r="L25" s="86">
        <f t="shared" si="12"/>
        <v>202575.5</v>
      </c>
      <c r="M25" s="86">
        <f t="shared" si="12"/>
        <v>31144.400000000005</v>
      </c>
      <c r="N25" s="86">
        <f t="shared" si="12"/>
        <v>171431.1</v>
      </c>
      <c r="O25" s="88">
        <f t="shared" si="1"/>
        <v>62.77345347716125</v>
      </c>
      <c r="P25" s="96"/>
    </row>
    <row r="26" spans="1:16" ht="24.75" customHeight="1">
      <c r="A26" s="104" t="s">
        <v>121</v>
      </c>
      <c r="B26" s="105" t="s">
        <v>122</v>
      </c>
      <c r="C26" s="91">
        <v>31422.3</v>
      </c>
      <c r="D26" s="91">
        <v>26940.3</v>
      </c>
      <c r="E26" s="81">
        <f t="shared" si="11"/>
        <v>85.73624464154437</v>
      </c>
      <c r="F26" s="91">
        <v>19851.7</v>
      </c>
      <c r="G26" s="92">
        <v>16904.4</v>
      </c>
      <c r="H26" s="82">
        <f t="shared" si="8"/>
        <v>85.15341255408858</v>
      </c>
      <c r="I26" s="93">
        <f t="shared" si="9"/>
        <v>51274</v>
      </c>
      <c r="J26" s="94">
        <v>19851.7</v>
      </c>
      <c r="K26" s="95">
        <f>I26-J26</f>
        <v>31422.3</v>
      </c>
      <c r="L26" s="93">
        <f>D26+G26</f>
        <v>43844.7</v>
      </c>
      <c r="M26" s="94">
        <v>18495.9</v>
      </c>
      <c r="N26" s="95">
        <f>L26-M26</f>
        <v>25348.799999999996</v>
      </c>
      <c r="O26" s="83">
        <f t="shared" si="1"/>
        <v>80.67137033253454</v>
      </c>
      <c r="P26" s="96"/>
    </row>
    <row r="27" spans="1:16" ht="15">
      <c r="A27" s="89" t="s">
        <v>123</v>
      </c>
      <c r="B27" s="90" t="s">
        <v>124</v>
      </c>
      <c r="C27" s="91">
        <v>46390.8</v>
      </c>
      <c r="D27" s="91">
        <v>36561</v>
      </c>
      <c r="E27" s="81">
        <f t="shared" si="11"/>
        <v>78.81088491683695</v>
      </c>
      <c r="F27" s="92">
        <v>2437.4</v>
      </c>
      <c r="G27" s="92">
        <v>1797.8</v>
      </c>
      <c r="H27" s="82">
        <f t="shared" si="8"/>
        <v>73.75892344301305</v>
      </c>
      <c r="I27" s="93">
        <f t="shared" si="9"/>
        <v>48828.200000000004</v>
      </c>
      <c r="J27" s="94">
        <v>2413.7</v>
      </c>
      <c r="K27" s="95">
        <f aca="true" t="shared" si="13" ref="K27:K59">I27-J27</f>
        <v>46414.50000000001</v>
      </c>
      <c r="L27" s="93">
        <f t="shared" si="5"/>
        <v>38358.8</v>
      </c>
      <c r="M27" s="94">
        <v>1774.4</v>
      </c>
      <c r="N27" s="95">
        <f t="shared" si="6"/>
        <v>36584.4</v>
      </c>
      <c r="O27" s="83">
        <f t="shared" si="1"/>
        <v>78.82105807452412</v>
      </c>
      <c r="P27" s="96"/>
    </row>
    <row r="28" spans="1:16" ht="15">
      <c r="A28" s="89" t="s">
        <v>125</v>
      </c>
      <c r="B28" s="90" t="s">
        <v>126</v>
      </c>
      <c r="C28" s="91">
        <v>6000</v>
      </c>
      <c r="D28" s="91">
        <v>3295.1</v>
      </c>
      <c r="E28" s="81">
        <f t="shared" si="11"/>
        <v>54.91833333333334</v>
      </c>
      <c r="F28" s="92"/>
      <c r="G28" s="92">
        <v>0</v>
      </c>
      <c r="H28" s="82">
        <v>0</v>
      </c>
      <c r="I28" s="93">
        <f t="shared" si="9"/>
        <v>6000</v>
      </c>
      <c r="J28" s="94"/>
      <c r="K28" s="95">
        <f t="shared" si="13"/>
        <v>6000</v>
      </c>
      <c r="L28" s="93">
        <f t="shared" si="5"/>
        <v>3295.1</v>
      </c>
      <c r="M28" s="94"/>
      <c r="N28" s="95">
        <f t="shared" si="6"/>
        <v>3295.1</v>
      </c>
      <c r="O28" s="83">
        <f t="shared" si="1"/>
        <v>54.91833333333334</v>
      </c>
      <c r="P28" s="96"/>
    </row>
    <row r="29" spans="1:16" ht="30" customHeight="1">
      <c r="A29" s="89" t="s">
        <v>125</v>
      </c>
      <c r="B29" s="90" t="s">
        <v>127</v>
      </c>
      <c r="C29" s="91">
        <v>20812.5</v>
      </c>
      <c r="D29" s="91">
        <v>14854</v>
      </c>
      <c r="E29" s="81">
        <f t="shared" si="11"/>
        <v>71.37057057057056</v>
      </c>
      <c r="F29" s="92">
        <v>20100.9</v>
      </c>
      <c r="G29" s="92">
        <v>11956</v>
      </c>
      <c r="H29" s="82">
        <f>G29/F29*100</f>
        <v>59.47992378450716</v>
      </c>
      <c r="I29" s="93">
        <f t="shared" si="9"/>
        <v>40913.4</v>
      </c>
      <c r="J29" s="94">
        <v>3161.5</v>
      </c>
      <c r="K29" s="95">
        <f t="shared" si="13"/>
        <v>37751.9</v>
      </c>
      <c r="L29" s="93">
        <f t="shared" si="5"/>
        <v>26810</v>
      </c>
      <c r="M29" s="94">
        <v>1580.7</v>
      </c>
      <c r="N29" s="95">
        <f t="shared" si="6"/>
        <v>25229.3</v>
      </c>
      <c r="O29" s="83">
        <f t="shared" si="1"/>
        <v>66.82921919161684</v>
      </c>
      <c r="P29" s="96"/>
    </row>
    <row r="30" spans="1:16" ht="15">
      <c r="A30" s="89" t="s">
        <v>125</v>
      </c>
      <c r="B30" s="90" t="s">
        <v>128</v>
      </c>
      <c r="C30" s="91">
        <v>31964</v>
      </c>
      <c r="D30" s="91">
        <v>21484.8</v>
      </c>
      <c r="E30" s="81">
        <f t="shared" si="11"/>
        <v>67.21561756976598</v>
      </c>
      <c r="F30" s="92">
        <v>0</v>
      </c>
      <c r="G30" s="92"/>
      <c r="H30" s="82">
        <v>0</v>
      </c>
      <c r="I30" s="93">
        <f t="shared" si="9"/>
        <v>31964</v>
      </c>
      <c r="J30" s="94"/>
      <c r="K30" s="95">
        <f t="shared" si="13"/>
        <v>31964</v>
      </c>
      <c r="L30" s="93">
        <f t="shared" si="5"/>
        <v>21484.8</v>
      </c>
      <c r="M30" s="94"/>
      <c r="N30" s="95">
        <f t="shared" si="6"/>
        <v>21484.8</v>
      </c>
      <c r="O30" s="83">
        <f t="shared" si="1"/>
        <v>67.21561756976598</v>
      </c>
      <c r="P30" s="96"/>
    </row>
    <row r="31" spans="1:16" ht="34.5" customHeight="1" hidden="1">
      <c r="A31" s="89" t="s">
        <v>129</v>
      </c>
      <c r="B31" s="106" t="s">
        <v>130</v>
      </c>
      <c r="C31" s="91"/>
      <c r="D31" s="91"/>
      <c r="E31" s="81"/>
      <c r="F31" s="92">
        <v>0</v>
      </c>
      <c r="G31" s="92"/>
      <c r="H31" s="82"/>
      <c r="I31" s="93">
        <f t="shared" si="9"/>
        <v>0</v>
      </c>
      <c r="J31" s="94"/>
      <c r="K31" s="95">
        <f t="shared" si="13"/>
        <v>0</v>
      </c>
      <c r="L31" s="93">
        <f t="shared" si="5"/>
        <v>0</v>
      </c>
      <c r="M31" s="94"/>
      <c r="N31" s="95">
        <f t="shared" si="6"/>
        <v>0</v>
      </c>
      <c r="O31" s="83"/>
      <c r="P31" s="96"/>
    </row>
    <row r="32" spans="1:16" ht="45.75" customHeight="1" hidden="1">
      <c r="A32" s="80" t="s">
        <v>129</v>
      </c>
      <c r="B32" s="106" t="s">
        <v>131</v>
      </c>
      <c r="C32" s="91"/>
      <c r="D32" s="91"/>
      <c r="E32" s="81"/>
      <c r="F32" s="92">
        <v>0</v>
      </c>
      <c r="G32" s="92"/>
      <c r="H32" s="82"/>
      <c r="I32" s="93">
        <f t="shared" si="9"/>
        <v>0</v>
      </c>
      <c r="J32" s="94"/>
      <c r="K32" s="95">
        <f t="shared" si="13"/>
        <v>0</v>
      </c>
      <c r="L32" s="93">
        <f t="shared" si="5"/>
        <v>0</v>
      </c>
      <c r="M32" s="94"/>
      <c r="N32" s="95">
        <f t="shared" si="6"/>
        <v>0</v>
      </c>
      <c r="O32" s="83"/>
      <c r="P32" s="96"/>
    </row>
    <row r="33" spans="1:16" ht="30" customHeight="1" hidden="1">
      <c r="A33" s="80" t="s">
        <v>129</v>
      </c>
      <c r="B33" s="90" t="s">
        <v>132</v>
      </c>
      <c r="C33" s="91"/>
      <c r="D33" s="91"/>
      <c r="E33" s="81" t="e">
        <f t="shared" si="11"/>
        <v>#DIV/0!</v>
      </c>
      <c r="F33" s="92">
        <v>0</v>
      </c>
      <c r="G33" s="92"/>
      <c r="H33" s="82" t="e">
        <f>G33/F33*100</f>
        <v>#DIV/0!</v>
      </c>
      <c r="I33" s="93">
        <f t="shared" si="9"/>
        <v>0</v>
      </c>
      <c r="J33" s="94"/>
      <c r="K33" s="95">
        <f t="shared" si="13"/>
        <v>0</v>
      </c>
      <c r="L33" s="93">
        <f t="shared" si="5"/>
        <v>0</v>
      </c>
      <c r="M33" s="94"/>
      <c r="N33" s="95">
        <f t="shared" si="6"/>
        <v>0</v>
      </c>
      <c r="O33" s="83" t="e">
        <f t="shared" si="1"/>
        <v>#DIV/0!</v>
      </c>
      <c r="P33" s="96"/>
    </row>
    <row r="34" spans="1:16" ht="72" customHeight="1" hidden="1">
      <c r="A34" s="80" t="s">
        <v>129</v>
      </c>
      <c r="B34" s="90" t="s">
        <v>291</v>
      </c>
      <c r="C34" s="91"/>
      <c r="D34" s="91"/>
      <c r="E34" s="81" t="e">
        <f t="shared" si="11"/>
        <v>#DIV/0!</v>
      </c>
      <c r="F34" s="92"/>
      <c r="G34" s="92"/>
      <c r="H34" s="82" t="e">
        <f>G34/F34*100</f>
        <v>#DIV/0!</v>
      </c>
      <c r="I34" s="93">
        <f t="shared" si="9"/>
        <v>0</v>
      </c>
      <c r="J34" s="94"/>
      <c r="K34" s="95">
        <f t="shared" si="13"/>
        <v>0</v>
      </c>
      <c r="L34" s="93">
        <f t="shared" si="5"/>
        <v>0</v>
      </c>
      <c r="M34" s="94"/>
      <c r="N34" s="95">
        <f t="shared" si="6"/>
        <v>0</v>
      </c>
      <c r="O34" s="83" t="e">
        <f t="shared" si="1"/>
        <v>#DIV/0!</v>
      </c>
      <c r="P34" s="96"/>
    </row>
    <row r="35" spans="1:16" ht="49.5" customHeight="1" hidden="1">
      <c r="A35" s="80" t="s">
        <v>129</v>
      </c>
      <c r="B35" s="90" t="s">
        <v>133</v>
      </c>
      <c r="C35" s="91"/>
      <c r="D35" s="91"/>
      <c r="E35" s="81" t="e">
        <f t="shared" si="11"/>
        <v>#DIV/0!</v>
      </c>
      <c r="F35" s="92"/>
      <c r="G35" s="92"/>
      <c r="H35" s="82" t="e">
        <f aca="true" t="shared" si="14" ref="H35:H57">G35/F35*100</f>
        <v>#DIV/0!</v>
      </c>
      <c r="I35" s="93">
        <f t="shared" si="9"/>
        <v>0</v>
      </c>
      <c r="J35" s="94"/>
      <c r="K35" s="95">
        <f t="shared" si="13"/>
        <v>0</v>
      </c>
      <c r="L35" s="93">
        <f t="shared" si="5"/>
        <v>0</v>
      </c>
      <c r="M35" s="94"/>
      <c r="N35" s="95">
        <f t="shared" si="6"/>
        <v>0</v>
      </c>
      <c r="O35" s="83" t="e">
        <f t="shared" si="1"/>
        <v>#DIV/0!</v>
      </c>
      <c r="P35" s="96"/>
    </row>
    <row r="36" spans="1:16" ht="30" hidden="1">
      <c r="A36" s="80" t="s">
        <v>129</v>
      </c>
      <c r="B36" s="90" t="s">
        <v>134</v>
      </c>
      <c r="C36" s="91"/>
      <c r="D36" s="91"/>
      <c r="E36" s="81" t="e">
        <f t="shared" si="11"/>
        <v>#DIV/0!</v>
      </c>
      <c r="F36" s="92"/>
      <c r="G36" s="92"/>
      <c r="H36" s="82" t="e">
        <f t="shared" si="14"/>
        <v>#DIV/0!</v>
      </c>
      <c r="I36" s="93">
        <f t="shared" si="9"/>
        <v>0</v>
      </c>
      <c r="J36" s="94"/>
      <c r="K36" s="95">
        <f t="shared" si="13"/>
        <v>0</v>
      </c>
      <c r="L36" s="93">
        <f t="shared" si="5"/>
        <v>0</v>
      </c>
      <c r="M36" s="94"/>
      <c r="N36" s="95">
        <f t="shared" si="6"/>
        <v>0</v>
      </c>
      <c r="O36" s="83" t="e">
        <f t="shared" si="1"/>
        <v>#DIV/0!</v>
      </c>
      <c r="P36" s="96"/>
    </row>
    <row r="37" spans="1:16" ht="58.5" customHeight="1">
      <c r="A37" s="104" t="s">
        <v>129</v>
      </c>
      <c r="B37" s="90" t="s">
        <v>292</v>
      </c>
      <c r="C37" s="91">
        <v>29289</v>
      </c>
      <c r="D37" s="91">
        <v>9218.9</v>
      </c>
      <c r="E37" s="81">
        <f t="shared" si="11"/>
        <v>31.47563931851548</v>
      </c>
      <c r="F37" s="92">
        <v>96453</v>
      </c>
      <c r="G37" s="92">
        <v>44597.4</v>
      </c>
      <c r="H37" s="82">
        <f t="shared" si="14"/>
        <v>46.2374420702311</v>
      </c>
      <c r="I37" s="93">
        <f t="shared" si="9"/>
        <v>125742</v>
      </c>
      <c r="J37" s="94">
        <v>28767.6</v>
      </c>
      <c r="K37" s="95">
        <f t="shared" si="13"/>
        <v>96974.4</v>
      </c>
      <c r="L37" s="93">
        <f t="shared" si="5"/>
        <v>53816.3</v>
      </c>
      <c r="M37" s="94">
        <v>8894.6</v>
      </c>
      <c r="N37" s="95">
        <f t="shared" si="6"/>
        <v>44921.700000000004</v>
      </c>
      <c r="O37" s="83">
        <f t="shared" si="1"/>
        <v>46.32325644706232</v>
      </c>
      <c r="P37" s="96"/>
    </row>
    <row r="38" spans="1:16" ht="35.25" customHeight="1" hidden="1">
      <c r="A38" s="104" t="s">
        <v>129</v>
      </c>
      <c r="B38" s="90" t="s">
        <v>135</v>
      </c>
      <c r="C38" s="91"/>
      <c r="D38" s="91"/>
      <c r="E38" s="81"/>
      <c r="F38" s="92"/>
      <c r="G38" s="92"/>
      <c r="H38" s="82" t="e">
        <f t="shared" si="14"/>
        <v>#DIV/0!</v>
      </c>
      <c r="I38" s="93">
        <f t="shared" si="9"/>
        <v>0</v>
      </c>
      <c r="J38" s="94"/>
      <c r="K38" s="95">
        <f t="shared" si="13"/>
        <v>0</v>
      </c>
      <c r="L38" s="93">
        <f t="shared" si="5"/>
        <v>0</v>
      </c>
      <c r="M38" s="94"/>
      <c r="N38" s="95">
        <f t="shared" si="6"/>
        <v>0</v>
      </c>
      <c r="O38" s="83" t="e">
        <f t="shared" si="1"/>
        <v>#DIV/0!</v>
      </c>
      <c r="P38" s="96"/>
    </row>
    <row r="39" spans="1:16" ht="30" hidden="1">
      <c r="A39" s="80" t="s">
        <v>129</v>
      </c>
      <c r="B39" s="90" t="s">
        <v>136</v>
      </c>
      <c r="C39" s="91"/>
      <c r="D39" s="91"/>
      <c r="E39" s="81" t="e">
        <f t="shared" si="11"/>
        <v>#DIV/0!</v>
      </c>
      <c r="F39" s="92">
        <v>0</v>
      </c>
      <c r="G39" s="92"/>
      <c r="H39" s="82" t="e">
        <f t="shared" si="14"/>
        <v>#DIV/0!</v>
      </c>
      <c r="I39" s="93">
        <f t="shared" si="9"/>
        <v>0</v>
      </c>
      <c r="J39" s="94"/>
      <c r="K39" s="95">
        <f t="shared" si="13"/>
        <v>0</v>
      </c>
      <c r="L39" s="93">
        <f t="shared" si="5"/>
        <v>0</v>
      </c>
      <c r="M39" s="94"/>
      <c r="N39" s="95">
        <f t="shared" si="6"/>
        <v>0</v>
      </c>
      <c r="O39" s="83" t="e">
        <f t="shared" si="1"/>
        <v>#DIV/0!</v>
      </c>
      <c r="P39" s="96"/>
    </row>
    <row r="40" spans="1:16" ht="30" hidden="1">
      <c r="A40" s="80" t="s">
        <v>129</v>
      </c>
      <c r="B40" s="90" t="s">
        <v>137</v>
      </c>
      <c r="C40" s="91"/>
      <c r="D40" s="91"/>
      <c r="E40" s="81"/>
      <c r="F40" s="92"/>
      <c r="G40" s="92"/>
      <c r="H40" s="82" t="e">
        <f t="shared" si="14"/>
        <v>#DIV/0!</v>
      </c>
      <c r="I40" s="93">
        <f t="shared" si="9"/>
        <v>0</v>
      </c>
      <c r="J40" s="94"/>
      <c r="K40" s="95">
        <f t="shared" si="13"/>
        <v>0</v>
      </c>
      <c r="L40" s="93">
        <f t="shared" si="5"/>
        <v>0</v>
      </c>
      <c r="M40" s="94"/>
      <c r="N40" s="95">
        <f t="shared" si="6"/>
        <v>0</v>
      </c>
      <c r="O40" s="83" t="e">
        <f t="shared" si="1"/>
        <v>#DIV/0!</v>
      </c>
      <c r="P40" s="96"/>
    </row>
    <row r="41" spans="1:16" ht="30" hidden="1">
      <c r="A41" s="80" t="s">
        <v>129</v>
      </c>
      <c r="B41" s="90" t="s">
        <v>138</v>
      </c>
      <c r="C41" s="91"/>
      <c r="D41" s="91"/>
      <c r="E41" s="81"/>
      <c r="F41" s="92"/>
      <c r="G41" s="92"/>
      <c r="H41" s="82" t="e">
        <f t="shared" si="14"/>
        <v>#DIV/0!</v>
      </c>
      <c r="I41" s="93">
        <f t="shared" si="9"/>
        <v>0</v>
      </c>
      <c r="J41" s="94"/>
      <c r="K41" s="95">
        <f t="shared" si="13"/>
        <v>0</v>
      </c>
      <c r="L41" s="93">
        <f t="shared" si="5"/>
        <v>0</v>
      </c>
      <c r="M41" s="94"/>
      <c r="N41" s="95">
        <f t="shared" si="6"/>
        <v>0</v>
      </c>
      <c r="O41" s="83" t="e">
        <f t="shared" si="1"/>
        <v>#DIV/0!</v>
      </c>
      <c r="P41" s="96"/>
    </row>
    <row r="42" spans="1:16" ht="45" hidden="1">
      <c r="A42" s="80" t="s">
        <v>129</v>
      </c>
      <c r="B42" s="90" t="s">
        <v>139</v>
      </c>
      <c r="C42" s="91">
        <v>0</v>
      </c>
      <c r="D42" s="91"/>
      <c r="E42" s="81"/>
      <c r="F42" s="92"/>
      <c r="G42" s="92"/>
      <c r="H42" s="82" t="e">
        <f t="shared" si="14"/>
        <v>#DIV/0!</v>
      </c>
      <c r="I42" s="93">
        <f t="shared" si="9"/>
        <v>0</v>
      </c>
      <c r="J42" s="94"/>
      <c r="K42" s="95">
        <f t="shared" si="13"/>
        <v>0</v>
      </c>
      <c r="L42" s="93">
        <f t="shared" si="5"/>
        <v>0</v>
      </c>
      <c r="M42" s="94"/>
      <c r="N42" s="95">
        <f t="shared" si="6"/>
        <v>0</v>
      </c>
      <c r="O42" s="83" t="e">
        <f t="shared" si="1"/>
        <v>#DIV/0!</v>
      </c>
      <c r="P42" s="96"/>
    </row>
    <row r="43" spans="1:16" ht="15" hidden="1">
      <c r="A43" s="80" t="s">
        <v>129</v>
      </c>
      <c r="B43" s="90" t="s">
        <v>140</v>
      </c>
      <c r="C43" s="91"/>
      <c r="D43" s="91"/>
      <c r="E43" s="91"/>
      <c r="F43" s="92"/>
      <c r="G43" s="92"/>
      <c r="H43" s="82" t="e">
        <f t="shared" si="14"/>
        <v>#DIV/0!</v>
      </c>
      <c r="I43" s="93">
        <f t="shared" si="9"/>
        <v>0</v>
      </c>
      <c r="J43" s="94"/>
      <c r="K43" s="95">
        <f t="shared" si="13"/>
        <v>0</v>
      </c>
      <c r="L43" s="93">
        <f t="shared" si="5"/>
        <v>0</v>
      </c>
      <c r="M43" s="94"/>
      <c r="N43" s="95">
        <f t="shared" si="6"/>
        <v>0</v>
      </c>
      <c r="O43" s="83" t="e">
        <f t="shared" si="1"/>
        <v>#DIV/0!</v>
      </c>
      <c r="P43" s="96"/>
    </row>
    <row r="44" spans="1:16" ht="30" hidden="1">
      <c r="A44" s="80" t="s">
        <v>129</v>
      </c>
      <c r="B44" s="90" t="s">
        <v>141</v>
      </c>
      <c r="C44" s="91"/>
      <c r="D44" s="91"/>
      <c r="E44" s="81"/>
      <c r="F44" s="92"/>
      <c r="G44" s="92"/>
      <c r="H44" s="82" t="e">
        <f t="shared" si="14"/>
        <v>#DIV/0!</v>
      </c>
      <c r="I44" s="93">
        <f t="shared" si="9"/>
        <v>0</v>
      </c>
      <c r="J44" s="94"/>
      <c r="K44" s="95">
        <f t="shared" si="13"/>
        <v>0</v>
      </c>
      <c r="L44" s="93">
        <f t="shared" si="5"/>
        <v>0</v>
      </c>
      <c r="M44" s="94"/>
      <c r="N44" s="95">
        <f t="shared" si="6"/>
        <v>0</v>
      </c>
      <c r="O44" s="83" t="e">
        <f t="shared" si="1"/>
        <v>#DIV/0!</v>
      </c>
      <c r="P44" s="96"/>
    </row>
    <row r="45" spans="1:16" ht="15">
      <c r="A45" s="100" t="s">
        <v>142</v>
      </c>
      <c r="B45" s="90" t="s">
        <v>143</v>
      </c>
      <c r="C45" s="91">
        <v>4307.4</v>
      </c>
      <c r="D45" s="91">
        <v>2369.5</v>
      </c>
      <c r="E45" s="81">
        <f t="shared" si="11"/>
        <v>55.009982820262806</v>
      </c>
      <c r="F45" s="92">
        <v>5381.1</v>
      </c>
      <c r="G45" s="92">
        <v>3467.3</v>
      </c>
      <c r="H45" s="92">
        <f t="shared" si="14"/>
        <v>64.43478099273383</v>
      </c>
      <c r="I45" s="93">
        <f t="shared" si="9"/>
        <v>9688.5</v>
      </c>
      <c r="J45" s="94"/>
      <c r="K45" s="95">
        <f t="shared" si="13"/>
        <v>9688.5</v>
      </c>
      <c r="L45" s="93">
        <f t="shared" si="5"/>
        <v>5836.8</v>
      </c>
      <c r="M45" s="94"/>
      <c r="N45" s="95">
        <f t="shared" si="6"/>
        <v>5836.8</v>
      </c>
      <c r="O45" s="83">
        <f t="shared" si="1"/>
        <v>60.24461991020282</v>
      </c>
      <c r="P45" s="96"/>
    </row>
    <row r="46" spans="1:16" ht="45">
      <c r="A46" s="89" t="s">
        <v>144</v>
      </c>
      <c r="B46" s="106" t="s">
        <v>145</v>
      </c>
      <c r="C46" s="91">
        <v>3500</v>
      </c>
      <c r="D46" s="91">
        <v>2046.3</v>
      </c>
      <c r="E46" s="91">
        <f t="shared" si="11"/>
        <v>58.465714285714284</v>
      </c>
      <c r="F46" s="92">
        <v>1181</v>
      </c>
      <c r="G46" s="92">
        <v>244</v>
      </c>
      <c r="H46" s="92">
        <f t="shared" si="14"/>
        <v>20.660457239627434</v>
      </c>
      <c r="I46" s="93">
        <f t="shared" si="9"/>
        <v>4681</v>
      </c>
      <c r="J46" s="94">
        <v>1335.7</v>
      </c>
      <c r="K46" s="95">
        <f t="shared" si="13"/>
        <v>3345.3</v>
      </c>
      <c r="L46" s="93">
        <f t="shared" si="5"/>
        <v>2290.3</v>
      </c>
      <c r="M46" s="94">
        <v>398.8</v>
      </c>
      <c r="N46" s="95">
        <f t="shared" si="6"/>
        <v>1891.5000000000002</v>
      </c>
      <c r="O46" s="83">
        <f t="shared" si="1"/>
        <v>56.54201416913281</v>
      </c>
      <c r="P46" s="96"/>
    </row>
    <row r="47" spans="1:16" ht="30">
      <c r="A47" s="89" t="s">
        <v>144</v>
      </c>
      <c r="B47" s="106" t="s">
        <v>146</v>
      </c>
      <c r="C47" s="91">
        <v>634.8</v>
      </c>
      <c r="D47" s="91">
        <v>154.8</v>
      </c>
      <c r="E47" s="91">
        <f t="shared" si="11"/>
        <v>24.385633270321364</v>
      </c>
      <c r="F47" s="92">
        <v>154.8</v>
      </c>
      <c r="G47" s="92">
        <v>154.8</v>
      </c>
      <c r="H47" s="92">
        <f t="shared" si="14"/>
        <v>100</v>
      </c>
      <c r="I47" s="93">
        <f t="shared" si="9"/>
        <v>789.5999999999999</v>
      </c>
      <c r="J47" s="94"/>
      <c r="K47" s="95">
        <f t="shared" si="13"/>
        <v>789.5999999999999</v>
      </c>
      <c r="L47" s="93">
        <f t="shared" si="5"/>
        <v>309.6</v>
      </c>
      <c r="M47" s="94"/>
      <c r="N47" s="95">
        <f t="shared" si="6"/>
        <v>309.6</v>
      </c>
      <c r="O47" s="83">
        <f t="shared" si="1"/>
        <v>39.20972644376901</v>
      </c>
      <c r="P47" s="96"/>
    </row>
    <row r="48" spans="1:16" ht="45">
      <c r="A48" s="89" t="s">
        <v>144</v>
      </c>
      <c r="B48" s="106" t="s">
        <v>147</v>
      </c>
      <c r="C48" s="91">
        <v>6474.8</v>
      </c>
      <c r="D48" s="92">
        <v>5300.3</v>
      </c>
      <c r="E48" s="81">
        <f t="shared" si="11"/>
        <v>81.86044356582443</v>
      </c>
      <c r="F48" s="92">
        <v>0</v>
      </c>
      <c r="G48" s="92"/>
      <c r="H48" s="92" t="e">
        <f t="shared" si="14"/>
        <v>#DIV/0!</v>
      </c>
      <c r="I48" s="93">
        <f t="shared" si="9"/>
        <v>6474.8</v>
      </c>
      <c r="J48" s="94"/>
      <c r="K48" s="95">
        <f t="shared" si="13"/>
        <v>6474.8</v>
      </c>
      <c r="L48" s="93">
        <f t="shared" si="5"/>
        <v>5300.3</v>
      </c>
      <c r="M48" s="94"/>
      <c r="N48" s="95">
        <f t="shared" si="6"/>
        <v>5300.3</v>
      </c>
      <c r="O48" s="83">
        <f t="shared" si="1"/>
        <v>81.86044356582443</v>
      </c>
      <c r="P48" s="96"/>
    </row>
    <row r="49" spans="1:16" ht="30">
      <c r="A49" s="80" t="s">
        <v>144</v>
      </c>
      <c r="B49" s="106" t="s">
        <v>148</v>
      </c>
      <c r="C49" s="91">
        <v>216</v>
      </c>
      <c r="D49" s="92">
        <v>0</v>
      </c>
      <c r="E49" s="91">
        <f t="shared" si="11"/>
        <v>0</v>
      </c>
      <c r="F49" s="92"/>
      <c r="G49" s="92"/>
      <c r="H49" s="92" t="e">
        <f t="shared" si="14"/>
        <v>#DIV/0!</v>
      </c>
      <c r="I49" s="93">
        <f t="shared" si="9"/>
        <v>216</v>
      </c>
      <c r="J49" s="94"/>
      <c r="K49" s="95">
        <f t="shared" si="13"/>
        <v>216</v>
      </c>
      <c r="L49" s="93">
        <f t="shared" si="5"/>
        <v>0</v>
      </c>
      <c r="M49" s="94"/>
      <c r="N49" s="95">
        <f t="shared" si="6"/>
        <v>0</v>
      </c>
      <c r="O49" s="83">
        <f t="shared" si="1"/>
        <v>0</v>
      </c>
      <c r="P49" s="96"/>
    </row>
    <row r="50" spans="1:16" ht="67.5" customHeight="1">
      <c r="A50" s="80" t="s">
        <v>144</v>
      </c>
      <c r="B50" s="106" t="s">
        <v>149</v>
      </c>
      <c r="C50" s="91">
        <v>263.1</v>
      </c>
      <c r="D50" s="92">
        <v>263.1</v>
      </c>
      <c r="E50" s="91">
        <f>D50/C50*100</f>
        <v>100</v>
      </c>
      <c r="F50" s="92"/>
      <c r="G50" s="92"/>
      <c r="H50" s="92" t="e">
        <f>G50/F50*100</f>
        <v>#DIV/0!</v>
      </c>
      <c r="I50" s="93">
        <f t="shared" si="9"/>
        <v>263.1</v>
      </c>
      <c r="J50" s="94"/>
      <c r="K50" s="95">
        <f t="shared" si="13"/>
        <v>263.1</v>
      </c>
      <c r="L50" s="93">
        <f t="shared" si="5"/>
        <v>263.1</v>
      </c>
      <c r="M50" s="94"/>
      <c r="N50" s="95">
        <f t="shared" si="6"/>
        <v>263.1</v>
      </c>
      <c r="O50" s="83">
        <f>N50/K50*100</f>
        <v>100</v>
      </c>
      <c r="P50" s="96"/>
    </row>
    <row r="51" spans="1:16" ht="30">
      <c r="A51" s="80" t="s">
        <v>144</v>
      </c>
      <c r="B51" s="106" t="s">
        <v>150</v>
      </c>
      <c r="C51" s="91">
        <v>1733.8</v>
      </c>
      <c r="D51" s="92">
        <v>909</v>
      </c>
      <c r="E51" s="91">
        <f t="shared" si="11"/>
        <v>52.42819240973584</v>
      </c>
      <c r="F51" s="92">
        <v>0</v>
      </c>
      <c r="G51" s="92"/>
      <c r="H51" s="92" t="e">
        <f t="shared" si="14"/>
        <v>#DIV/0!</v>
      </c>
      <c r="I51" s="93">
        <f t="shared" si="9"/>
        <v>1733.8</v>
      </c>
      <c r="J51" s="94"/>
      <c r="K51" s="95">
        <f t="shared" si="13"/>
        <v>1733.8</v>
      </c>
      <c r="L51" s="93">
        <f>D51+G51</f>
        <v>909</v>
      </c>
      <c r="M51" s="94"/>
      <c r="N51" s="95">
        <f t="shared" si="6"/>
        <v>909</v>
      </c>
      <c r="O51" s="83">
        <f t="shared" si="1"/>
        <v>52.42819240973584</v>
      </c>
      <c r="P51" s="96"/>
    </row>
    <row r="52" spans="1:16" ht="45" hidden="1">
      <c r="A52" s="80" t="s">
        <v>144</v>
      </c>
      <c r="B52" s="106" t="s">
        <v>151</v>
      </c>
      <c r="C52" s="91"/>
      <c r="D52" s="92"/>
      <c r="E52" s="91" t="e">
        <f t="shared" si="11"/>
        <v>#DIV/0!</v>
      </c>
      <c r="F52" s="92"/>
      <c r="G52" s="92"/>
      <c r="H52" s="92" t="e">
        <f t="shared" si="14"/>
        <v>#DIV/0!</v>
      </c>
      <c r="I52" s="93">
        <f t="shared" si="9"/>
        <v>0</v>
      </c>
      <c r="J52" s="94"/>
      <c r="K52" s="95">
        <f t="shared" si="13"/>
        <v>0</v>
      </c>
      <c r="L52" s="93">
        <f t="shared" si="5"/>
        <v>0</v>
      </c>
      <c r="M52" s="94"/>
      <c r="N52" s="95">
        <f t="shared" si="6"/>
        <v>0</v>
      </c>
      <c r="O52" s="83" t="e">
        <f t="shared" si="1"/>
        <v>#DIV/0!</v>
      </c>
      <c r="P52" s="96"/>
    </row>
    <row r="53" spans="1:16" ht="30" hidden="1">
      <c r="A53" s="80" t="s">
        <v>144</v>
      </c>
      <c r="B53" s="106" t="s">
        <v>152</v>
      </c>
      <c r="C53" s="91"/>
      <c r="D53" s="92"/>
      <c r="E53" s="91" t="e">
        <f t="shared" si="11"/>
        <v>#DIV/0!</v>
      </c>
      <c r="F53" s="92"/>
      <c r="G53" s="92"/>
      <c r="H53" s="92" t="e">
        <f t="shared" si="14"/>
        <v>#DIV/0!</v>
      </c>
      <c r="I53" s="93">
        <f t="shared" si="9"/>
        <v>0</v>
      </c>
      <c r="J53" s="94"/>
      <c r="K53" s="95">
        <f t="shared" si="13"/>
        <v>0</v>
      </c>
      <c r="L53" s="93">
        <f t="shared" si="5"/>
        <v>0</v>
      </c>
      <c r="M53" s="94"/>
      <c r="N53" s="95">
        <f t="shared" si="6"/>
        <v>0</v>
      </c>
      <c r="O53" s="83" t="e">
        <f t="shared" si="1"/>
        <v>#DIV/0!</v>
      </c>
      <c r="P53" s="96"/>
    </row>
    <row r="54" spans="1:16" ht="30" hidden="1">
      <c r="A54" s="80" t="s">
        <v>144</v>
      </c>
      <c r="B54" s="106" t="s">
        <v>153</v>
      </c>
      <c r="C54" s="91"/>
      <c r="D54" s="92"/>
      <c r="E54" s="91" t="e">
        <f>D54/C54*100</f>
        <v>#DIV/0!</v>
      </c>
      <c r="F54" s="92"/>
      <c r="G54" s="92"/>
      <c r="H54" s="92" t="e">
        <f t="shared" si="14"/>
        <v>#DIV/0!</v>
      </c>
      <c r="I54" s="93">
        <f t="shared" si="9"/>
        <v>0</v>
      </c>
      <c r="J54" s="94"/>
      <c r="K54" s="95">
        <f t="shared" si="13"/>
        <v>0</v>
      </c>
      <c r="L54" s="93">
        <f t="shared" si="5"/>
        <v>0</v>
      </c>
      <c r="M54" s="94"/>
      <c r="N54" s="95">
        <f t="shared" si="6"/>
        <v>0</v>
      </c>
      <c r="O54" s="83" t="e">
        <f t="shared" si="1"/>
        <v>#DIV/0!</v>
      </c>
      <c r="P54" s="96"/>
    </row>
    <row r="55" spans="1:16" ht="60" hidden="1">
      <c r="A55" s="80" t="s">
        <v>144</v>
      </c>
      <c r="B55" s="106" t="s">
        <v>154</v>
      </c>
      <c r="C55" s="91"/>
      <c r="D55" s="92"/>
      <c r="E55" s="91" t="e">
        <f>D55/C55*100</f>
        <v>#DIV/0!</v>
      </c>
      <c r="F55" s="92"/>
      <c r="G55" s="92"/>
      <c r="H55" s="92"/>
      <c r="I55" s="93">
        <f t="shared" si="9"/>
        <v>0</v>
      </c>
      <c r="J55" s="94"/>
      <c r="K55" s="95">
        <f t="shared" si="13"/>
        <v>0</v>
      </c>
      <c r="L55" s="93">
        <f t="shared" si="5"/>
        <v>0</v>
      </c>
      <c r="M55" s="94"/>
      <c r="N55" s="95">
        <f t="shared" si="6"/>
        <v>0</v>
      </c>
      <c r="O55" s="83" t="e">
        <f t="shared" si="1"/>
        <v>#DIV/0!</v>
      </c>
      <c r="P55" s="96"/>
    </row>
    <row r="56" spans="1:16" ht="30">
      <c r="A56" s="80" t="s">
        <v>144</v>
      </c>
      <c r="B56" s="106" t="s">
        <v>155</v>
      </c>
      <c r="C56" s="91">
        <v>0</v>
      </c>
      <c r="D56" s="92">
        <v>0</v>
      </c>
      <c r="E56" s="91"/>
      <c r="F56" s="92">
        <v>56.7</v>
      </c>
      <c r="G56" s="92">
        <v>56.7</v>
      </c>
      <c r="H56" s="92">
        <f>G56/F56*100</f>
        <v>100</v>
      </c>
      <c r="I56" s="93">
        <f t="shared" si="9"/>
        <v>56.7</v>
      </c>
      <c r="J56" s="94"/>
      <c r="K56" s="95">
        <f t="shared" si="13"/>
        <v>56.7</v>
      </c>
      <c r="L56" s="93">
        <f t="shared" si="5"/>
        <v>56.7</v>
      </c>
      <c r="M56" s="94"/>
      <c r="N56" s="95">
        <f t="shared" si="6"/>
        <v>56.7</v>
      </c>
      <c r="O56" s="83">
        <f t="shared" si="1"/>
        <v>100</v>
      </c>
      <c r="P56" s="96"/>
    </row>
    <row r="57" spans="1:16" ht="30" hidden="1">
      <c r="A57" s="80" t="s">
        <v>144</v>
      </c>
      <c r="B57" s="106" t="s">
        <v>156</v>
      </c>
      <c r="C57" s="91">
        <v>0</v>
      </c>
      <c r="D57" s="92">
        <v>0</v>
      </c>
      <c r="E57" s="91"/>
      <c r="F57" s="92"/>
      <c r="G57" s="92"/>
      <c r="H57" s="92" t="e">
        <f t="shared" si="14"/>
        <v>#DIV/0!</v>
      </c>
      <c r="I57" s="93">
        <f t="shared" si="9"/>
        <v>0</v>
      </c>
      <c r="J57" s="94"/>
      <c r="K57" s="95">
        <f t="shared" si="13"/>
        <v>0</v>
      </c>
      <c r="L57" s="93">
        <f t="shared" si="5"/>
        <v>0</v>
      </c>
      <c r="M57" s="94"/>
      <c r="N57" s="95">
        <f t="shared" si="6"/>
        <v>0</v>
      </c>
      <c r="O57" s="83" t="e">
        <f t="shared" si="1"/>
        <v>#DIV/0!</v>
      </c>
      <c r="P57" s="96"/>
    </row>
    <row r="58" spans="1:16" ht="14.25">
      <c r="A58" s="84" t="s">
        <v>157</v>
      </c>
      <c r="B58" s="85" t="s">
        <v>158</v>
      </c>
      <c r="C58" s="86">
        <f>SUM(C59:C107)</f>
        <v>552342.8999999999</v>
      </c>
      <c r="D58" s="86">
        <f>SUM(D59:D107)</f>
        <v>227656.30000000002</v>
      </c>
      <c r="E58" s="86">
        <f t="shared" si="11"/>
        <v>41.216479835261765</v>
      </c>
      <c r="F58" s="107">
        <f>SUM(F59:F107)</f>
        <v>222433.59999999998</v>
      </c>
      <c r="G58" s="107">
        <f>SUM(G59:G107)</f>
        <v>113798.6</v>
      </c>
      <c r="H58" s="107">
        <f>G58/F58*100</f>
        <v>51.160705936513196</v>
      </c>
      <c r="I58" s="108">
        <f t="shared" si="9"/>
        <v>774776.4999999999</v>
      </c>
      <c r="J58" s="86">
        <f>SUM(J59:J107)</f>
        <v>79064.59999999999</v>
      </c>
      <c r="K58" s="86">
        <f>SUM(K59:K107)</f>
        <v>695711.9</v>
      </c>
      <c r="L58" s="86">
        <f>SUM(L59:L107)</f>
        <v>341454.89999999997</v>
      </c>
      <c r="M58" s="86">
        <f>SUM(M59:M107)</f>
        <v>39689.6</v>
      </c>
      <c r="N58" s="86">
        <f>SUM(N59:N107)</f>
        <v>301765.29999999993</v>
      </c>
      <c r="O58" s="88">
        <f t="shared" si="1"/>
        <v>43.37503785690598</v>
      </c>
      <c r="P58" s="96"/>
    </row>
    <row r="59" spans="1:16" ht="63.75" customHeight="1">
      <c r="A59" s="89" t="s">
        <v>159</v>
      </c>
      <c r="B59" s="90" t="s">
        <v>160</v>
      </c>
      <c r="C59" s="91">
        <v>4044.2</v>
      </c>
      <c r="D59" s="91">
        <v>4044.2</v>
      </c>
      <c r="E59" s="81">
        <f t="shared" si="11"/>
        <v>100</v>
      </c>
      <c r="F59" s="92">
        <v>0</v>
      </c>
      <c r="G59" s="92">
        <v>0</v>
      </c>
      <c r="H59" s="82">
        <v>0</v>
      </c>
      <c r="I59" s="93">
        <f t="shared" si="9"/>
        <v>4044.2</v>
      </c>
      <c r="J59" s="94"/>
      <c r="K59" s="95">
        <f t="shared" si="13"/>
        <v>4044.2</v>
      </c>
      <c r="L59" s="93">
        <f t="shared" si="5"/>
        <v>4044.2</v>
      </c>
      <c r="M59" s="94"/>
      <c r="N59" s="95">
        <f t="shared" si="6"/>
        <v>4044.2</v>
      </c>
      <c r="O59" s="83">
        <f t="shared" si="1"/>
        <v>100</v>
      </c>
      <c r="P59" s="96"/>
    </row>
    <row r="60" spans="1:16" ht="30" hidden="1">
      <c r="A60" s="89" t="s">
        <v>159</v>
      </c>
      <c r="B60" s="90" t="s">
        <v>161</v>
      </c>
      <c r="C60" s="91"/>
      <c r="D60" s="91"/>
      <c r="E60" s="81"/>
      <c r="F60" s="92"/>
      <c r="G60" s="92"/>
      <c r="H60" s="82">
        <v>0</v>
      </c>
      <c r="I60" s="93">
        <f t="shared" si="9"/>
        <v>0</v>
      </c>
      <c r="J60" s="94"/>
      <c r="K60" s="95">
        <f>I60-J60</f>
        <v>0</v>
      </c>
      <c r="L60" s="93">
        <f>D60+G60</f>
        <v>0</v>
      </c>
      <c r="M60" s="94"/>
      <c r="N60" s="95">
        <f t="shared" si="6"/>
        <v>0</v>
      </c>
      <c r="O60" s="83" t="e">
        <f t="shared" si="1"/>
        <v>#DIV/0!</v>
      </c>
      <c r="P60" s="96"/>
    </row>
    <row r="61" spans="1:16" ht="30" hidden="1">
      <c r="A61" s="89" t="s">
        <v>159</v>
      </c>
      <c r="B61" s="90" t="s">
        <v>162</v>
      </c>
      <c r="C61" s="91">
        <v>0</v>
      </c>
      <c r="D61" s="91">
        <v>0</v>
      </c>
      <c r="E61" s="81" t="e">
        <f t="shared" si="11"/>
        <v>#DIV/0!</v>
      </c>
      <c r="F61" s="92"/>
      <c r="G61" s="92"/>
      <c r="H61" s="82">
        <v>0</v>
      </c>
      <c r="I61" s="93">
        <f t="shared" si="9"/>
        <v>0</v>
      </c>
      <c r="J61" s="94"/>
      <c r="K61" s="95">
        <f aca="true" t="shared" si="15" ref="K61:K107">I61-J61</f>
        <v>0</v>
      </c>
      <c r="L61" s="93">
        <f t="shared" si="5"/>
        <v>0</v>
      </c>
      <c r="M61" s="94"/>
      <c r="N61" s="95">
        <f t="shared" si="6"/>
        <v>0</v>
      </c>
      <c r="O61" s="83" t="e">
        <f>N61/K61*100</f>
        <v>#DIV/0!</v>
      </c>
      <c r="P61" s="96"/>
    </row>
    <row r="62" spans="1:16" ht="30" hidden="1">
      <c r="A62" s="89" t="s">
        <v>159</v>
      </c>
      <c r="B62" s="90" t="s">
        <v>163</v>
      </c>
      <c r="C62" s="91"/>
      <c r="D62" s="91"/>
      <c r="E62" s="81" t="e">
        <f t="shared" si="11"/>
        <v>#DIV/0!</v>
      </c>
      <c r="F62" s="92"/>
      <c r="G62" s="92"/>
      <c r="H62" s="82">
        <v>0</v>
      </c>
      <c r="I62" s="93">
        <f t="shared" si="9"/>
        <v>0</v>
      </c>
      <c r="J62" s="94"/>
      <c r="K62" s="95">
        <f t="shared" si="15"/>
        <v>0</v>
      </c>
      <c r="L62" s="93">
        <f t="shared" si="5"/>
        <v>0</v>
      </c>
      <c r="M62" s="94"/>
      <c r="N62" s="95">
        <f t="shared" si="6"/>
        <v>0</v>
      </c>
      <c r="O62" s="83"/>
      <c r="P62" s="96"/>
    </row>
    <row r="63" spans="1:16" ht="45">
      <c r="A63" s="89" t="s">
        <v>159</v>
      </c>
      <c r="B63" s="90" t="s">
        <v>164</v>
      </c>
      <c r="C63" s="91">
        <v>60977.8</v>
      </c>
      <c r="D63" s="91">
        <v>54015.2</v>
      </c>
      <c r="E63" s="81">
        <f t="shared" si="11"/>
        <v>88.58174614367852</v>
      </c>
      <c r="F63" s="92"/>
      <c r="G63" s="92"/>
      <c r="H63" s="82">
        <v>0</v>
      </c>
      <c r="I63" s="93">
        <f t="shared" si="9"/>
        <v>60977.8</v>
      </c>
      <c r="J63" s="94"/>
      <c r="K63" s="95">
        <f t="shared" si="15"/>
        <v>60977.8</v>
      </c>
      <c r="L63" s="93">
        <f t="shared" si="5"/>
        <v>54015.2</v>
      </c>
      <c r="M63" s="94"/>
      <c r="N63" s="95">
        <f t="shared" si="6"/>
        <v>54015.2</v>
      </c>
      <c r="O63" s="83">
        <f>N63/K63*100</f>
        <v>88.58174614367852</v>
      </c>
      <c r="P63" s="96"/>
    </row>
    <row r="64" spans="1:16" ht="75">
      <c r="A64" s="89" t="s">
        <v>159</v>
      </c>
      <c r="B64" s="90" t="s">
        <v>165</v>
      </c>
      <c r="C64" s="91">
        <v>25787</v>
      </c>
      <c r="D64" s="91">
        <v>3245.5</v>
      </c>
      <c r="E64" s="81">
        <f t="shared" si="11"/>
        <v>12.585799046030946</v>
      </c>
      <c r="F64" s="92"/>
      <c r="G64" s="92"/>
      <c r="H64" s="82">
        <v>0</v>
      </c>
      <c r="I64" s="93">
        <f t="shared" si="9"/>
        <v>25787</v>
      </c>
      <c r="J64" s="94"/>
      <c r="K64" s="95">
        <f t="shared" si="15"/>
        <v>25787</v>
      </c>
      <c r="L64" s="93">
        <f t="shared" si="5"/>
        <v>3245.5</v>
      </c>
      <c r="M64" s="94"/>
      <c r="N64" s="95">
        <f t="shared" si="6"/>
        <v>3245.5</v>
      </c>
      <c r="O64" s="83">
        <f t="shared" si="1"/>
        <v>12.585799046030946</v>
      </c>
      <c r="P64" s="96"/>
    </row>
    <row r="65" spans="1:16" ht="75">
      <c r="A65" s="89" t="s">
        <v>159</v>
      </c>
      <c r="B65" s="90" t="s">
        <v>166</v>
      </c>
      <c r="C65" s="91">
        <v>3066.4</v>
      </c>
      <c r="D65" s="91">
        <v>400.5</v>
      </c>
      <c r="E65" s="81">
        <f t="shared" si="11"/>
        <v>13.06091834072528</v>
      </c>
      <c r="F65" s="92"/>
      <c r="G65" s="92"/>
      <c r="H65" s="82">
        <v>0</v>
      </c>
      <c r="I65" s="93">
        <f t="shared" si="9"/>
        <v>3066.4</v>
      </c>
      <c r="J65" s="94"/>
      <c r="K65" s="95">
        <f t="shared" si="15"/>
        <v>3066.4</v>
      </c>
      <c r="L65" s="93">
        <f t="shared" si="5"/>
        <v>400.5</v>
      </c>
      <c r="M65" s="94"/>
      <c r="N65" s="95">
        <f t="shared" si="6"/>
        <v>400.5</v>
      </c>
      <c r="O65" s="83">
        <f t="shared" si="1"/>
        <v>13.06091834072528</v>
      </c>
      <c r="P65" s="96">
        <f>P65</f>
        <v>0</v>
      </c>
    </row>
    <row r="66" spans="1:16" ht="90">
      <c r="A66" s="89" t="s">
        <v>159</v>
      </c>
      <c r="B66" s="90" t="s">
        <v>167</v>
      </c>
      <c r="C66" s="91">
        <v>14952</v>
      </c>
      <c r="D66" s="91">
        <v>2075</v>
      </c>
      <c r="E66" s="81">
        <f t="shared" si="11"/>
        <v>13.877742108079186</v>
      </c>
      <c r="F66" s="92"/>
      <c r="G66" s="92"/>
      <c r="H66" s="82">
        <v>0</v>
      </c>
      <c r="I66" s="93">
        <f t="shared" si="9"/>
        <v>14952</v>
      </c>
      <c r="J66" s="94"/>
      <c r="K66" s="95">
        <f t="shared" si="15"/>
        <v>14952</v>
      </c>
      <c r="L66" s="93">
        <f t="shared" si="5"/>
        <v>2075</v>
      </c>
      <c r="M66" s="94"/>
      <c r="N66" s="95">
        <f t="shared" si="6"/>
        <v>2075</v>
      </c>
      <c r="O66" s="83">
        <f t="shared" si="1"/>
        <v>13.877742108079186</v>
      </c>
      <c r="P66" s="96"/>
    </row>
    <row r="67" spans="1:16" ht="45">
      <c r="A67" s="89" t="s">
        <v>159</v>
      </c>
      <c r="B67" s="90" t="s">
        <v>168</v>
      </c>
      <c r="C67" s="91">
        <v>11145.7</v>
      </c>
      <c r="D67" s="91">
        <v>5304.3</v>
      </c>
      <c r="E67" s="81">
        <f>D67/C67*100</f>
        <v>47.5905506159326</v>
      </c>
      <c r="F67" s="92">
        <f>2793+2783</f>
        <v>5576</v>
      </c>
      <c r="G67" s="92">
        <v>3459.6</v>
      </c>
      <c r="H67" s="82">
        <f aca="true" t="shared" si="16" ref="H67:H75">G67/F67*100</f>
        <v>62.044476327116215</v>
      </c>
      <c r="I67" s="93">
        <f t="shared" si="9"/>
        <v>16721.7</v>
      </c>
      <c r="J67" s="94">
        <f>4083+6603</f>
        <v>10686</v>
      </c>
      <c r="K67" s="95">
        <f t="shared" si="15"/>
        <v>6035.700000000001</v>
      </c>
      <c r="L67" s="93">
        <f t="shared" si="5"/>
        <v>8763.9</v>
      </c>
      <c r="M67" s="94">
        <v>4855.6</v>
      </c>
      <c r="N67" s="95">
        <f t="shared" si="6"/>
        <v>3908.2999999999993</v>
      </c>
      <c r="O67" s="83">
        <f>N67/K67*100</f>
        <v>64.75305266994712</v>
      </c>
      <c r="P67" s="96"/>
    </row>
    <row r="68" spans="1:16" ht="45">
      <c r="A68" s="89" t="s">
        <v>159</v>
      </c>
      <c r="B68" s="90" t="s">
        <v>169</v>
      </c>
      <c r="C68" s="91">
        <v>1935</v>
      </c>
      <c r="D68" s="91">
        <v>1301.4</v>
      </c>
      <c r="E68" s="81">
        <f>D68/C68*100</f>
        <v>67.25581395348837</v>
      </c>
      <c r="F68" s="92"/>
      <c r="G68" s="92"/>
      <c r="H68" s="82" t="e">
        <f t="shared" si="16"/>
        <v>#DIV/0!</v>
      </c>
      <c r="I68" s="93">
        <f t="shared" si="9"/>
        <v>1935</v>
      </c>
      <c r="J68" s="94"/>
      <c r="K68" s="95">
        <f t="shared" si="15"/>
        <v>1935</v>
      </c>
      <c r="L68" s="93">
        <f t="shared" si="5"/>
        <v>1301.4</v>
      </c>
      <c r="M68" s="94"/>
      <c r="N68" s="95">
        <f t="shared" si="6"/>
        <v>1301.4</v>
      </c>
      <c r="O68" s="83">
        <f t="shared" si="1"/>
        <v>67.25581395348837</v>
      </c>
      <c r="P68" s="96"/>
    </row>
    <row r="69" spans="1:16" ht="45">
      <c r="A69" s="80" t="s">
        <v>159</v>
      </c>
      <c r="B69" s="90" t="s">
        <v>170</v>
      </c>
      <c r="C69" s="91">
        <v>14075</v>
      </c>
      <c r="D69" s="91">
        <v>1844</v>
      </c>
      <c r="E69" s="81">
        <f t="shared" si="11"/>
        <v>13.101243339253996</v>
      </c>
      <c r="F69" s="92">
        <v>22218.3</v>
      </c>
      <c r="G69" s="92">
        <v>4245.3</v>
      </c>
      <c r="H69" s="82">
        <f t="shared" si="16"/>
        <v>19.10722242475797</v>
      </c>
      <c r="I69" s="93">
        <f t="shared" si="9"/>
        <v>36293.3</v>
      </c>
      <c r="J69" s="94">
        <v>13076</v>
      </c>
      <c r="K69" s="95">
        <f t="shared" si="15"/>
        <v>23217.300000000003</v>
      </c>
      <c r="L69" s="93">
        <f t="shared" si="5"/>
        <v>6089.3</v>
      </c>
      <c r="M69" s="94">
        <v>1039.9</v>
      </c>
      <c r="N69" s="95">
        <f t="shared" si="6"/>
        <v>5049.4</v>
      </c>
      <c r="O69" s="83">
        <f t="shared" si="1"/>
        <v>21.748437587488638</v>
      </c>
      <c r="P69" s="96"/>
    </row>
    <row r="70" spans="1:16" ht="75">
      <c r="A70" s="89" t="s">
        <v>171</v>
      </c>
      <c r="B70" s="109" t="s">
        <v>172</v>
      </c>
      <c r="C70" s="81">
        <v>43047</v>
      </c>
      <c r="D70" s="81">
        <v>37947</v>
      </c>
      <c r="E70" s="81">
        <f t="shared" si="11"/>
        <v>88.15248449369294</v>
      </c>
      <c r="F70" s="82">
        <v>38390</v>
      </c>
      <c r="G70" s="82">
        <v>37890</v>
      </c>
      <c r="H70" s="82">
        <f t="shared" si="16"/>
        <v>98.6975774941391</v>
      </c>
      <c r="I70" s="93">
        <f t="shared" si="9"/>
        <v>81437</v>
      </c>
      <c r="J70" s="94">
        <v>4462</v>
      </c>
      <c r="K70" s="95">
        <f t="shared" si="15"/>
        <v>76975</v>
      </c>
      <c r="L70" s="93">
        <f t="shared" si="5"/>
        <v>75837</v>
      </c>
      <c r="M70" s="94">
        <v>4462</v>
      </c>
      <c r="N70" s="95">
        <f t="shared" si="6"/>
        <v>71375</v>
      </c>
      <c r="O70" s="83">
        <f t="shared" si="1"/>
        <v>92.72491068528743</v>
      </c>
      <c r="P70" s="96"/>
    </row>
    <row r="71" spans="1:16" ht="135" hidden="1">
      <c r="A71" s="100" t="s">
        <v>171</v>
      </c>
      <c r="B71" s="90" t="s">
        <v>173</v>
      </c>
      <c r="C71" s="91"/>
      <c r="D71" s="91"/>
      <c r="E71" s="81" t="e">
        <f t="shared" si="11"/>
        <v>#DIV/0!</v>
      </c>
      <c r="F71" s="92"/>
      <c r="G71" s="92"/>
      <c r="H71" s="82" t="e">
        <f t="shared" si="16"/>
        <v>#DIV/0!</v>
      </c>
      <c r="I71" s="93">
        <f t="shared" si="9"/>
        <v>0</v>
      </c>
      <c r="J71" s="94"/>
      <c r="K71" s="95">
        <f t="shared" si="15"/>
        <v>0</v>
      </c>
      <c r="L71" s="93">
        <f t="shared" si="5"/>
        <v>0</v>
      </c>
      <c r="M71" s="94"/>
      <c r="N71" s="95">
        <f t="shared" si="6"/>
        <v>0</v>
      </c>
      <c r="O71" s="83" t="e">
        <f t="shared" si="1"/>
        <v>#DIV/0!</v>
      </c>
      <c r="P71" s="96"/>
    </row>
    <row r="72" spans="1:16" ht="105" hidden="1">
      <c r="A72" s="89" t="s">
        <v>171</v>
      </c>
      <c r="B72" s="90" t="s">
        <v>174</v>
      </c>
      <c r="C72" s="91"/>
      <c r="D72" s="91"/>
      <c r="E72" s="81" t="e">
        <f t="shared" si="11"/>
        <v>#DIV/0!</v>
      </c>
      <c r="F72" s="92"/>
      <c r="G72" s="92"/>
      <c r="H72" s="82" t="e">
        <f t="shared" si="16"/>
        <v>#DIV/0!</v>
      </c>
      <c r="I72" s="93">
        <f t="shared" si="9"/>
        <v>0</v>
      </c>
      <c r="J72" s="94"/>
      <c r="K72" s="95">
        <f t="shared" si="15"/>
        <v>0</v>
      </c>
      <c r="L72" s="93">
        <f t="shared" si="5"/>
        <v>0</v>
      </c>
      <c r="M72" s="94"/>
      <c r="N72" s="95">
        <f t="shared" si="6"/>
        <v>0</v>
      </c>
      <c r="O72" s="83" t="e">
        <f t="shared" si="1"/>
        <v>#DIV/0!</v>
      </c>
      <c r="P72" s="96"/>
    </row>
    <row r="73" spans="1:16" ht="90" hidden="1">
      <c r="A73" s="80" t="s">
        <v>171</v>
      </c>
      <c r="B73" s="90" t="s">
        <v>175</v>
      </c>
      <c r="C73" s="91"/>
      <c r="D73" s="91"/>
      <c r="E73" s="81" t="e">
        <f t="shared" si="11"/>
        <v>#DIV/0!</v>
      </c>
      <c r="F73" s="92"/>
      <c r="G73" s="92"/>
      <c r="H73" s="82" t="e">
        <f t="shared" si="16"/>
        <v>#DIV/0!</v>
      </c>
      <c r="I73" s="93">
        <f t="shared" si="9"/>
        <v>0</v>
      </c>
      <c r="J73" s="94"/>
      <c r="K73" s="95">
        <f t="shared" si="15"/>
        <v>0</v>
      </c>
      <c r="L73" s="93">
        <f t="shared" si="5"/>
        <v>0</v>
      </c>
      <c r="M73" s="94"/>
      <c r="N73" s="95">
        <f t="shared" si="6"/>
        <v>0</v>
      </c>
      <c r="O73" s="83" t="e">
        <f t="shared" si="1"/>
        <v>#DIV/0!</v>
      </c>
      <c r="P73" s="96"/>
    </row>
    <row r="74" spans="1:16" ht="90" hidden="1">
      <c r="A74" s="80" t="s">
        <v>171</v>
      </c>
      <c r="B74" s="90" t="s">
        <v>176</v>
      </c>
      <c r="C74" s="91"/>
      <c r="D74" s="91"/>
      <c r="E74" s="81" t="e">
        <f t="shared" si="11"/>
        <v>#DIV/0!</v>
      </c>
      <c r="F74" s="92"/>
      <c r="G74" s="92"/>
      <c r="H74" s="82" t="e">
        <f t="shared" si="16"/>
        <v>#DIV/0!</v>
      </c>
      <c r="I74" s="93">
        <f t="shared" si="9"/>
        <v>0</v>
      </c>
      <c r="J74" s="94"/>
      <c r="K74" s="95">
        <f t="shared" si="15"/>
        <v>0</v>
      </c>
      <c r="L74" s="93">
        <f t="shared" si="5"/>
        <v>0</v>
      </c>
      <c r="M74" s="94"/>
      <c r="N74" s="95">
        <f t="shared" si="6"/>
        <v>0</v>
      </c>
      <c r="O74" s="83" t="e">
        <f t="shared" si="1"/>
        <v>#DIV/0!</v>
      </c>
      <c r="P74" s="96"/>
    </row>
    <row r="75" spans="1:16" ht="38.25" hidden="1">
      <c r="A75" s="89" t="s">
        <v>171</v>
      </c>
      <c r="B75" s="110" t="s">
        <v>177</v>
      </c>
      <c r="C75" s="91"/>
      <c r="D75" s="91"/>
      <c r="E75" s="81" t="e">
        <f>D75/C75*100</f>
        <v>#DIV/0!</v>
      </c>
      <c r="F75" s="92"/>
      <c r="G75" s="92"/>
      <c r="H75" s="82" t="e">
        <f t="shared" si="16"/>
        <v>#DIV/0!</v>
      </c>
      <c r="I75" s="93">
        <f t="shared" si="9"/>
        <v>0</v>
      </c>
      <c r="J75" s="94"/>
      <c r="K75" s="95">
        <f t="shared" si="15"/>
        <v>0</v>
      </c>
      <c r="L75" s="93">
        <f t="shared" si="5"/>
        <v>0</v>
      </c>
      <c r="M75" s="94"/>
      <c r="N75" s="95">
        <f t="shared" si="6"/>
        <v>0</v>
      </c>
      <c r="O75" s="83" t="e">
        <f>N75/K75*100</f>
        <v>#DIV/0!</v>
      </c>
      <c r="P75" s="96"/>
    </row>
    <row r="76" spans="1:16" ht="15" hidden="1">
      <c r="A76" s="89" t="s">
        <v>171</v>
      </c>
      <c r="B76" s="110"/>
      <c r="C76" s="91"/>
      <c r="D76" s="91"/>
      <c r="E76" s="81"/>
      <c r="F76" s="92"/>
      <c r="G76" s="92"/>
      <c r="H76" s="82"/>
      <c r="I76" s="93"/>
      <c r="J76" s="94"/>
      <c r="K76" s="95"/>
      <c r="L76" s="93"/>
      <c r="M76" s="94"/>
      <c r="N76" s="95"/>
      <c r="O76" s="83"/>
      <c r="P76" s="96"/>
    </row>
    <row r="77" spans="1:16" ht="25.5" hidden="1">
      <c r="A77" s="89" t="s">
        <v>171</v>
      </c>
      <c r="B77" s="110" t="s">
        <v>178</v>
      </c>
      <c r="C77" s="91"/>
      <c r="D77" s="91"/>
      <c r="E77" s="81" t="e">
        <f>D77/C77*100</f>
        <v>#DIV/0!</v>
      </c>
      <c r="F77" s="92"/>
      <c r="G77" s="92"/>
      <c r="H77" s="82" t="e">
        <f>G77/F77*100</f>
        <v>#DIV/0!</v>
      </c>
      <c r="I77" s="93">
        <f>C77+F77</f>
        <v>0</v>
      </c>
      <c r="J77" s="94"/>
      <c r="K77" s="95">
        <f>I77-J77</f>
        <v>0</v>
      </c>
      <c r="L77" s="93">
        <f>D77+G77</f>
        <v>0</v>
      </c>
      <c r="M77" s="94"/>
      <c r="N77" s="95">
        <f>L77-M77</f>
        <v>0</v>
      </c>
      <c r="O77" s="83"/>
      <c r="P77" s="96"/>
    </row>
    <row r="78" spans="1:16" ht="45">
      <c r="A78" s="80" t="s">
        <v>171</v>
      </c>
      <c r="B78" s="106" t="s">
        <v>179</v>
      </c>
      <c r="C78" s="91">
        <v>37625.9</v>
      </c>
      <c r="D78" s="91">
        <v>13427</v>
      </c>
      <c r="E78" s="81">
        <f aca="true" t="shared" si="17" ref="E78:E90">D78/C78*100</f>
        <v>35.685525130295886</v>
      </c>
      <c r="F78" s="92">
        <v>30923.4</v>
      </c>
      <c r="G78" s="92">
        <v>17430.4</v>
      </c>
      <c r="H78" s="82">
        <f>G78/F78*100</f>
        <v>56.3663762716907</v>
      </c>
      <c r="I78" s="93">
        <f t="shared" si="9"/>
        <v>68549.3</v>
      </c>
      <c r="J78" s="94">
        <f>15229.2+1260</f>
        <v>16489.2</v>
      </c>
      <c r="K78" s="95">
        <f t="shared" si="15"/>
        <v>52060.100000000006</v>
      </c>
      <c r="L78" s="93">
        <f>D78+G78</f>
        <v>30857.4</v>
      </c>
      <c r="M78" s="94">
        <v>5780.2</v>
      </c>
      <c r="N78" s="95">
        <f>L78-M78</f>
        <v>25077.2</v>
      </c>
      <c r="O78" s="83">
        <f t="shared" si="1"/>
        <v>48.16971154492596</v>
      </c>
      <c r="P78" s="96"/>
    </row>
    <row r="79" spans="1:16" ht="15" hidden="1">
      <c r="A79" s="80" t="s">
        <v>171</v>
      </c>
      <c r="B79" s="106" t="s">
        <v>180</v>
      </c>
      <c r="C79" s="91"/>
      <c r="D79" s="91"/>
      <c r="E79" s="81" t="e">
        <f t="shared" si="17"/>
        <v>#DIV/0!</v>
      </c>
      <c r="F79" s="92">
        <v>0</v>
      </c>
      <c r="G79" s="92">
        <v>0</v>
      </c>
      <c r="H79" s="82" t="e">
        <f>G79/F79*100</f>
        <v>#DIV/0!</v>
      </c>
      <c r="I79" s="93">
        <f t="shared" si="9"/>
        <v>0</v>
      </c>
      <c r="J79" s="94"/>
      <c r="K79" s="95">
        <f t="shared" si="15"/>
        <v>0</v>
      </c>
      <c r="L79" s="93">
        <f t="shared" si="5"/>
        <v>0</v>
      </c>
      <c r="M79" s="94"/>
      <c r="N79" s="95">
        <f t="shared" si="6"/>
        <v>0</v>
      </c>
      <c r="O79" s="83"/>
      <c r="P79" s="96"/>
    </row>
    <row r="80" spans="1:16" ht="15" hidden="1">
      <c r="A80" s="80" t="s">
        <v>171</v>
      </c>
      <c r="B80" s="106" t="s">
        <v>181</v>
      </c>
      <c r="C80" s="91">
        <v>0</v>
      </c>
      <c r="D80" s="91">
        <v>0</v>
      </c>
      <c r="E80" s="81" t="e">
        <f t="shared" si="17"/>
        <v>#DIV/0!</v>
      </c>
      <c r="F80" s="92"/>
      <c r="G80" s="92"/>
      <c r="H80" s="82"/>
      <c r="I80" s="93">
        <f t="shared" si="9"/>
        <v>0</v>
      </c>
      <c r="J80" s="94"/>
      <c r="K80" s="95">
        <f t="shared" si="15"/>
        <v>0</v>
      </c>
      <c r="L80" s="93">
        <f t="shared" si="5"/>
        <v>0</v>
      </c>
      <c r="M80" s="94"/>
      <c r="N80" s="95">
        <f t="shared" si="6"/>
        <v>0</v>
      </c>
      <c r="O80" s="83"/>
      <c r="P80" s="96"/>
    </row>
    <row r="81" spans="1:16" ht="60" hidden="1">
      <c r="A81" s="80" t="s">
        <v>171</v>
      </c>
      <c r="B81" s="111" t="s">
        <v>182</v>
      </c>
      <c r="C81" s="91">
        <v>0</v>
      </c>
      <c r="D81" s="91">
        <v>0</v>
      </c>
      <c r="E81" s="81" t="e">
        <f t="shared" si="17"/>
        <v>#DIV/0!</v>
      </c>
      <c r="F81" s="92"/>
      <c r="G81" s="92"/>
      <c r="H81" s="82" t="e">
        <f aca="true" t="shared" si="18" ref="H81:H90">G81/F81*100</f>
        <v>#DIV/0!</v>
      </c>
      <c r="I81" s="93">
        <f t="shared" si="9"/>
        <v>0</v>
      </c>
      <c r="J81" s="94"/>
      <c r="K81" s="95">
        <f t="shared" si="15"/>
        <v>0</v>
      </c>
      <c r="L81" s="93">
        <f t="shared" si="5"/>
        <v>0</v>
      </c>
      <c r="M81" s="94"/>
      <c r="N81" s="95">
        <f t="shared" si="6"/>
        <v>0</v>
      </c>
      <c r="O81" s="83" t="e">
        <f>N81/K81*100</f>
        <v>#DIV/0!</v>
      </c>
      <c r="P81" s="96"/>
    </row>
    <row r="82" spans="1:16" ht="30">
      <c r="A82" s="80" t="s">
        <v>171</v>
      </c>
      <c r="B82" s="106" t="s">
        <v>183</v>
      </c>
      <c r="C82" s="91">
        <v>996</v>
      </c>
      <c r="D82" s="91">
        <v>718.8</v>
      </c>
      <c r="E82" s="81">
        <f t="shared" si="17"/>
        <v>72.16867469879517</v>
      </c>
      <c r="F82" s="92">
        <v>996</v>
      </c>
      <c r="G82" s="92">
        <v>718.8</v>
      </c>
      <c r="H82" s="82">
        <f t="shared" si="18"/>
        <v>72.16867469879517</v>
      </c>
      <c r="I82" s="93">
        <f t="shared" si="9"/>
        <v>1992</v>
      </c>
      <c r="J82" s="94">
        <v>996</v>
      </c>
      <c r="K82" s="95">
        <f t="shared" si="15"/>
        <v>996</v>
      </c>
      <c r="L82" s="93">
        <f t="shared" si="5"/>
        <v>1437.6</v>
      </c>
      <c r="M82" s="94">
        <v>718.8</v>
      </c>
      <c r="N82" s="95">
        <f t="shared" si="6"/>
        <v>718.8</v>
      </c>
      <c r="O82" s="83">
        <f>N82/K82*100</f>
        <v>72.16867469879517</v>
      </c>
      <c r="P82" s="96"/>
    </row>
    <row r="83" spans="1:16" ht="47.25" customHeight="1">
      <c r="A83" s="80" t="s">
        <v>171</v>
      </c>
      <c r="B83" s="112" t="s">
        <v>184</v>
      </c>
      <c r="C83" s="91">
        <v>220311.3</v>
      </c>
      <c r="D83" s="91">
        <v>84740.8</v>
      </c>
      <c r="E83" s="81">
        <f t="shared" si="17"/>
        <v>38.46411872654739</v>
      </c>
      <c r="F83" s="92"/>
      <c r="G83" s="92"/>
      <c r="H83" s="82" t="e">
        <f t="shared" si="18"/>
        <v>#DIV/0!</v>
      </c>
      <c r="I83" s="93">
        <f>C83+F83</f>
        <v>220311.3</v>
      </c>
      <c r="J83" s="94"/>
      <c r="K83" s="95">
        <f>I83-J83</f>
        <v>220311.3</v>
      </c>
      <c r="L83" s="93">
        <f>D83+G83</f>
        <v>84740.8</v>
      </c>
      <c r="M83" s="94"/>
      <c r="N83" s="95">
        <f>L83-M83</f>
        <v>84740.8</v>
      </c>
      <c r="O83" s="83">
        <f>N83/K83*100</f>
        <v>38.46411872654739</v>
      </c>
      <c r="P83" s="96"/>
    </row>
    <row r="84" spans="1:16" ht="75">
      <c r="A84" s="80" t="s">
        <v>171</v>
      </c>
      <c r="B84" s="106" t="s">
        <v>185</v>
      </c>
      <c r="C84" s="91"/>
      <c r="D84" s="91"/>
      <c r="E84" s="81" t="e">
        <f t="shared" si="17"/>
        <v>#DIV/0!</v>
      </c>
      <c r="F84" s="92">
        <v>12300</v>
      </c>
      <c r="G84" s="92">
        <v>6215</v>
      </c>
      <c r="H84" s="82">
        <f t="shared" si="18"/>
        <v>50.52845528455284</v>
      </c>
      <c r="I84" s="93">
        <f t="shared" si="9"/>
        <v>12300</v>
      </c>
      <c r="J84" s="94">
        <v>12300</v>
      </c>
      <c r="K84" s="95">
        <f t="shared" si="15"/>
        <v>0</v>
      </c>
      <c r="L84" s="93">
        <f t="shared" si="5"/>
        <v>6215</v>
      </c>
      <c r="M84" s="94">
        <v>6215</v>
      </c>
      <c r="N84" s="95">
        <f t="shared" si="6"/>
        <v>0</v>
      </c>
      <c r="O84" s="83" t="e">
        <f>N84/K84*100</f>
        <v>#DIV/0!</v>
      </c>
      <c r="P84" s="96"/>
    </row>
    <row r="85" spans="1:16" ht="30" hidden="1">
      <c r="A85" s="80" t="s">
        <v>171</v>
      </c>
      <c r="B85" s="106" t="s">
        <v>186</v>
      </c>
      <c r="C85" s="91"/>
      <c r="D85" s="91"/>
      <c r="E85" s="81" t="e">
        <f t="shared" si="17"/>
        <v>#DIV/0!</v>
      </c>
      <c r="F85" s="92"/>
      <c r="G85" s="92"/>
      <c r="H85" s="82" t="e">
        <f t="shared" si="18"/>
        <v>#DIV/0!</v>
      </c>
      <c r="I85" s="93">
        <f t="shared" si="9"/>
        <v>0</v>
      </c>
      <c r="J85" s="94"/>
      <c r="K85" s="95">
        <f t="shared" si="15"/>
        <v>0</v>
      </c>
      <c r="L85" s="93">
        <f t="shared" si="5"/>
        <v>0</v>
      </c>
      <c r="M85" s="94"/>
      <c r="N85" s="95">
        <f t="shared" si="6"/>
        <v>0</v>
      </c>
      <c r="O85" s="83" t="e">
        <f>N85/K85*100</f>
        <v>#DIV/0!</v>
      </c>
      <c r="P85" s="96"/>
    </row>
    <row r="86" spans="1:16" ht="30">
      <c r="A86" s="80" t="s">
        <v>171</v>
      </c>
      <c r="B86" s="106" t="s">
        <v>187</v>
      </c>
      <c r="C86" s="91">
        <v>89315.5</v>
      </c>
      <c r="D86" s="91">
        <v>68.1</v>
      </c>
      <c r="E86" s="81">
        <f t="shared" si="17"/>
        <v>0.07624656414620082</v>
      </c>
      <c r="F86" s="92"/>
      <c r="G86" s="92"/>
      <c r="H86" s="82" t="e">
        <f t="shared" si="18"/>
        <v>#DIV/0!</v>
      </c>
      <c r="I86" s="93">
        <f t="shared" si="9"/>
        <v>89315.5</v>
      </c>
      <c r="J86" s="94"/>
      <c r="K86" s="95">
        <f t="shared" si="15"/>
        <v>89315.5</v>
      </c>
      <c r="L86" s="93">
        <f t="shared" si="5"/>
        <v>68.1</v>
      </c>
      <c r="M86" s="94"/>
      <c r="N86" s="95">
        <f t="shared" si="6"/>
        <v>68.1</v>
      </c>
      <c r="O86" s="113">
        <f t="shared" si="1"/>
        <v>0.07624656414620082</v>
      </c>
      <c r="P86" s="96"/>
    </row>
    <row r="87" spans="1:16" ht="33" customHeight="1">
      <c r="A87" s="80" t="s">
        <v>171</v>
      </c>
      <c r="B87" s="106" t="s">
        <v>188</v>
      </c>
      <c r="C87" s="91">
        <v>2174</v>
      </c>
      <c r="D87" s="91">
        <v>1569</v>
      </c>
      <c r="E87" s="81">
        <f t="shared" si="17"/>
        <v>72.17111315547378</v>
      </c>
      <c r="F87" s="92">
        <v>282</v>
      </c>
      <c r="G87" s="92">
        <v>282</v>
      </c>
      <c r="H87" s="82">
        <f t="shared" si="18"/>
        <v>100</v>
      </c>
      <c r="I87" s="93">
        <f t="shared" si="9"/>
        <v>2456</v>
      </c>
      <c r="J87" s="94">
        <v>282</v>
      </c>
      <c r="K87" s="95">
        <f t="shared" si="15"/>
        <v>2174</v>
      </c>
      <c r="L87" s="93">
        <f t="shared" si="5"/>
        <v>1851</v>
      </c>
      <c r="M87" s="94">
        <v>282</v>
      </c>
      <c r="N87" s="95">
        <f t="shared" si="6"/>
        <v>1569</v>
      </c>
      <c r="O87" s="83">
        <f t="shared" si="1"/>
        <v>72.17111315547378</v>
      </c>
      <c r="P87" s="96"/>
    </row>
    <row r="88" spans="1:16" ht="30" hidden="1">
      <c r="A88" s="80" t="s">
        <v>171</v>
      </c>
      <c r="B88" s="106" t="s">
        <v>189</v>
      </c>
      <c r="C88" s="91">
        <v>0</v>
      </c>
      <c r="D88" s="91">
        <v>0</v>
      </c>
      <c r="E88" s="81" t="e">
        <f t="shared" si="17"/>
        <v>#DIV/0!</v>
      </c>
      <c r="F88" s="92">
        <v>0</v>
      </c>
      <c r="G88" s="92">
        <v>0</v>
      </c>
      <c r="H88" s="82" t="e">
        <f t="shared" si="18"/>
        <v>#DIV/0!</v>
      </c>
      <c r="I88" s="93">
        <f t="shared" si="9"/>
        <v>0</v>
      </c>
      <c r="J88" s="94"/>
      <c r="K88" s="95">
        <f t="shared" si="15"/>
        <v>0</v>
      </c>
      <c r="L88" s="93">
        <f t="shared" si="5"/>
        <v>0</v>
      </c>
      <c r="M88" s="94"/>
      <c r="N88" s="95">
        <f t="shared" si="6"/>
        <v>0</v>
      </c>
      <c r="O88" s="83" t="e">
        <f t="shared" si="1"/>
        <v>#DIV/0!</v>
      </c>
      <c r="P88" s="96"/>
    </row>
    <row r="89" spans="1:16" ht="45">
      <c r="A89" s="80" t="s">
        <v>171</v>
      </c>
      <c r="B89" s="106" t="s">
        <v>190</v>
      </c>
      <c r="C89" s="91">
        <v>2076.2</v>
      </c>
      <c r="D89" s="91">
        <v>597.8</v>
      </c>
      <c r="E89" s="81">
        <f t="shared" si="17"/>
        <v>28.792987188132162</v>
      </c>
      <c r="F89" s="92"/>
      <c r="G89" s="92"/>
      <c r="H89" s="82" t="e">
        <f t="shared" si="18"/>
        <v>#DIV/0!</v>
      </c>
      <c r="I89" s="93">
        <f t="shared" si="9"/>
        <v>2076.2</v>
      </c>
      <c r="J89" s="94"/>
      <c r="K89" s="95">
        <f t="shared" si="15"/>
        <v>2076.2</v>
      </c>
      <c r="L89" s="93">
        <f t="shared" si="5"/>
        <v>597.8</v>
      </c>
      <c r="M89" s="94"/>
      <c r="N89" s="95">
        <f t="shared" si="6"/>
        <v>597.8</v>
      </c>
      <c r="O89" s="83">
        <f t="shared" si="1"/>
        <v>28.792987188132162</v>
      </c>
      <c r="P89" s="96"/>
    </row>
    <row r="90" spans="1:16" ht="78" customHeight="1">
      <c r="A90" s="80" t="s">
        <v>191</v>
      </c>
      <c r="B90" s="106" t="s">
        <v>192</v>
      </c>
      <c r="C90" s="91">
        <v>9708.4</v>
      </c>
      <c r="D90" s="91">
        <v>9217.4</v>
      </c>
      <c r="E90" s="81">
        <f t="shared" si="17"/>
        <v>94.94252399983519</v>
      </c>
      <c r="F90" s="91">
        <v>9708.4</v>
      </c>
      <c r="G90" s="92">
        <v>0</v>
      </c>
      <c r="H90" s="82">
        <f t="shared" si="18"/>
        <v>0</v>
      </c>
      <c r="I90" s="93">
        <f t="shared" si="9"/>
        <v>19416.8</v>
      </c>
      <c r="J90" s="94">
        <v>9708.4</v>
      </c>
      <c r="K90" s="95">
        <f t="shared" si="15"/>
        <v>9708.4</v>
      </c>
      <c r="L90" s="93">
        <f t="shared" si="5"/>
        <v>9217.4</v>
      </c>
      <c r="M90" s="94">
        <v>9217.4</v>
      </c>
      <c r="N90" s="95">
        <f t="shared" si="6"/>
        <v>0</v>
      </c>
      <c r="O90" s="83">
        <f t="shared" si="1"/>
        <v>0</v>
      </c>
      <c r="P90" s="96"/>
    </row>
    <row r="91" spans="1:16" ht="75.75" customHeight="1">
      <c r="A91" s="104" t="s">
        <v>191</v>
      </c>
      <c r="B91" s="90" t="s">
        <v>193</v>
      </c>
      <c r="C91" s="91">
        <v>1500</v>
      </c>
      <c r="D91" s="91">
        <v>1240.2</v>
      </c>
      <c r="E91" s="81">
        <f t="shared" si="11"/>
        <v>82.67999999999999</v>
      </c>
      <c r="F91" s="91">
        <v>1500</v>
      </c>
      <c r="G91" s="92">
        <v>1240.2</v>
      </c>
      <c r="H91" s="82">
        <f>G91/F91*100</f>
        <v>82.67999999999999</v>
      </c>
      <c r="I91" s="93">
        <f aca="true" t="shared" si="19" ref="I91:I107">C91+F91</f>
        <v>3000</v>
      </c>
      <c r="J91" s="94">
        <v>1500</v>
      </c>
      <c r="K91" s="95">
        <f t="shared" si="15"/>
        <v>1500</v>
      </c>
      <c r="L91" s="93">
        <f aca="true" t="shared" si="20" ref="L91:L153">D91+G91</f>
        <v>2480.4</v>
      </c>
      <c r="M91" s="94">
        <v>1240.2</v>
      </c>
      <c r="N91" s="95">
        <f aca="true" t="shared" si="21" ref="N91:N153">L91-M91</f>
        <v>1240.2</v>
      </c>
      <c r="O91" s="83">
        <f t="shared" si="1"/>
        <v>82.67999999999999</v>
      </c>
      <c r="P91" s="96"/>
    </row>
    <row r="92" spans="1:16" ht="33" customHeight="1">
      <c r="A92" s="80" t="s">
        <v>191</v>
      </c>
      <c r="B92" s="90" t="s">
        <v>194</v>
      </c>
      <c r="C92" s="91">
        <v>2140.1</v>
      </c>
      <c r="D92" s="91"/>
      <c r="E92" s="81">
        <f t="shared" si="11"/>
        <v>0</v>
      </c>
      <c r="F92" s="91">
        <v>2140.1</v>
      </c>
      <c r="G92" s="92"/>
      <c r="H92" s="82"/>
      <c r="I92" s="93">
        <f t="shared" si="19"/>
        <v>4280.2</v>
      </c>
      <c r="J92" s="94">
        <v>2140.2</v>
      </c>
      <c r="K92" s="95">
        <f t="shared" si="15"/>
        <v>2140</v>
      </c>
      <c r="L92" s="93">
        <f t="shared" si="20"/>
        <v>0</v>
      </c>
      <c r="M92" s="94"/>
      <c r="N92" s="95">
        <f t="shared" si="21"/>
        <v>0</v>
      </c>
      <c r="O92" s="83"/>
      <c r="P92" s="96"/>
    </row>
    <row r="93" spans="1:16" ht="33" customHeight="1" hidden="1">
      <c r="A93" s="80" t="s">
        <v>191</v>
      </c>
      <c r="B93" s="90" t="s">
        <v>195</v>
      </c>
      <c r="C93" s="91"/>
      <c r="D93" s="91"/>
      <c r="E93" s="81" t="e">
        <f t="shared" si="11"/>
        <v>#DIV/0!</v>
      </c>
      <c r="F93" s="91"/>
      <c r="G93" s="92"/>
      <c r="H93" s="82"/>
      <c r="I93" s="93">
        <f t="shared" si="19"/>
        <v>0</v>
      </c>
      <c r="J93" s="94"/>
      <c r="K93" s="95">
        <f t="shared" si="15"/>
        <v>0</v>
      </c>
      <c r="L93" s="93">
        <f t="shared" si="20"/>
        <v>0</v>
      </c>
      <c r="M93" s="94"/>
      <c r="N93" s="95">
        <f t="shared" si="21"/>
        <v>0</v>
      </c>
      <c r="O93" s="83"/>
      <c r="P93" s="96"/>
    </row>
    <row r="94" spans="1:16" ht="33" customHeight="1">
      <c r="A94" s="80" t="s">
        <v>191</v>
      </c>
      <c r="B94" s="114" t="s">
        <v>196</v>
      </c>
      <c r="C94" s="91"/>
      <c r="D94" s="91"/>
      <c r="E94" s="81" t="e">
        <f>D94/C94*100</f>
        <v>#DIV/0!</v>
      </c>
      <c r="F94" s="115">
        <f>23942.9</f>
        <v>23942.9</v>
      </c>
      <c r="G94" s="92">
        <v>2559.3</v>
      </c>
      <c r="H94" s="82">
        <f aca="true" t="shared" si="22" ref="H94:H102">G94/F94*100</f>
        <v>10.689181343947475</v>
      </c>
      <c r="I94" s="93">
        <f>C94+F94</f>
        <v>23942.9</v>
      </c>
      <c r="J94" s="94"/>
      <c r="K94" s="95">
        <f>I94-J94</f>
        <v>23942.9</v>
      </c>
      <c r="L94" s="93">
        <f>D94+G94</f>
        <v>2559.3</v>
      </c>
      <c r="M94" s="94"/>
      <c r="N94" s="95">
        <f t="shared" si="21"/>
        <v>2559.3</v>
      </c>
      <c r="O94" s="83"/>
      <c r="P94" s="96"/>
    </row>
    <row r="95" spans="1:16" ht="30" customHeight="1">
      <c r="A95" s="80" t="s">
        <v>191</v>
      </c>
      <c r="B95" s="114" t="s">
        <v>197</v>
      </c>
      <c r="C95" s="91">
        <v>7424.8</v>
      </c>
      <c r="D95" s="91">
        <v>5878.5</v>
      </c>
      <c r="E95" s="81">
        <f>D95/C95*100</f>
        <v>79.17384980066802</v>
      </c>
      <c r="F95" s="91">
        <v>7424.8</v>
      </c>
      <c r="G95" s="92">
        <v>5878.5</v>
      </c>
      <c r="H95" s="82">
        <f t="shared" si="22"/>
        <v>79.17384980066802</v>
      </c>
      <c r="I95" s="93">
        <f>C95+F95</f>
        <v>14849.6</v>
      </c>
      <c r="J95" s="94">
        <v>7424.8</v>
      </c>
      <c r="K95" s="95">
        <f>I95-J95</f>
        <v>7424.8</v>
      </c>
      <c r="L95" s="93">
        <f>D95+G95</f>
        <v>11757</v>
      </c>
      <c r="M95" s="94">
        <v>5878.5</v>
      </c>
      <c r="N95" s="95">
        <f>L95-M95</f>
        <v>5878.5</v>
      </c>
      <c r="O95" s="83"/>
      <c r="P95" s="96"/>
    </row>
    <row r="96" spans="1:16" ht="60" hidden="1">
      <c r="A96" s="80" t="s">
        <v>191</v>
      </c>
      <c r="B96" s="90" t="s">
        <v>198</v>
      </c>
      <c r="C96" s="91">
        <v>0</v>
      </c>
      <c r="D96" s="91">
        <v>0</v>
      </c>
      <c r="E96" s="81" t="e">
        <f t="shared" si="11"/>
        <v>#DIV/0!</v>
      </c>
      <c r="F96" s="91">
        <v>0</v>
      </c>
      <c r="G96" s="92">
        <v>0</v>
      </c>
      <c r="H96" s="82" t="e">
        <f t="shared" si="22"/>
        <v>#DIV/0!</v>
      </c>
      <c r="I96" s="93">
        <f t="shared" si="19"/>
        <v>0</v>
      </c>
      <c r="J96" s="94">
        <v>0</v>
      </c>
      <c r="K96" s="95">
        <f t="shared" si="15"/>
        <v>0</v>
      </c>
      <c r="L96" s="93">
        <f t="shared" si="20"/>
        <v>0</v>
      </c>
      <c r="M96" s="94">
        <v>0</v>
      </c>
      <c r="N96" s="95">
        <f>L96-M96</f>
        <v>0</v>
      </c>
      <c r="O96" s="83" t="e">
        <f t="shared" si="1"/>
        <v>#DIV/0!</v>
      </c>
      <c r="P96" s="96"/>
    </row>
    <row r="97" spans="1:16" ht="60" hidden="1">
      <c r="A97" s="116" t="s">
        <v>191</v>
      </c>
      <c r="B97" s="117" t="s">
        <v>199</v>
      </c>
      <c r="C97" s="91">
        <v>0</v>
      </c>
      <c r="D97" s="91">
        <v>0</v>
      </c>
      <c r="E97" s="81" t="e">
        <f t="shared" si="11"/>
        <v>#DIV/0!</v>
      </c>
      <c r="F97" s="91">
        <v>0</v>
      </c>
      <c r="G97" s="92">
        <v>0</v>
      </c>
      <c r="H97" s="82" t="e">
        <f t="shared" si="22"/>
        <v>#DIV/0!</v>
      </c>
      <c r="I97" s="93">
        <f t="shared" si="19"/>
        <v>0</v>
      </c>
      <c r="J97" s="94"/>
      <c r="K97" s="95">
        <f t="shared" si="15"/>
        <v>0</v>
      </c>
      <c r="L97" s="93">
        <f t="shared" si="20"/>
        <v>0</v>
      </c>
      <c r="M97" s="94"/>
      <c r="N97" s="95">
        <f t="shared" si="21"/>
        <v>0</v>
      </c>
      <c r="O97" s="83" t="e">
        <f t="shared" si="1"/>
        <v>#DIV/0!</v>
      </c>
      <c r="P97" s="118"/>
    </row>
    <row r="98" spans="1:16" ht="45" hidden="1">
      <c r="A98" s="80" t="s">
        <v>191</v>
      </c>
      <c r="B98" s="90" t="s">
        <v>200</v>
      </c>
      <c r="C98" s="91"/>
      <c r="D98" s="91"/>
      <c r="E98" s="81"/>
      <c r="F98" s="91"/>
      <c r="G98" s="92"/>
      <c r="H98" s="82" t="e">
        <f t="shared" si="22"/>
        <v>#DIV/0!</v>
      </c>
      <c r="I98" s="93">
        <f t="shared" si="19"/>
        <v>0</v>
      </c>
      <c r="J98" s="94"/>
      <c r="K98" s="95">
        <f t="shared" si="15"/>
        <v>0</v>
      </c>
      <c r="L98" s="93">
        <f t="shared" si="20"/>
        <v>0</v>
      </c>
      <c r="M98" s="94"/>
      <c r="N98" s="95">
        <f t="shared" si="21"/>
        <v>0</v>
      </c>
      <c r="O98" s="83"/>
      <c r="P98" s="96"/>
    </row>
    <row r="99" spans="1:16" ht="30" hidden="1">
      <c r="A99" s="80" t="s">
        <v>191</v>
      </c>
      <c r="B99" s="90" t="s">
        <v>201</v>
      </c>
      <c r="C99" s="91"/>
      <c r="D99" s="91"/>
      <c r="E99" s="81" t="e">
        <f t="shared" si="11"/>
        <v>#DIV/0!</v>
      </c>
      <c r="F99" s="91"/>
      <c r="G99" s="92"/>
      <c r="H99" s="82" t="e">
        <f t="shared" si="22"/>
        <v>#DIV/0!</v>
      </c>
      <c r="I99" s="93">
        <f t="shared" si="19"/>
        <v>0</v>
      </c>
      <c r="J99" s="94"/>
      <c r="K99" s="95">
        <f t="shared" si="15"/>
        <v>0</v>
      </c>
      <c r="L99" s="93">
        <f t="shared" si="20"/>
        <v>0</v>
      </c>
      <c r="M99" s="94"/>
      <c r="N99" s="95">
        <f t="shared" si="21"/>
        <v>0</v>
      </c>
      <c r="O99" s="83" t="e">
        <f t="shared" si="1"/>
        <v>#DIV/0!</v>
      </c>
      <c r="P99" s="96"/>
    </row>
    <row r="100" spans="1:16" ht="30">
      <c r="A100" s="80" t="s">
        <v>191</v>
      </c>
      <c r="B100" s="90" t="s">
        <v>202</v>
      </c>
      <c r="C100" s="91"/>
      <c r="D100" s="91"/>
      <c r="E100" s="81"/>
      <c r="F100" s="91">
        <v>2810</v>
      </c>
      <c r="G100" s="92">
        <v>1114.6</v>
      </c>
      <c r="H100" s="82">
        <f t="shared" si="22"/>
        <v>39.66548042704626</v>
      </c>
      <c r="I100" s="93">
        <f>C100+F100</f>
        <v>2810</v>
      </c>
      <c r="J100" s="94"/>
      <c r="K100" s="95">
        <f t="shared" si="15"/>
        <v>2810</v>
      </c>
      <c r="L100" s="93">
        <f>D100+G100</f>
        <v>1114.6</v>
      </c>
      <c r="M100" s="94"/>
      <c r="N100" s="95">
        <f t="shared" si="21"/>
        <v>1114.6</v>
      </c>
      <c r="O100" s="83"/>
      <c r="P100" s="96"/>
    </row>
    <row r="101" spans="1:16" ht="60" hidden="1">
      <c r="A101" s="80" t="s">
        <v>191</v>
      </c>
      <c r="B101" s="109" t="s">
        <v>203</v>
      </c>
      <c r="C101" s="91"/>
      <c r="D101" s="91"/>
      <c r="E101" s="81"/>
      <c r="F101" s="91"/>
      <c r="G101" s="92"/>
      <c r="H101" s="82" t="e">
        <f t="shared" si="22"/>
        <v>#DIV/0!</v>
      </c>
      <c r="I101" s="93">
        <f t="shared" si="19"/>
        <v>0</v>
      </c>
      <c r="J101" s="94"/>
      <c r="K101" s="95">
        <f t="shared" si="15"/>
        <v>0</v>
      </c>
      <c r="L101" s="93">
        <f t="shared" si="20"/>
        <v>0</v>
      </c>
      <c r="M101" s="94"/>
      <c r="N101" s="95">
        <f t="shared" si="21"/>
        <v>0</v>
      </c>
      <c r="O101" s="83" t="e">
        <f t="shared" si="1"/>
        <v>#DIV/0!</v>
      </c>
      <c r="P101" s="96"/>
    </row>
    <row r="102" spans="1:16" ht="30" hidden="1">
      <c r="A102" s="80" t="s">
        <v>191</v>
      </c>
      <c r="B102" s="90" t="s">
        <v>204</v>
      </c>
      <c r="C102" s="91"/>
      <c r="D102" s="91"/>
      <c r="E102" s="81" t="e">
        <f t="shared" si="11"/>
        <v>#DIV/0!</v>
      </c>
      <c r="F102" s="91"/>
      <c r="G102" s="92"/>
      <c r="H102" s="82" t="e">
        <f t="shared" si="22"/>
        <v>#DIV/0!</v>
      </c>
      <c r="I102" s="93">
        <f t="shared" si="19"/>
        <v>0</v>
      </c>
      <c r="J102" s="94"/>
      <c r="K102" s="95">
        <f t="shared" si="15"/>
        <v>0</v>
      </c>
      <c r="L102" s="93">
        <f t="shared" si="20"/>
        <v>0</v>
      </c>
      <c r="M102" s="94"/>
      <c r="N102" s="95">
        <f t="shared" si="21"/>
        <v>0</v>
      </c>
      <c r="O102" s="83" t="e">
        <f t="shared" si="1"/>
        <v>#DIV/0!</v>
      </c>
      <c r="P102" s="96"/>
    </row>
    <row r="103" spans="1:16" ht="30" hidden="1">
      <c r="A103" s="80" t="s">
        <v>191</v>
      </c>
      <c r="B103" s="90" t="s">
        <v>205</v>
      </c>
      <c r="C103" s="91"/>
      <c r="D103" s="91"/>
      <c r="E103" s="81"/>
      <c r="F103" s="91"/>
      <c r="G103" s="92"/>
      <c r="H103" s="82"/>
      <c r="I103" s="93">
        <f t="shared" si="19"/>
        <v>0</v>
      </c>
      <c r="J103" s="94"/>
      <c r="K103" s="95">
        <f t="shared" si="15"/>
        <v>0</v>
      </c>
      <c r="L103" s="93">
        <f t="shared" si="20"/>
        <v>0</v>
      </c>
      <c r="M103" s="94"/>
      <c r="N103" s="95">
        <f t="shared" si="21"/>
        <v>0</v>
      </c>
      <c r="O103" s="83" t="e">
        <f t="shared" si="1"/>
        <v>#DIV/0!</v>
      </c>
      <c r="P103" s="96"/>
    </row>
    <row r="104" spans="1:16" ht="30" hidden="1">
      <c r="A104" s="80" t="s">
        <v>191</v>
      </c>
      <c r="B104" s="90" t="s">
        <v>206</v>
      </c>
      <c r="C104" s="91"/>
      <c r="D104" s="91"/>
      <c r="E104" s="81"/>
      <c r="F104" s="91"/>
      <c r="G104" s="92"/>
      <c r="H104" s="82"/>
      <c r="I104" s="93">
        <f t="shared" si="19"/>
        <v>0</v>
      </c>
      <c r="J104" s="94"/>
      <c r="K104" s="95">
        <f t="shared" si="15"/>
        <v>0</v>
      </c>
      <c r="L104" s="93">
        <f t="shared" si="20"/>
        <v>0</v>
      </c>
      <c r="M104" s="94"/>
      <c r="N104" s="95">
        <f t="shared" si="21"/>
        <v>0</v>
      </c>
      <c r="O104" s="83" t="e">
        <f t="shared" si="1"/>
        <v>#DIV/0!</v>
      </c>
      <c r="P104" s="96"/>
    </row>
    <row r="105" spans="1:16" ht="45" hidden="1">
      <c r="A105" s="80" t="s">
        <v>191</v>
      </c>
      <c r="B105" s="119" t="s">
        <v>207</v>
      </c>
      <c r="C105" s="91"/>
      <c r="D105" s="91"/>
      <c r="E105" s="81"/>
      <c r="F105" s="91"/>
      <c r="G105" s="92"/>
      <c r="H105" s="82"/>
      <c r="I105" s="93">
        <f t="shared" si="19"/>
        <v>0</v>
      </c>
      <c r="J105" s="94"/>
      <c r="K105" s="95">
        <f t="shared" si="15"/>
        <v>0</v>
      </c>
      <c r="L105" s="93">
        <f t="shared" si="20"/>
        <v>0</v>
      </c>
      <c r="M105" s="94"/>
      <c r="N105" s="95">
        <f t="shared" si="21"/>
        <v>0</v>
      </c>
      <c r="O105" s="83" t="e">
        <f t="shared" si="1"/>
        <v>#DIV/0!</v>
      </c>
      <c r="P105" s="96"/>
    </row>
    <row r="106" spans="1:16" ht="30">
      <c r="A106" s="89" t="s">
        <v>191</v>
      </c>
      <c r="B106" s="90" t="s">
        <v>208</v>
      </c>
      <c r="C106" s="91"/>
      <c r="D106" s="91"/>
      <c r="E106" s="81"/>
      <c r="F106" s="91">
        <v>64221.7</v>
      </c>
      <c r="G106" s="92">
        <v>32764.9</v>
      </c>
      <c r="H106" s="82">
        <f>G106/F106*100</f>
        <v>51.018425236329776</v>
      </c>
      <c r="I106" s="93">
        <f t="shared" si="19"/>
        <v>64221.7</v>
      </c>
      <c r="J106" s="94"/>
      <c r="K106" s="95">
        <f t="shared" si="15"/>
        <v>64221.7</v>
      </c>
      <c r="L106" s="93">
        <f t="shared" si="20"/>
        <v>32764.9</v>
      </c>
      <c r="M106" s="94"/>
      <c r="N106" s="95">
        <f t="shared" si="21"/>
        <v>32764.9</v>
      </c>
      <c r="O106" s="83">
        <f t="shared" si="1"/>
        <v>51.018425236329776</v>
      </c>
      <c r="P106" s="96"/>
    </row>
    <row r="107" spans="1:16" ht="15">
      <c r="A107" s="80" t="s">
        <v>209</v>
      </c>
      <c r="B107" s="90" t="s">
        <v>210</v>
      </c>
      <c r="C107" s="91">
        <v>40.6</v>
      </c>
      <c r="D107" s="91">
        <v>21.6</v>
      </c>
      <c r="E107" s="81">
        <f>D107/C107*100</f>
        <v>53.20197044334976</v>
      </c>
      <c r="F107" s="91">
        <v>0</v>
      </c>
      <c r="G107" s="92"/>
      <c r="H107" s="82">
        <v>0</v>
      </c>
      <c r="I107" s="93">
        <f t="shared" si="19"/>
        <v>40.6</v>
      </c>
      <c r="J107" s="94"/>
      <c r="K107" s="95">
        <f t="shared" si="15"/>
        <v>40.6</v>
      </c>
      <c r="L107" s="93">
        <f t="shared" si="20"/>
        <v>21.6</v>
      </c>
      <c r="M107" s="94"/>
      <c r="N107" s="95">
        <f t="shared" si="21"/>
        <v>21.6</v>
      </c>
      <c r="O107" s="120">
        <f t="shared" si="1"/>
        <v>53.20197044334976</v>
      </c>
      <c r="P107" s="96"/>
    </row>
    <row r="108" spans="1:16" ht="15">
      <c r="A108" s="121" t="s">
        <v>211</v>
      </c>
      <c r="B108" s="122" t="s">
        <v>212</v>
      </c>
      <c r="C108" s="107">
        <f>C109</f>
        <v>33108.2</v>
      </c>
      <c r="D108" s="107">
        <f aca="true" t="shared" si="23" ref="D108:N108">D109</f>
        <v>2625</v>
      </c>
      <c r="E108" s="98">
        <f t="shared" si="11"/>
        <v>7.928549422801602</v>
      </c>
      <c r="F108" s="107">
        <f t="shared" si="23"/>
        <v>4789.8</v>
      </c>
      <c r="G108" s="107">
        <f t="shared" si="23"/>
        <v>2564.8</v>
      </c>
      <c r="H108" s="87">
        <f t="shared" si="23"/>
        <v>53.54712096538478</v>
      </c>
      <c r="I108" s="107">
        <f t="shared" si="23"/>
        <v>37898</v>
      </c>
      <c r="J108" s="107">
        <f t="shared" si="23"/>
        <v>4510</v>
      </c>
      <c r="K108" s="107">
        <f>K109</f>
        <v>33388</v>
      </c>
      <c r="L108" s="107">
        <f t="shared" si="23"/>
        <v>5189.8</v>
      </c>
      <c r="M108" s="107">
        <f t="shared" si="23"/>
        <v>2529.9</v>
      </c>
      <c r="N108" s="107">
        <f t="shared" si="23"/>
        <v>2659.9</v>
      </c>
      <c r="O108" s="123">
        <f t="shared" si="1"/>
        <v>7.966634719060741</v>
      </c>
      <c r="P108" s="96"/>
    </row>
    <row r="109" spans="1:16" ht="15">
      <c r="A109" s="80" t="s">
        <v>213</v>
      </c>
      <c r="B109" s="124" t="s">
        <v>214</v>
      </c>
      <c r="C109" s="92">
        <v>33108.2</v>
      </c>
      <c r="D109" s="92">
        <v>2625</v>
      </c>
      <c r="E109" s="81">
        <f t="shared" si="11"/>
        <v>7.928549422801602</v>
      </c>
      <c r="F109" s="92">
        <v>4789.8</v>
      </c>
      <c r="G109" s="92">
        <v>2564.8</v>
      </c>
      <c r="H109" s="82">
        <f>G109/F109*100</f>
        <v>53.54712096538478</v>
      </c>
      <c r="I109" s="93">
        <f aca="true" t="shared" si="24" ref="I109:I153">C109+F109</f>
        <v>37898</v>
      </c>
      <c r="J109" s="94">
        <v>4510</v>
      </c>
      <c r="K109" s="95">
        <f>I109-J109</f>
        <v>33388</v>
      </c>
      <c r="L109" s="93">
        <f t="shared" si="20"/>
        <v>5189.8</v>
      </c>
      <c r="M109" s="94">
        <v>2529.9</v>
      </c>
      <c r="N109" s="95">
        <f t="shared" si="21"/>
        <v>2659.9</v>
      </c>
      <c r="O109" s="83">
        <f t="shared" si="1"/>
        <v>7.966634719060741</v>
      </c>
      <c r="P109" s="96"/>
    </row>
    <row r="110" spans="1:16" ht="15">
      <c r="A110" s="84" t="s">
        <v>215</v>
      </c>
      <c r="B110" s="85" t="s">
        <v>216</v>
      </c>
      <c r="C110" s="86">
        <f>SUM(C111:C120)</f>
        <v>2694204.5000000005</v>
      </c>
      <c r="D110" s="86">
        <f>SUM(D111:D120)</f>
        <v>1704674.2</v>
      </c>
      <c r="E110" s="86">
        <f>D110/C110*100</f>
        <v>63.27189342902514</v>
      </c>
      <c r="F110" s="107">
        <f>F111+F113+F114+F119+F120</f>
        <v>0</v>
      </c>
      <c r="G110" s="107">
        <f>SUM(G111:G120)</f>
        <v>0</v>
      </c>
      <c r="H110" s="87">
        <v>0</v>
      </c>
      <c r="I110" s="86">
        <f aca="true" t="shared" si="25" ref="I110:N110">SUM(I111:I120)</f>
        <v>2694204.5000000005</v>
      </c>
      <c r="J110" s="86">
        <f t="shared" si="25"/>
        <v>0</v>
      </c>
      <c r="K110" s="86">
        <f t="shared" si="25"/>
        <v>2694204.5000000005</v>
      </c>
      <c r="L110" s="86">
        <f t="shared" si="25"/>
        <v>1704674.2</v>
      </c>
      <c r="M110" s="86">
        <f t="shared" si="25"/>
        <v>0</v>
      </c>
      <c r="N110" s="86">
        <f t="shared" si="25"/>
        <v>1704674.2</v>
      </c>
      <c r="O110" s="88">
        <f t="shared" si="1"/>
        <v>63.27189342902514</v>
      </c>
      <c r="P110" s="96"/>
    </row>
    <row r="111" spans="1:16" ht="15">
      <c r="A111" s="89" t="s">
        <v>217</v>
      </c>
      <c r="B111" s="90" t="s">
        <v>218</v>
      </c>
      <c r="C111" s="91">
        <v>397415</v>
      </c>
      <c r="D111" s="91">
        <v>310434.5</v>
      </c>
      <c r="E111" s="81">
        <f t="shared" si="11"/>
        <v>78.11343306115774</v>
      </c>
      <c r="F111" s="92">
        <v>0</v>
      </c>
      <c r="G111" s="92">
        <v>0</v>
      </c>
      <c r="H111" s="82">
        <v>0</v>
      </c>
      <c r="I111" s="93">
        <f t="shared" si="24"/>
        <v>397415</v>
      </c>
      <c r="J111" s="94"/>
      <c r="K111" s="95">
        <f aca="true" t="shared" si="26" ref="K111:K153">I111-J111</f>
        <v>397415</v>
      </c>
      <c r="L111" s="93">
        <f t="shared" si="20"/>
        <v>310434.5</v>
      </c>
      <c r="M111" s="94"/>
      <c r="N111" s="95">
        <f t="shared" si="21"/>
        <v>310434.5</v>
      </c>
      <c r="O111" s="83">
        <f t="shared" si="1"/>
        <v>78.11343306115774</v>
      </c>
      <c r="P111" s="96"/>
    </row>
    <row r="112" spans="1:16" ht="30" hidden="1">
      <c r="A112" s="100" t="s">
        <v>217</v>
      </c>
      <c r="B112" s="90" t="s">
        <v>219</v>
      </c>
      <c r="C112" s="91"/>
      <c r="D112" s="91"/>
      <c r="E112" s="81" t="e">
        <f t="shared" si="11"/>
        <v>#DIV/0!</v>
      </c>
      <c r="F112" s="92">
        <v>0</v>
      </c>
      <c r="G112" s="92">
        <v>0</v>
      </c>
      <c r="H112" s="82">
        <v>0</v>
      </c>
      <c r="I112" s="93">
        <f t="shared" si="24"/>
        <v>0</v>
      </c>
      <c r="J112" s="94"/>
      <c r="K112" s="95">
        <f t="shared" si="26"/>
        <v>0</v>
      </c>
      <c r="L112" s="93">
        <f t="shared" si="20"/>
        <v>0</v>
      </c>
      <c r="M112" s="94"/>
      <c r="N112" s="95">
        <f t="shared" si="21"/>
        <v>0</v>
      </c>
      <c r="O112" s="83" t="e">
        <f t="shared" si="1"/>
        <v>#DIV/0!</v>
      </c>
      <c r="P112" s="96"/>
    </row>
    <row r="113" spans="1:16" ht="15">
      <c r="A113" s="89" t="s">
        <v>220</v>
      </c>
      <c r="B113" s="109" t="s">
        <v>221</v>
      </c>
      <c r="C113" s="91">
        <f>2064015.4-C114-C115-C116</f>
        <v>1948475.2</v>
      </c>
      <c r="D113" s="91">
        <f>1218295-D114-D115-D116</f>
        <v>1152207.2</v>
      </c>
      <c r="E113" s="91">
        <f t="shared" si="11"/>
        <v>59.13378830790354</v>
      </c>
      <c r="F113" s="92">
        <v>0</v>
      </c>
      <c r="G113" s="92">
        <v>0</v>
      </c>
      <c r="H113" s="92">
        <v>0</v>
      </c>
      <c r="I113" s="93">
        <f t="shared" si="24"/>
        <v>1948475.2</v>
      </c>
      <c r="J113" s="94"/>
      <c r="K113" s="95">
        <f t="shared" si="26"/>
        <v>1948475.2</v>
      </c>
      <c r="L113" s="93">
        <f t="shared" si="20"/>
        <v>1152207.2</v>
      </c>
      <c r="M113" s="94"/>
      <c r="N113" s="95">
        <f t="shared" si="21"/>
        <v>1152207.2</v>
      </c>
      <c r="O113" s="125">
        <f t="shared" si="1"/>
        <v>59.13378830790354</v>
      </c>
      <c r="P113" s="96"/>
    </row>
    <row r="114" spans="1:16" ht="72.75" customHeight="1">
      <c r="A114" s="89" t="s">
        <v>220</v>
      </c>
      <c r="B114" s="90" t="s">
        <v>222</v>
      </c>
      <c r="C114" s="91">
        <v>93072</v>
      </c>
      <c r="D114" s="91">
        <v>56240</v>
      </c>
      <c r="E114" s="81">
        <f t="shared" si="11"/>
        <v>60.4263365996218</v>
      </c>
      <c r="F114" s="92">
        <v>0</v>
      </c>
      <c r="G114" s="92">
        <v>0</v>
      </c>
      <c r="H114" s="82">
        <v>0</v>
      </c>
      <c r="I114" s="93">
        <f t="shared" si="24"/>
        <v>93072</v>
      </c>
      <c r="J114" s="94"/>
      <c r="K114" s="95">
        <f t="shared" si="26"/>
        <v>93072</v>
      </c>
      <c r="L114" s="93">
        <f t="shared" si="20"/>
        <v>56240</v>
      </c>
      <c r="M114" s="94"/>
      <c r="N114" s="95">
        <f t="shared" si="21"/>
        <v>56240</v>
      </c>
      <c r="O114" s="83">
        <f t="shared" si="1"/>
        <v>60.4263365996218</v>
      </c>
      <c r="P114" s="96"/>
    </row>
    <row r="115" spans="1:16" ht="49.5" customHeight="1">
      <c r="A115" s="89" t="s">
        <v>220</v>
      </c>
      <c r="B115" s="90" t="s">
        <v>223</v>
      </c>
      <c r="C115" s="91">
        <v>22468.2</v>
      </c>
      <c r="D115" s="91">
        <v>9847.8</v>
      </c>
      <c r="E115" s="81">
        <f t="shared" si="11"/>
        <v>43.829946324138106</v>
      </c>
      <c r="F115" s="92"/>
      <c r="G115" s="92"/>
      <c r="H115" s="82" t="e">
        <f>G115/F115*100</f>
        <v>#DIV/0!</v>
      </c>
      <c r="I115" s="93">
        <f t="shared" si="24"/>
        <v>22468.2</v>
      </c>
      <c r="J115" s="94"/>
      <c r="K115" s="95">
        <f t="shared" si="26"/>
        <v>22468.2</v>
      </c>
      <c r="L115" s="93">
        <f t="shared" si="20"/>
        <v>9847.8</v>
      </c>
      <c r="M115" s="94"/>
      <c r="N115" s="95">
        <f t="shared" si="21"/>
        <v>9847.8</v>
      </c>
      <c r="O115" s="83">
        <f t="shared" si="1"/>
        <v>43.829946324138106</v>
      </c>
      <c r="P115" s="96"/>
    </row>
    <row r="116" spans="1:16" ht="43.5" customHeight="1" hidden="1">
      <c r="A116" s="89" t="s">
        <v>220</v>
      </c>
      <c r="B116" s="90" t="s">
        <v>224</v>
      </c>
      <c r="C116" s="91">
        <v>0</v>
      </c>
      <c r="D116" s="91">
        <v>0</v>
      </c>
      <c r="E116" s="81" t="e">
        <f t="shared" si="11"/>
        <v>#DIV/0!</v>
      </c>
      <c r="F116" s="92"/>
      <c r="G116" s="92"/>
      <c r="H116" s="82"/>
      <c r="I116" s="93">
        <f t="shared" si="24"/>
        <v>0</v>
      </c>
      <c r="J116" s="94"/>
      <c r="K116" s="95">
        <f t="shared" si="26"/>
        <v>0</v>
      </c>
      <c r="L116" s="93">
        <f t="shared" si="20"/>
        <v>0</v>
      </c>
      <c r="M116" s="94"/>
      <c r="N116" s="95">
        <f t="shared" si="21"/>
        <v>0</v>
      </c>
      <c r="O116" s="83" t="e">
        <f t="shared" si="1"/>
        <v>#DIV/0!</v>
      </c>
      <c r="P116" s="96"/>
    </row>
    <row r="117" spans="1:16" ht="75" customHeight="1" hidden="1">
      <c r="A117" s="89" t="s">
        <v>220</v>
      </c>
      <c r="B117" s="90" t="s">
        <v>225</v>
      </c>
      <c r="C117" s="91"/>
      <c r="D117" s="91"/>
      <c r="E117" s="81"/>
      <c r="F117" s="92">
        <v>0</v>
      </c>
      <c r="G117" s="92">
        <v>0</v>
      </c>
      <c r="H117" s="82">
        <v>0</v>
      </c>
      <c r="I117" s="93">
        <f t="shared" si="24"/>
        <v>0</v>
      </c>
      <c r="J117" s="94"/>
      <c r="K117" s="95">
        <f t="shared" si="26"/>
        <v>0</v>
      </c>
      <c r="L117" s="93">
        <f t="shared" si="20"/>
        <v>0</v>
      </c>
      <c r="M117" s="94"/>
      <c r="N117" s="95">
        <f t="shared" si="21"/>
        <v>0</v>
      </c>
      <c r="O117" s="83"/>
      <c r="P117" s="96"/>
    </row>
    <row r="118" spans="1:16" ht="15">
      <c r="A118" s="89" t="s">
        <v>226</v>
      </c>
      <c r="B118" s="90" t="s">
        <v>227</v>
      </c>
      <c r="C118" s="91">
        <v>142694.9</v>
      </c>
      <c r="D118" s="91">
        <v>101655.5</v>
      </c>
      <c r="E118" s="81">
        <f t="shared" si="11"/>
        <v>71.23975699201583</v>
      </c>
      <c r="F118" s="92"/>
      <c r="G118" s="92"/>
      <c r="H118" s="82"/>
      <c r="I118" s="93">
        <f t="shared" si="24"/>
        <v>142694.9</v>
      </c>
      <c r="J118" s="94"/>
      <c r="K118" s="95">
        <f t="shared" si="26"/>
        <v>142694.9</v>
      </c>
      <c r="L118" s="93">
        <f t="shared" si="20"/>
        <v>101655.5</v>
      </c>
      <c r="M118" s="94"/>
      <c r="N118" s="95">
        <f t="shared" si="21"/>
        <v>101655.5</v>
      </c>
      <c r="O118" s="83">
        <f t="shared" si="1"/>
        <v>71.23975699201583</v>
      </c>
      <c r="P118" s="96"/>
    </row>
    <row r="119" spans="1:16" ht="15">
      <c r="A119" s="89" t="s">
        <v>228</v>
      </c>
      <c r="B119" s="90" t="s">
        <v>229</v>
      </c>
      <c r="C119" s="91">
        <v>24773.7</v>
      </c>
      <c r="D119" s="91">
        <v>21263.5</v>
      </c>
      <c r="E119" s="81">
        <f t="shared" si="11"/>
        <v>85.8309416841247</v>
      </c>
      <c r="F119" s="92"/>
      <c r="G119" s="92"/>
      <c r="H119" s="82"/>
      <c r="I119" s="93">
        <f t="shared" si="24"/>
        <v>24773.7</v>
      </c>
      <c r="J119" s="94"/>
      <c r="K119" s="95">
        <f t="shared" si="26"/>
        <v>24773.7</v>
      </c>
      <c r="L119" s="93">
        <f t="shared" si="20"/>
        <v>21263.5</v>
      </c>
      <c r="M119" s="94"/>
      <c r="N119" s="95">
        <f t="shared" si="21"/>
        <v>21263.5</v>
      </c>
      <c r="O119" s="83">
        <f t="shared" si="1"/>
        <v>85.8309416841247</v>
      </c>
      <c r="P119" s="96"/>
    </row>
    <row r="120" spans="1:16" ht="15">
      <c r="A120" s="89" t="s">
        <v>230</v>
      </c>
      <c r="B120" s="90" t="s">
        <v>231</v>
      </c>
      <c r="C120" s="91">
        <v>65305.5</v>
      </c>
      <c r="D120" s="91">
        <v>53025.7</v>
      </c>
      <c r="E120" s="81">
        <f t="shared" si="11"/>
        <v>81.19637702796855</v>
      </c>
      <c r="F120" s="92">
        <v>0</v>
      </c>
      <c r="G120" s="92"/>
      <c r="H120" s="82">
        <v>0</v>
      </c>
      <c r="I120" s="93">
        <f t="shared" si="24"/>
        <v>65305.5</v>
      </c>
      <c r="J120" s="94"/>
      <c r="K120" s="95">
        <f t="shared" si="26"/>
        <v>65305.5</v>
      </c>
      <c r="L120" s="93">
        <f t="shared" si="20"/>
        <v>53025.7</v>
      </c>
      <c r="M120" s="94"/>
      <c r="N120" s="95">
        <f t="shared" si="21"/>
        <v>53025.7</v>
      </c>
      <c r="O120" s="83">
        <f t="shared" si="1"/>
        <v>81.19637702796855</v>
      </c>
      <c r="P120" s="96"/>
    </row>
    <row r="121" spans="1:16" ht="15">
      <c r="A121" s="84" t="s">
        <v>232</v>
      </c>
      <c r="B121" s="85" t="s">
        <v>233</v>
      </c>
      <c r="C121" s="86">
        <f>SUM(C122:C125)</f>
        <v>90621.1</v>
      </c>
      <c r="D121" s="86">
        <f>SUM(D122:D125)</f>
        <v>67705.90000000001</v>
      </c>
      <c r="E121" s="86">
        <f>D121/C121*100</f>
        <v>74.71317386348213</v>
      </c>
      <c r="F121" s="107">
        <f>SUM(F122:F125)</f>
        <v>120512.1</v>
      </c>
      <c r="G121" s="107">
        <f>SUM(G122:G125)</f>
        <v>76478.09999999999</v>
      </c>
      <c r="H121" s="87">
        <f>G121/F121*100</f>
        <v>63.46093047918009</v>
      </c>
      <c r="I121" s="107">
        <f aca="true" t="shared" si="27" ref="I121:N121">SUM(I122:I125)</f>
        <v>211133.2</v>
      </c>
      <c r="J121" s="107">
        <f t="shared" si="27"/>
        <v>13008.5</v>
      </c>
      <c r="K121" s="107">
        <f t="shared" si="27"/>
        <v>198124.7</v>
      </c>
      <c r="L121" s="107">
        <f t="shared" si="27"/>
        <v>144184</v>
      </c>
      <c r="M121" s="107">
        <f t="shared" si="27"/>
        <v>7890</v>
      </c>
      <c r="N121" s="107">
        <f t="shared" si="27"/>
        <v>136294</v>
      </c>
      <c r="O121" s="88">
        <f t="shared" si="1"/>
        <v>68.79202845480648</v>
      </c>
      <c r="P121" s="96"/>
    </row>
    <row r="122" spans="1:16" ht="15">
      <c r="A122" s="89" t="s">
        <v>234</v>
      </c>
      <c r="B122" s="90" t="s">
        <v>235</v>
      </c>
      <c r="C122" s="91">
        <f>73350.6-C123</f>
        <v>72651.70000000001</v>
      </c>
      <c r="D122" s="91">
        <f>51924.3-D123</f>
        <v>51234.4</v>
      </c>
      <c r="E122" s="81">
        <f t="shared" si="11"/>
        <v>70.52057969737803</v>
      </c>
      <c r="F122" s="126">
        <f>116631.3-F123</f>
        <v>116489.90000000001</v>
      </c>
      <c r="G122" s="92">
        <f>73316.9-G123</f>
        <v>73204.59999999999</v>
      </c>
      <c r="H122" s="82">
        <f>G122/F122*100</f>
        <v>62.84201462959449</v>
      </c>
      <c r="I122" s="93">
        <f t="shared" si="24"/>
        <v>189141.60000000003</v>
      </c>
      <c r="J122" s="94">
        <f>9444.5-J123</f>
        <v>9320</v>
      </c>
      <c r="K122" s="95">
        <f>I122-J122</f>
        <v>179821.60000000003</v>
      </c>
      <c r="L122" s="93">
        <f t="shared" si="20"/>
        <v>124439</v>
      </c>
      <c r="M122" s="94">
        <f>4827-M123</f>
        <v>4702.5</v>
      </c>
      <c r="N122" s="95">
        <f t="shared" si="21"/>
        <v>119736.5</v>
      </c>
      <c r="O122" s="83">
        <f t="shared" si="1"/>
        <v>66.58627217197488</v>
      </c>
      <c r="P122" s="96"/>
    </row>
    <row r="123" spans="1:16" ht="34.5" customHeight="1">
      <c r="A123" s="116" t="s">
        <v>234</v>
      </c>
      <c r="B123" s="117" t="s">
        <v>236</v>
      </c>
      <c r="C123" s="91">
        <v>698.9</v>
      </c>
      <c r="D123" s="91">
        <v>689.9</v>
      </c>
      <c r="E123" s="81">
        <f t="shared" si="11"/>
        <v>98.71226212619831</v>
      </c>
      <c r="F123" s="92">
        <v>141.4</v>
      </c>
      <c r="G123" s="92">
        <v>112.3</v>
      </c>
      <c r="H123" s="82">
        <f>G123/F123*100</f>
        <v>79.42008486562942</v>
      </c>
      <c r="I123" s="93">
        <f t="shared" si="24"/>
        <v>840.3</v>
      </c>
      <c r="J123" s="94">
        <v>124.5</v>
      </c>
      <c r="K123" s="95">
        <f>I123-J123</f>
        <v>715.8</v>
      </c>
      <c r="L123" s="93">
        <f t="shared" si="20"/>
        <v>802.1999999999999</v>
      </c>
      <c r="M123" s="94">
        <v>124.5</v>
      </c>
      <c r="N123" s="95">
        <f t="shared" si="21"/>
        <v>677.6999999999999</v>
      </c>
      <c r="O123" s="83">
        <f>N123/K123*100</f>
        <v>94.67728415758592</v>
      </c>
      <c r="P123" s="96"/>
    </row>
    <row r="124" spans="1:16" ht="15">
      <c r="A124" s="89" t="s">
        <v>237</v>
      </c>
      <c r="B124" s="90" t="s">
        <v>238</v>
      </c>
      <c r="C124" s="91">
        <v>100</v>
      </c>
      <c r="D124" s="91">
        <v>60</v>
      </c>
      <c r="E124" s="81">
        <f t="shared" si="11"/>
        <v>60</v>
      </c>
      <c r="F124" s="92"/>
      <c r="G124" s="92"/>
      <c r="H124" s="82" t="e">
        <f>G124/F124*100</f>
        <v>#DIV/0!</v>
      </c>
      <c r="I124" s="93">
        <f t="shared" si="24"/>
        <v>100</v>
      </c>
      <c r="J124" s="94"/>
      <c r="K124" s="95">
        <f>I124-J124</f>
        <v>100</v>
      </c>
      <c r="L124" s="93">
        <f t="shared" si="20"/>
        <v>60</v>
      </c>
      <c r="M124" s="94"/>
      <c r="N124" s="95">
        <f t="shared" si="21"/>
        <v>60</v>
      </c>
      <c r="O124" s="83">
        <f aca="true" t="shared" si="28" ref="O124:O154">N124/K124*100</f>
        <v>60</v>
      </c>
      <c r="P124" s="96"/>
    </row>
    <row r="125" spans="1:16" ht="24" customHeight="1">
      <c r="A125" s="89" t="s">
        <v>239</v>
      </c>
      <c r="B125" s="90" t="s">
        <v>240</v>
      </c>
      <c r="C125" s="91">
        <v>17170.5</v>
      </c>
      <c r="D125" s="91">
        <v>15721.6</v>
      </c>
      <c r="E125" s="81">
        <f t="shared" si="11"/>
        <v>91.56169010803413</v>
      </c>
      <c r="F125" s="92">
        <v>3880.8</v>
      </c>
      <c r="G125" s="92">
        <v>3161.2</v>
      </c>
      <c r="H125" s="82">
        <f>G125/F125*100</f>
        <v>81.45743145743145</v>
      </c>
      <c r="I125" s="93">
        <f t="shared" si="24"/>
        <v>21051.3</v>
      </c>
      <c r="J125" s="94">
        <v>3564</v>
      </c>
      <c r="K125" s="95">
        <f>I125-J125</f>
        <v>17487.3</v>
      </c>
      <c r="L125" s="93">
        <f t="shared" si="20"/>
        <v>18882.8</v>
      </c>
      <c r="M125" s="94">
        <v>3063</v>
      </c>
      <c r="N125" s="95">
        <f t="shared" si="21"/>
        <v>15819.8</v>
      </c>
      <c r="O125" s="83">
        <f t="shared" si="28"/>
        <v>90.4645085290468</v>
      </c>
      <c r="P125" s="96"/>
    </row>
    <row r="126" spans="1:16" ht="14.25">
      <c r="A126" s="84" t="s">
        <v>241</v>
      </c>
      <c r="B126" s="85" t="s">
        <v>242</v>
      </c>
      <c r="C126" s="86">
        <f>SUM(C127:C129)</f>
        <v>2307.7</v>
      </c>
      <c r="D126" s="86">
        <f>SUM(D127:D129)</f>
        <v>34</v>
      </c>
      <c r="E126" s="86">
        <f>SUM(E129:E129)</f>
        <v>1.4733284222385927</v>
      </c>
      <c r="F126" s="107">
        <f>F127+F128+F129</f>
        <v>0</v>
      </c>
      <c r="G126" s="107">
        <f>G127+G128+G129</f>
        <v>0</v>
      </c>
      <c r="H126" s="107"/>
      <c r="I126" s="107">
        <f aca="true" t="shared" si="29" ref="I126:N126">I127+I128+I129</f>
        <v>2307.7</v>
      </c>
      <c r="J126" s="107">
        <f t="shared" si="29"/>
        <v>0</v>
      </c>
      <c r="K126" s="107">
        <f>K127+K128+K129</f>
        <v>2307.7</v>
      </c>
      <c r="L126" s="107">
        <f t="shared" si="29"/>
        <v>34</v>
      </c>
      <c r="M126" s="107">
        <f t="shared" si="29"/>
        <v>0</v>
      </c>
      <c r="N126" s="107">
        <f t="shared" si="29"/>
        <v>34</v>
      </c>
      <c r="O126" s="88">
        <f t="shared" si="28"/>
        <v>1.4733284222385927</v>
      </c>
      <c r="P126" s="96"/>
    </row>
    <row r="127" spans="1:16" ht="45" hidden="1">
      <c r="A127" s="100" t="s">
        <v>243</v>
      </c>
      <c r="B127" s="109" t="s">
        <v>244</v>
      </c>
      <c r="C127" s="91"/>
      <c r="D127" s="91"/>
      <c r="E127" s="81" t="e">
        <f t="shared" si="11"/>
        <v>#DIV/0!</v>
      </c>
      <c r="F127" s="92"/>
      <c r="G127" s="92"/>
      <c r="H127" s="82" t="e">
        <f>G127/F127*100</f>
        <v>#DIV/0!</v>
      </c>
      <c r="I127" s="93">
        <f t="shared" si="24"/>
        <v>0</v>
      </c>
      <c r="J127" s="94"/>
      <c r="K127" s="95">
        <f>I127-J127</f>
        <v>0</v>
      </c>
      <c r="L127" s="93">
        <f t="shared" si="20"/>
        <v>0</v>
      </c>
      <c r="M127" s="94"/>
      <c r="N127" s="95">
        <f t="shared" si="21"/>
        <v>0</v>
      </c>
      <c r="O127" s="83" t="e">
        <f t="shared" si="28"/>
        <v>#DIV/0!</v>
      </c>
      <c r="P127" s="127"/>
    </row>
    <row r="128" spans="1:16" ht="30" hidden="1">
      <c r="A128" s="80" t="s">
        <v>245</v>
      </c>
      <c r="B128" s="117" t="s">
        <v>246</v>
      </c>
      <c r="C128" s="91"/>
      <c r="D128" s="91"/>
      <c r="E128" s="81" t="e">
        <f t="shared" si="11"/>
        <v>#DIV/0!</v>
      </c>
      <c r="F128" s="95"/>
      <c r="G128" s="95"/>
      <c r="H128" s="92"/>
      <c r="I128" s="93">
        <f t="shared" si="24"/>
        <v>0</v>
      </c>
      <c r="J128" s="94"/>
      <c r="K128" s="95">
        <f t="shared" si="26"/>
        <v>0</v>
      </c>
      <c r="L128" s="93">
        <f t="shared" si="20"/>
        <v>0</v>
      </c>
      <c r="M128" s="94"/>
      <c r="N128" s="95">
        <f>L128-M128</f>
        <v>0</v>
      </c>
      <c r="O128" s="83" t="e">
        <f t="shared" si="28"/>
        <v>#DIV/0!</v>
      </c>
      <c r="P128" s="96"/>
    </row>
    <row r="129" spans="1:16" ht="30">
      <c r="A129" s="80" t="s">
        <v>245</v>
      </c>
      <c r="B129" s="117" t="s">
        <v>247</v>
      </c>
      <c r="C129" s="91">
        <v>2307.7</v>
      </c>
      <c r="D129" s="92">
        <v>34</v>
      </c>
      <c r="E129" s="81">
        <f t="shared" si="11"/>
        <v>1.4733284222385927</v>
      </c>
      <c r="F129" s="92"/>
      <c r="G129" s="92"/>
      <c r="H129" s="82"/>
      <c r="I129" s="93">
        <f t="shared" si="24"/>
        <v>2307.7</v>
      </c>
      <c r="J129" s="94"/>
      <c r="K129" s="95">
        <f t="shared" si="26"/>
        <v>2307.7</v>
      </c>
      <c r="L129" s="93">
        <f t="shared" si="20"/>
        <v>34</v>
      </c>
      <c r="M129" s="94"/>
      <c r="N129" s="95">
        <f t="shared" si="21"/>
        <v>34</v>
      </c>
      <c r="O129" s="83">
        <f t="shared" si="28"/>
        <v>1.4733284222385927</v>
      </c>
      <c r="P129" s="96"/>
    </row>
    <row r="130" spans="1:16" ht="15">
      <c r="A130" s="84">
        <v>10</v>
      </c>
      <c r="B130" s="85" t="s">
        <v>248</v>
      </c>
      <c r="C130" s="86">
        <f>SUM(C131:C140)</f>
        <v>159780.9</v>
      </c>
      <c r="D130" s="86">
        <f>SUM(D131:D140)</f>
        <v>83625.2</v>
      </c>
      <c r="E130" s="86">
        <f>D130/C130*100</f>
        <v>52.33741955390162</v>
      </c>
      <c r="F130" s="86">
        <f>SUM(F131:F140)</f>
        <v>750</v>
      </c>
      <c r="G130" s="86">
        <f>SUM(G131:G140)</f>
        <v>465</v>
      </c>
      <c r="H130" s="87">
        <f>G130/F130*100</f>
        <v>62</v>
      </c>
      <c r="I130" s="86">
        <f aca="true" t="shared" si="30" ref="I130:N130">SUM(I131:I140)</f>
        <v>160530.9</v>
      </c>
      <c r="J130" s="86">
        <f t="shared" si="30"/>
        <v>0</v>
      </c>
      <c r="K130" s="86">
        <f t="shared" si="30"/>
        <v>160530.9</v>
      </c>
      <c r="L130" s="86">
        <f t="shared" si="30"/>
        <v>84090.2</v>
      </c>
      <c r="M130" s="86">
        <f t="shared" si="30"/>
        <v>0</v>
      </c>
      <c r="N130" s="86">
        <f t="shared" si="30"/>
        <v>84090.2</v>
      </c>
      <c r="O130" s="88">
        <f t="shared" si="28"/>
        <v>52.38256310778797</v>
      </c>
      <c r="P130" s="96"/>
    </row>
    <row r="131" spans="1:16" ht="15">
      <c r="A131" s="80">
        <v>1001</v>
      </c>
      <c r="B131" s="90" t="s">
        <v>249</v>
      </c>
      <c r="C131" s="91">
        <v>4925.5</v>
      </c>
      <c r="D131" s="91">
        <v>3106.5</v>
      </c>
      <c r="E131" s="81">
        <f t="shared" si="11"/>
        <v>63.06973911278043</v>
      </c>
      <c r="F131" s="92">
        <v>750</v>
      </c>
      <c r="G131" s="92">
        <v>465</v>
      </c>
      <c r="H131" s="82">
        <f>G131/F131*100</f>
        <v>62</v>
      </c>
      <c r="I131" s="93">
        <f t="shared" si="24"/>
        <v>5675.5</v>
      </c>
      <c r="J131" s="94"/>
      <c r="K131" s="95">
        <f t="shared" si="26"/>
        <v>5675.5</v>
      </c>
      <c r="L131" s="93">
        <f t="shared" si="20"/>
        <v>3571.5</v>
      </c>
      <c r="M131" s="94"/>
      <c r="N131" s="95">
        <f t="shared" si="21"/>
        <v>3571.5</v>
      </c>
      <c r="O131" s="83">
        <f t="shared" si="28"/>
        <v>62.92837635450621</v>
      </c>
      <c r="P131" s="96"/>
    </row>
    <row r="132" spans="1:16" ht="60">
      <c r="A132" s="80">
        <v>1003</v>
      </c>
      <c r="B132" s="117" t="s">
        <v>250</v>
      </c>
      <c r="C132" s="91">
        <v>3091</v>
      </c>
      <c r="D132" s="91"/>
      <c r="E132" s="81">
        <f t="shared" si="11"/>
        <v>0</v>
      </c>
      <c r="F132" s="92">
        <v>0</v>
      </c>
      <c r="G132" s="92">
        <v>0</v>
      </c>
      <c r="H132" s="82"/>
      <c r="I132" s="93">
        <f t="shared" si="24"/>
        <v>3091</v>
      </c>
      <c r="J132" s="94"/>
      <c r="K132" s="95">
        <f t="shared" si="26"/>
        <v>3091</v>
      </c>
      <c r="L132" s="93">
        <f t="shared" si="20"/>
        <v>0</v>
      </c>
      <c r="M132" s="94"/>
      <c r="N132" s="95">
        <f t="shared" si="21"/>
        <v>0</v>
      </c>
      <c r="O132" s="83">
        <f t="shared" si="28"/>
        <v>0</v>
      </c>
      <c r="P132" s="96"/>
    </row>
    <row r="133" spans="1:16" ht="45" hidden="1">
      <c r="A133" s="80" t="s">
        <v>251</v>
      </c>
      <c r="B133" s="117" t="s">
        <v>252</v>
      </c>
      <c r="C133" s="91"/>
      <c r="D133" s="91"/>
      <c r="E133" s="81" t="e">
        <f t="shared" si="11"/>
        <v>#DIV/0!</v>
      </c>
      <c r="F133" s="92"/>
      <c r="G133" s="92"/>
      <c r="H133" s="82"/>
      <c r="I133" s="93">
        <f t="shared" si="24"/>
        <v>0</v>
      </c>
      <c r="J133" s="94"/>
      <c r="K133" s="95">
        <f t="shared" si="26"/>
        <v>0</v>
      </c>
      <c r="L133" s="93">
        <f t="shared" si="20"/>
        <v>0</v>
      </c>
      <c r="M133" s="94"/>
      <c r="N133" s="95">
        <f t="shared" si="21"/>
        <v>0</v>
      </c>
      <c r="O133" s="83" t="e">
        <f t="shared" si="28"/>
        <v>#DIV/0!</v>
      </c>
      <c r="P133" s="96"/>
    </row>
    <row r="134" spans="1:16" ht="45" hidden="1">
      <c r="A134" s="80" t="s">
        <v>251</v>
      </c>
      <c r="B134" s="90" t="s">
        <v>253</v>
      </c>
      <c r="C134" s="91"/>
      <c r="D134" s="91"/>
      <c r="E134" s="81"/>
      <c r="F134" s="92"/>
      <c r="G134" s="92"/>
      <c r="H134" s="82"/>
      <c r="I134" s="93">
        <f t="shared" si="24"/>
        <v>0</v>
      </c>
      <c r="J134" s="94"/>
      <c r="K134" s="95">
        <f t="shared" si="26"/>
        <v>0</v>
      </c>
      <c r="L134" s="93">
        <f t="shared" si="20"/>
        <v>0</v>
      </c>
      <c r="M134" s="94"/>
      <c r="N134" s="95">
        <f t="shared" si="21"/>
        <v>0</v>
      </c>
      <c r="O134" s="83"/>
      <c r="P134" s="96"/>
    </row>
    <row r="135" spans="1:16" ht="60">
      <c r="A135" s="104">
        <v>1004</v>
      </c>
      <c r="B135" s="90" t="s">
        <v>254</v>
      </c>
      <c r="C135" s="91">
        <v>15709</v>
      </c>
      <c r="D135" s="91">
        <v>7827.3</v>
      </c>
      <c r="E135" s="81">
        <f t="shared" si="11"/>
        <v>49.8268508498313</v>
      </c>
      <c r="F135" s="92">
        <v>0</v>
      </c>
      <c r="G135" s="92">
        <v>0</v>
      </c>
      <c r="H135" s="82"/>
      <c r="I135" s="93">
        <f t="shared" si="24"/>
        <v>15709</v>
      </c>
      <c r="J135" s="94"/>
      <c r="K135" s="95">
        <f t="shared" si="26"/>
        <v>15709</v>
      </c>
      <c r="L135" s="93">
        <f t="shared" si="20"/>
        <v>7827.3</v>
      </c>
      <c r="M135" s="94"/>
      <c r="N135" s="95">
        <f t="shared" si="21"/>
        <v>7827.3</v>
      </c>
      <c r="O135" s="83">
        <f t="shared" si="28"/>
        <v>49.8268508498313</v>
      </c>
      <c r="P135" s="96"/>
    </row>
    <row r="136" spans="1:16" ht="111" customHeight="1">
      <c r="A136" s="80">
        <v>1004</v>
      </c>
      <c r="B136" s="90" t="s">
        <v>255</v>
      </c>
      <c r="C136" s="91">
        <v>75070.8</v>
      </c>
      <c r="D136" s="91">
        <v>41291.3</v>
      </c>
      <c r="E136" s="81">
        <f aca="true" t="shared" si="31" ref="E136:E153">D136/C136*100</f>
        <v>55.0031436990148</v>
      </c>
      <c r="F136" s="92">
        <v>0</v>
      </c>
      <c r="G136" s="92">
        <v>0</v>
      </c>
      <c r="H136" s="82"/>
      <c r="I136" s="93">
        <f t="shared" si="24"/>
        <v>75070.8</v>
      </c>
      <c r="J136" s="94"/>
      <c r="K136" s="95">
        <f t="shared" si="26"/>
        <v>75070.8</v>
      </c>
      <c r="L136" s="93">
        <f t="shared" si="20"/>
        <v>41291.3</v>
      </c>
      <c r="M136" s="94"/>
      <c r="N136" s="95">
        <f t="shared" si="21"/>
        <v>41291.3</v>
      </c>
      <c r="O136" s="83">
        <f t="shared" si="28"/>
        <v>55.0031436990148</v>
      </c>
      <c r="P136" s="96"/>
    </row>
    <row r="137" spans="1:16" ht="96" customHeight="1">
      <c r="A137" s="80" t="s">
        <v>256</v>
      </c>
      <c r="B137" s="90" t="s">
        <v>257</v>
      </c>
      <c r="C137" s="91">
        <v>40354.4</v>
      </c>
      <c r="D137" s="91">
        <v>19162.5</v>
      </c>
      <c r="E137" s="81">
        <f>D137/C137*100</f>
        <v>47.48552821997106</v>
      </c>
      <c r="F137" s="92">
        <v>0</v>
      </c>
      <c r="G137" s="92">
        <v>0</v>
      </c>
      <c r="H137" s="82"/>
      <c r="I137" s="93">
        <f t="shared" si="24"/>
        <v>40354.4</v>
      </c>
      <c r="J137" s="94"/>
      <c r="K137" s="95">
        <f t="shared" si="26"/>
        <v>40354.4</v>
      </c>
      <c r="L137" s="93">
        <f t="shared" si="20"/>
        <v>19162.5</v>
      </c>
      <c r="M137" s="94"/>
      <c r="N137" s="95">
        <f t="shared" si="21"/>
        <v>19162.5</v>
      </c>
      <c r="O137" s="83">
        <f>N137/K137*100</f>
        <v>47.48552821997106</v>
      </c>
      <c r="P137" s="96"/>
    </row>
    <row r="138" spans="1:16" ht="30">
      <c r="A138" s="80" t="s">
        <v>256</v>
      </c>
      <c r="B138" s="90" t="s">
        <v>258</v>
      </c>
      <c r="C138" s="91">
        <v>2158.9</v>
      </c>
      <c r="D138" s="91">
        <v>1442.4</v>
      </c>
      <c r="E138" s="81">
        <f>D138/C138*100</f>
        <v>66.81180230673029</v>
      </c>
      <c r="F138" s="92"/>
      <c r="G138" s="92"/>
      <c r="H138" s="82"/>
      <c r="I138" s="93">
        <f t="shared" si="24"/>
        <v>2158.9</v>
      </c>
      <c r="J138" s="94"/>
      <c r="K138" s="95">
        <f t="shared" si="26"/>
        <v>2158.9</v>
      </c>
      <c r="L138" s="93">
        <f t="shared" si="20"/>
        <v>1442.4</v>
      </c>
      <c r="M138" s="94"/>
      <c r="N138" s="95">
        <f t="shared" si="21"/>
        <v>1442.4</v>
      </c>
      <c r="O138" s="83">
        <f>N138/K138*100</f>
        <v>66.81180230673029</v>
      </c>
      <c r="P138" s="96"/>
    </row>
    <row r="139" spans="1:16" ht="45" hidden="1">
      <c r="A139" s="80" t="s">
        <v>259</v>
      </c>
      <c r="B139" s="90" t="s">
        <v>260</v>
      </c>
      <c r="C139" s="91"/>
      <c r="D139" s="91"/>
      <c r="E139" s="81"/>
      <c r="F139" s="92"/>
      <c r="G139" s="92"/>
      <c r="H139" s="82" t="e">
        <f>G139/F139*100</f>
        <v>#DIV/0!</v>
      </c>
      <c r="I139" s="93">
        <f t="shared" si="24"/>
        <v>0</v>
      </c>
      <c r="J139" s="94"/>
      <c r="K139" s="95">
        <f t="shared" si="26"/>
        <v>0</v>
      </c>
      <c r="L139" s="93">
        <f t="shared" si="20"/>
        <v>0</v>
      </c>
      <c r="M139" s="94"/>
      <c r="N139" s="95">
        <f t="shared" si="21"/>
        <v>0</v>
      </c>
      <c r="O139" s="83" t="e">
        <f>N139/K139*100</f>
        <v>#DIV/0!</v>
      </c>
      <c r="P139" s="96"/>
    </row>
    <row r="140" spans="1:16" ht="15">
      <c r="A140" s="80">
        <v>1006</v>
      </c>
      <c r="B140" s="90" t="s">
        <v>261</v>
      </c>
      <c r="C140" s="91">
        <v>18471.3</v>
      </c>
      <c r="D140" s="91">
        <v>10795.2</v>
      </c>
      <c r="E140" s="81">
        <f t="shared" si="31"/>
        <v>58.44309821182051</v>
      </c>
      <c r="F140" s="92">
        <v>0</v>
      </c>
      <c r="G140" s="92">
        <v>0</v>
      </c>
      <c r="H140" s="82"/>
      <c r="I140" s="93">
        <f t="shared" si="24"/>
        <v>18471.3</v>
      </c>
      <c r="J140" s="94"/>
      <c r="K140" s="95">
        <f t="shared" si="26"/>
        <v>18471.3</v>
      </c>
      <c r="L140" s="93">
        <f t="shared" si="20"/>
        <v>10795.2</v>
      </c>
      <c r="M140" s="94"/>
      <c r="N140" s="95">
        <f t="shared" si="21"/>
        <v>10795.2</v>
      </c>
      <c r="O140" s="83">
        <f t="shared" si="28"/>
        <v>58.44309821182051</v>
      </c>
      <c r="P140" s="96"/>
    </row>
    <row r="141" spans="1:16" ht="15">
      <c r="A141" s="121">
        <v>1100</v>
      </c>
      <c r="B141" s="85" t="s">
        <v>262</v>
      </c>
      <c r="C141" s="86">
        <f>SUM(C142:C144)</f>
        <v>125461.09999999999</v>
      </c>
      <c r="D141" s="86">
        <f>SUM(D142:D144)</f>
        <v>89374.7</v>
      </c>
      <c r="E141" s="86">
        <f>D141/C141*100</f>
        <v>71.23698102439721</v>
      </c>
      <c r="F141" s="107">
        <f>F142+F143</f>
        <v>41608.2</v>
      </c>
      <c r="G141" s="107">
        <f>G142+G143</f>
        <v>18976.8</v>
      </c>
      <c r="H141" s="87">
        <f>G141/F141*100</f>
        <v>45.60831759124404</v>
      </c>
      <c r="I141" s="107">
        <f aca="true" t="shared" si="32" ref="I141:N141">I142+I143+I144</f>
        <v>167069.3</v>
      </c>
      <c r="J141" s="107">
        <f t="shared" si="32"/>
        <v>207</v>
      </c>
      <c r="K141" s="107">
        <f t="shared" si="32"/>
        <v>166862.3</v>
      </c>
      <c r="L141" s="107">
        <f t="shared" si="32"/>
        <v>108351.5</v>
      </c>
      <c r="M141" s="107">
        <f t="shared" si="32"/>
        <v>177</v>
      </c>
      <c r="N141" s="107">
        <f t="shared" si="32"/>
        <v>108174.5</v>
      </c>
      <c r="O141" s="88">
        <f t="shared" si="28"/>
        <v>64.82860418440835</v>
      </c>
      <c r="P141" s="96"/>
    </row>
    <row r="142" spans="1:16" ht="15">
      <c r="A142" s="80">
        <v>1101</v>
      </c>
      <c r="B142" s="90" t="s">
        <v>263</v>
      </c>
      <c r="C142" s="91">
        <v>124662.2</v>
      </c>
      <c r="D142" s="91">
        <v>88730.8</v>
      </c>
      <c r="E142" s="81">
        <f t="shared" si="31"/>
        <v>71.17698869424733</v>
      </c>
      <c r="F142" s="92">
        <v>41608.2</v>
      </c>
      <c r="G142" s="92">
        <v>18976.8</v>
      </c>
      <c r="H142" s="82">
        <f>G142/F142*100</f>
        <v>45.60831759124404</v>
      </c>
      <c r="I142" s="93">
        <f t="shared" si="24"/>
        <v>166270.4</v>
      </c>
      <c r="J142" s="94">
        <v>207</v>
      </c>
      <c r="K142" s="95">
        <f>I142-J142</f>
        <v>166063.4</v>
      </c>
      <c r="L142" s="93">
        <f t="shared" si="20"/>
        <v>107707.6</v>
      </c>
      <c r="M142" s="94">
        <v>177</v>
      </c>
      <c r="N142" s="95">
        <f t="shared" si="21"/>
        <v>107530.6</v>
      </c>
      <c r="O142" s="83">
        <f t="shared" si="28"/>
        <v>64.75273901413557</v>
      </c>
      <c r="P142" s="96"/>
    </row>
    <row r="143" spans="1:16" ht="15">
      <c r="A143" s="80">
        <v>1102</v>
      </c>
      <c r="B143" s="90" t="s">
        <v>264</v>
      </c>
      <c r="C143" s="91">
        <v>165</v>
      </c>
      <c r="D143" s="91">
        <v>10</v>
      </c>
      <c r="E143" s="81">
        <f t="shared" si="31"/>
        <v>6.0606060606060606</v>
      </c>
      <c r="F143" s="92"/>
      <c r="G143" s="92">
        <v>0</v>
      </c>
      <c r="H143" s="82"/>
      <c r="I143" s="93">
        <f t="shared" si="24"/>
        <v>165</v>
      </c>
      <c r="J143" s="94"/>
      <c r="K143" s="95">
        <f t="shared" si="26"/>
        <v>165</v>
      </c>
      <c r="L143" s="93">
        <f t="shared" si="20"/>
        <v>10</v>
      </c>
      <c r="M143" s="94"/>
      <c r="N143" s="95">
        <f t="shared" si="21"/>
        <v>10</v>
      </c>
      <c r="O143" s="83">
        <f t="shared" si="28"/>
        <v>6.0606060606060606</v>
      </c>
      <c r="P143" s="96"/>
    </row>
    <row r="144" spans="1:16" ht="15">
      <c r="A144" s="80" t="s">
        <v>265</v>
      </c>
      <c r="B144" s="90" t="s">
        <v>266</v>
      </c>
      <c r="C144" s="91">
        <v>633.9</v>
      </c>
      <c r="D144" s="91">
        <v>633.9</v>
      </c>
      <c r="E144" s="81">
        <f t="shared" si="31"/>
        <v>100</v>
      </c>
      <c r="F144" s="92"/>
      <c r="G144" s="92"/>
      <c r="H144" s="82"/>
      <c r="I144" s="93">
        <f t="shared" si="24"/>
        <v>633.9</v>
      </c>
      <c r="J144" s="94"/>
      <c r="K144" s="95">
        <f t="shared" si="26"/>
        <v>633.9</v>
      </c>
      <c r="L144" s="93">
        <f t="shared" si="20"/>
        <v>633.9</v>
      </c>
      <c r="M144" s="94"/>
      <c r="N144" s="95">
        <f t="shared" si="21"/>
        <v>633.9</v>
      </c>
      <c r="O144" s="83">
        <f t="shared" si="28"/>
        <v>100</v>
      </c>
      <c r="P144" s="96"/>
    </row>
    <row r="145" spans="1:16" ht="15">
      <c r="A145" s="121">
        <v>1200</v>
      </c>
      <c r="B145" s="85" t="s">
        <v>267</v>
      </c>
      <c r="C145" s="86">
        <f>SUM(C146:C147)</f>
        <v>40068.2</v>
      </c>
      <c r="D145" s="86">
        <f>SUM(D146:D147)</f>
        <v>8521.4</v>
      </c>
      <c r="E145" s="98">
        <f>D145/C145*100</f>
        <v>21.267239356896493</v>
      </c>
      <c r="F145" s="86"/>
      <c r="G145" s="86"/>
      <c r="H145" s="87"/>
      <c r="I145" s="86">
        <f aca="true" t="shared" si="33" ref="I145:N145">I146</f>
        <v>14473.8</v>
      </c>
      <c r="J145" s="86">
        <f>J146+J147</f>
        <v>25594.4</v>
      </c>
      <c r="K145" s="86">
        <f>K146</f>
        <v>14473.8</v>
      </c>
      <c r="L145" s="86">
        <f t="shared" si="33"/>
        <v>8521.4</v>
      </c>
      <c r="M145" s="86">
        <f t="shared" si="33"/>
        <v>0</v>
      </c>
      <c r="N145" s="86">
        <f t="shared" si="33"/>
        <v>8521.4</v>
      </c>
      <c r="O145" s="99">
        <f t="shared" si="28"/>
        <v>58.874656275477065</v>
      </c>
      <c r="P145" s="96"/>
    </row>
    <row r="146" spans="1:16" ht="15">
      <c r="A146" s="80" t="s">
        <v>268</v>
      </c>
      <c r="B146" s="90" t="s">
        <v>269</v>
      </c>
      <c r="C146" s="91">
        <v>14473.8</v>
      </c>
      <c r="D146" s="91">
        <v>8521.4</v>
      </c>
      <c r="E146" s="81">
        <f>D146/C146*100</f>
        <v>58.874656275477065</v>
      </c>
      <c r="F146" s="92"/>
      <c r="G146" s="92"/>
      <c r="H146" s="82"/>
      <c r="I146" s="93">
        <f>C146+F146</f>
        <v>14473.8</v>
      </c>
      <c r="J146" s="94">
        <v>0</v>
      </c>
      <c r="K146" s="95">
        <f>I146-J146</f>
        <v>14473.8</v>
      </c>
      <c r="L146" s="93">
        <f t="shared" si="20"/>
        <v>8521.4</v>
      </c>
      <c r="M146" s="94"/>
      <c r="N146" s="95">
        <f t="shared" si="21"/>
        <v>8521.4</v>
      </c>
      <c r="O146" s="83">
        <f>N146/K146*100</f>
        <v>58.874656275477065</v>
      </c>
      <c r="P146" s="96"/>
    </row>
    <row r="147" spans="1:16" ht="15">
      <c r="A147" s="80" t="s">
        <v>270</v>
      </c>
      <c r="B147" s="90" t="s">
        <v>271</v>
      </c>
      <c r="C147" s="91">
        <v>25594.4</v>
      </c>
      <c r="D147" s="91"/>
      <c r="E147" s="81">
        <f>D147/C147*100</f>
        <v>0</v>
      </c>
      <c r="F147" s="92"/>
      <c r="G147" s="92"/>
      <c r="H147" s="82"/>
      <c r="I147" s="93">
        <f>C147+F147</f>
        <v>25594.4</v>
      </c>
      <c r="J147" s="94">
        <v>25594.4</v>
      </c>
      <c r="K147" s="95">
        <f>I147-J147</f>
        <v>0</v>
      </c>
      <c r="L147" s="93"/>
      <c r="M147" s="94"/>
      <c r="N147" s="95">
        <f t="shared" si="21"/>
        <v>0</v>
      </c>
      <c r="O147" s="83" t="e">
        <f>N147/K147*100</f>
        <v>#DIV/0!</v>
      </c>
      <c r="P147" s="96"/>
    </row>
    <row r="148" spans="1:16" ht="15">
      <c r="A148" s="121">
        <v>1300</v>
      </c>
      <c r="B148" s="85" t="s">
        <v>272</v>
      </c>
      <c r="C148" s="86">
        <f aca="true" t="shared" si="34" ref="C148:N148">C149</f>
        <v>23.8</v>
      </c>
      <c r="D148" s="86">
        <f t="shared" si="34"/>
        <v>7.8</v>
      </c>
      <c r="E148" s="86">
        <f t="shared" si="34"/>
        <v>32.773109243697476</v>
      </c>
      <c r="F148" s="86">
        <f t="shared" si="34"/>
        <v>0</v>
      </c>
      <c r="G148" s="86">
        <f t="shared" si="34"/>
        <v>0</v>
      </c>
      <c r="H148" s="98">
        <f t="shared" si="34"/>
        <v>0</v>
      </c>
      <c r="I148" s="86">
        <f t="shared" si="34"/>
        <v>23.8</v>
      </c>
      <c r="J148" s="86">
        <f t="shared" si="34"/>
        <v>0</v>
      </c>
      <c r="K148" s="86">
        <f t="shared" si="34"/>
        <v>23.8</v>
      </c>
      <c r="L148" s="86">
        <f t="shared" si="34"/>
        <v>7.8</v>
      </c>
      <c r="M148" s="86">
        <f t="shared" si="34"/>
        <v>0</v>
      </c>
      <c r="N148" s="86">
        <f t="shared" si="34"/>
        <v>7.8</v>
      </c>
      <c r="O148" s="99">
        <f t="shared" si="28"/>
        <v>32.773109243697476</v>
      </c>
      <c r="P148" s="96"/>
    </row>
    <row r="149" spans="1:16" ht="30">
      <c r="A149" s="80">
        <v>1301</v>
      </c>
      <c r="B149" s="90" t="s">
        <v>273</v>
      </c>
      <c r="C149" s="91">
        <v>23.8</v>
      </c>
      <c r="D149" s="91">
        <v>7.8</v>
      </c>
      <c r="E149" s="81">
        <f t="shared" si="31"/>
        <v>32.773109243697476</v>
      </c>
      <c r="F149" s="92"/>
      <c r="G149" s="92">
        <v>0</v>
      </c>
      <c r="H149" s="82">
        <v>0</v>
      </c>
      <c r="I149" s="93">
        <f t="shared" si="24"/>
        <v>23.8</v>
      </c>
      <c r="J149" s="94"/>
      <c r="K149" s="95">
        <f t="shared" si="26"/>
        <v>23.8</v>
      </c>
      <c r="L149" s="93">
        <f t="shared" si="20"/>
        <v>7.8</v>
      </c>
      <c r="M149" s="128"/>
      <c r="N149" s="95">
        <f t="shared" si="21"/>
        <v>7.8</v>
      </c>
      <c r="O149" s="83">
        <f t="shared" si="28"/>
        <v>32.773109243697476</v>
      </c>
      <c r="P149" s="96"/>
    </row>
    <row r="150" spans="1:16" ht="14.25">
      <c r="A150" s="121">
        <v>1400</v>
      </c>
      <c r="B150" s="85" t="s">
        <v>274</v>
      </c>
      <c r="C150" s="86">
        <f>SUM(C151:C153)</f>
        <v>340561.7</v>
      </c>
      <c r="D150" s="86">
        <f>SUM(D151:D153)</f>
        <v>258444.90000000002</v>
      </c>
      <c r="E150" s="86">
        <f>D150/C150*100</f>
        <v>75.88783471541281</v>
      </c>
      <c r="F150" s="107">
        <f>F151+F152+F153</f>
        <v>0</v>
      </c>
      <c r="G150" s="107">
        <f>SUM(G151:G153)</f>
        <v>0</v>
      </c>
      <c r="H150" s="107"/>
      <c r="I150" s="107">
        <f aca="true" t="shared" si="35" ref="I150:N150">I151+I152+I153</f>
        <v>340561.7</v>
      </c>
      <c r="J150" s="107">
        <f t="shared" si="35"/>
        <v>340561.7</v>
      </c>
      <c r="K150" s="107">
        <f t="shared" si="35"/>
        <v>0</v>
      </c>
      <c r="L150" s="107">
        <f t="shared" si="35"/>
        <v>258444.90000000002</v>
      </c>
      <c r="M150" s="107">
        <f t="shared" si="35"/>
        <v>258444.90000000002</v>
      </c>
      <c r="N150" s="107">
        <f t="shared" si="35"/>
        <v>0</v>
      </c>
      <c r="O150" s="88">
        <v>0</v>
      </c>
      <c r="P150" s="96"/>
    </row>
    <row r="151" spans="1:16" ht="30">
      <c r="A151" s="80">
        <v>1401</v>
      </c>
      <c r="B151" s="90" t="s">
        <v>275</v>
      </c>
      <c r="C151" s="91">
        <v>149882.1</v>
      </c>
      <c r="D151" s="91">
        <v>104917.3</v>
      </c>
      <c r="E151" s="81">
        <f t="shared" si="31"/>
        <v>69.99988657751659</v>
      </c>
      <c r="F151" s="92">
        <v>0</v>
      </c>
      <c r="G151" s="92">
        <v>0</v>
      </c>
      <c r="H151" s="82">
        <v>0</v>
      </c>
      <c r="I151" s="93">
        <f t="shared" si="24"/>
        <v>149882.1</v>
      </c>
      <c r="J151" s="94">
        <v>149882.1</v>
      </c>
      <c r="K151" s="95">
        <f>I151-J151</f>
        <v>0</v>
      </c>
      <c r="L151" s="93">
        <f t="shared" si="20"/>
        <v>104917.3</v>
      </c>
      <c r="M151" s="128">
        <v>104917.3</v>
      </c>
      <c r="N151" s="95">
        <f t="shared" si="21"/>
        <v>0</v>
      </c>
      <c r="O151" s="83">
        <v>0</v>
      </c>
      <c r="P151" s="96"/>
    </row>
    <row r="152" spans="1:16" ht="15" hidden="1">
      <c r="A152" s="80">
        <v>1402</v>
      </c>
      <c r="B152" s="90" t="s">
        <v>276</v>
      </c>
      <c r="C152" s="91"/>
      <c r="D152" s="91"/>
      <c r="E152" s="81" t="e">
        <f t="shared" si="31"/>
        <v>#DIV/0!</v>
      </c>
      <c r="F152" s="92">
        <v>0</v>
      </c>
      <c r="G152" s="92">
        <v>0</v>
      </c>
      <c r="H152" s="82">
        <v>0</v>
      </c>
      <c r="I152" s="93">
        <f t="shared" si="24"/>
        <v>0</v>
      </c>
      <c r="J152" s="94"/>
      <c r="K152" s="95">
        <f t="shared" si="26"/>
        <v>0</v>
      </c>
      <c r="L152" s="93">
        <f t="shared" si="20"/>
        <v>0</v>
      </c>
      <c r="M152" s="128"/>
      <c r="N152" s="95">
        <f t="shared" si="21"/>
        <v>0</v>
      </c>
      <c r="O152" s="83">
        <v>0</v>
      </c>
      <c r="P152" s="96"/>
    </row>
    <row r="153" spans="1:16" ht="15">
      <c r="A153" s="80">
        <v>1403</v>
      </c>
      <c r="B153" s="90" t="s">
        <v>277</v>
      </c>
      <c r="C153" s="91">
        <v>190679.6</v>
      </c>
      <c r="D153" s="91">
        <v>153527.6</v>
      </c>
      <c r="E153" s="81">
        <f t="shared" si="31"/>
        <v>80.51600695617151</v>
      </c>
      <c r="F153" s="92">
        <v>0</v>
      </c>
      <c r="G153" s="92">
        <v>0</v>
      </c>
      <c r="H153" s="82">
        <v>0</v>
      </c>
      <c r="I153" s="93">
        <f t="shared" si="24"/>
        <v>190679.6</v>
      </c>
      <c r="J153" s="94">
        <v>190679.6</v>
      </c>
      <c r="K153" s="95">
        <f t="shared" si="26"/>
        <v>0</v>
      </c>
      <c r="L153" s="93">
        <f t="shared" si="20"/>
        <v>153527.6</v>
      </c>
      <c r="M153" s="94">
        <v>153527.6</v>
      </c>
      <c r="N153" s="95">
        <f t="shared" si="21"/>
        <v>0</v>
      </c>
      <c r="O153" s="83">
        <v>0</v>
      </c>
      <c r="P153" s="96"/>
    </row>
    <row r="154" spans="1:16" ht="15.75" thickBot="1">
      <c r="A154" s="186" t="s">
        <v>278</v>
      </c>
      <c r="B154" s="187"/>
      <c r="C154" s="129">
        <f>C9+C18+C20+C25+C58+C108+C110+C121+C126+C130+C141+C145+C148+C150</f>
        <v>4690774.9</v>
      </c>
      <c r="D154" s="129">
        <f>D150+D148+D145+D141+D130+D126+D121+D110+D108+D58+D25+D20+D18+D9</f>
        <v>2807737.4</v>
      </c>
      <c r="E154" s="129">
        <f>D154/C154*100</f>
        <v>59.85657934683669</v>
      </c>
      <c r="F154" s="129">
        <f>F9+F18+F20+F25+F58+F108+F110+F121+F126+F130+F141+F145+F148+F150</f>
        <v>767321.2</v>
      </c>
      <c r="G154" s="129">
        <f>G9+G18+G20+G25+G58+G108+G110+G121+G126+G130+G141+G145+G148+G150</f>
        <v>448097.6</v>
      </c>
      <c r="H154" s="130">
        <f>G154/F154*100</f>
        <v>58.397656678845834</v>
      </c>
      <c r="I154" s="129"/>
      <c r="J154" s="129">
        <f>J9+J18+J20+J25+J58+J108+J110+J121+J126+J130+J141+J145+J148+J150</f>
        <v>535105.3</v>
      </c>
      <c r="K154" s="129">
        <f>K150+K148+K145+K141+K130+K126+K121+K110+K108+K58+K25+K20+K18+K9</f>
        <v>4922990.8</v>
      </c>
      <c r="L154" s="131"/>
      <c r="M154" s="129">
        <f>M9+M18+M20+M25+M58+M108+M110+M121+M126+M130+M141+M145+M148+M150</f>
        <v>348726.9</v>
      </c>
      <c r="N154" s="129">
        <f>N150+N148+N145+N141+N130+N126+N121+N110+N108+N58+N25+N20+N18+N9</f>
        <v>2907108.0999999996</v>
      </c>
      <c r="O154" s="132">
        <f t="shared" si="28"/>
        <v>59.05166631633762</v>
      </c>
      <c r="P154" s="96"/>
    </row>
    <row r="155" spans="1:15" ht="12.75" hidden="1">
      <c r="A155" s="71"/>
      <c r="B155" s="72"/>
      <c r="C155" s="133"/>
      <c r="D155" s="74"/>
      <c r="E155" s="134"/>
      <c r="F155" s="76"/>
      <c r="G155" s="76"/>
      <c r="H155" s="77"/>
      <c r="I155" s="77"/>
      <c r="J155" s="77"/>
      <c r="K155" s="79"/>
      <c r="L155" s="76"/>
      <c r="M155" s="79"/>
      <c r="N155" s="79"/>
      <c r="O155" s="78"/>
    </row>
    <row r="156" spans="1:15" ht="12.75" hidden="1">
      <c r="A156" s="135"/>
      <c r="B156" s="136"/>
      <c r="C156" s="137">
        <v>4690774.9</v>
      </c>
      <c r="D156" s="137">
        <v>2807737.4</v>
      </c>
      <c r="E156" s="137"/>
      <c r="F156" s="137">
        <v>767321.2</v>
      </c>
      <c r="G156" s="137">
        <v>448097.6</v>
      </c>
      <c r="H156" s="137"/>
      <c r="I156" s="137"/>
      <c r="J156" s="137">
        <v>535105.3</v>
      </c>
      <c r="K156" s="138">
        <v>4922990.8</v>
      </c>
      <c r="L156" s="137"/>
      <c r="M156" s="137">
        <v>348727</v>
      </c>
      <c r="N156" s="137">
        <v>2907108</v>
      </c>
      <c r="O156" s="137"/>
    </row>
    <row r="157" spans="1:15" ht="12.75" hidden="1">
      <c r="A157" s="135"/>
      <c r="B157" s="136"/>
      <c r="C157" s="139">
        <f>C156-C154</f>
        <v>0</v>
      </c>
      <c r="D157" s="139">
        <f>D156-D154</f>
        <v>0</v>
      </c>
      <c r="E157" s="140"/>
      <c r="F157" s="139">
        <f>F154-F156</f>
        <v>0</v>
      </c>
      <c r="G157" s="141">
        <f>G154-G156</f>
        <v>0</v>
      </c>
      <c r="H157" s="141"/>
      <c r="I157" s="141"/>
      <c r="J157" s="142">
        <f>J154-J156</f>
        <v>0</v>
      </c>
      <c r="K157" s="142">
        <f>K154-K156</f>
        <v>0</v>
      </c>
      <c r="L157" s="142">
        <f>L154-L156</f>
        <v>0</v>
      </c>
      <c r="M157" s="142">
        <f>M154-M156</f>
        <v>-0.09999999997671694</v>
      </c>
      <c r="N157" s="142">
        <f>N154-N156</f>
        <v>0.09999999962747097</v>
      </c>
      <c r="O157" s="142"/>
    </row>
    <row r="158" spans="1:15" ht="12.75" customHeight="1">
      <c r="A158" s="179" t="s">
        <v>279</v>
      </c>
      <c r="B158" s="179"/>
      <c r="C158" s="179"/>
      <c r="D158" s="143"/>
      <c r="E158" s="144"/>
      <c r="F158" s="143"/>
      <c r="G158" s="76"/>
      <c r="H158" s="77"/>
      <c r="I158" s="77"/>
      <c r="J158" s="77"/>
      <c r="K158" s="78"/>
      <c r="L158" s="77"/>
      <c r="M158" s="78"/>
      <c r="N158" s="79"/>
      <c r="O158" s="78"/>
    </row>
    <row r="159" spans="1:15" ht="12.75" customHeight="1">
      <c r="A159" s="179" t="s">
        <v>280</v>
      </c>
      <c r="B159" s="179"/>
      <c r="C159" s="179"/>
      <c r="D159" s="145"/>
      <c r="E159" s="180" t="s">
        <v>281</v>
      </c>
      <c r="F159" s="180"/>
      <c r="G159" s="76"/>
      <c r="H159" s="77"/>
      <c r="I159" s="77"/>
      <c r="J159" s="77"/>
      <c r="K159" s="78"/>
      <c r="L159" s="77"/>
      <c r="M159" s="78"/>
      <c r="N159" s="79"/>
      <c r="O159" s="78"/>
    </row>
    <row r="160" spans="1:15" ht="12.75">
      <c r="A160" s="146"/>
      <c r="B160" s="147"/>
      <c r="C160" s="148"/>
      <c r="D160" s="149"/>
      <c r="E160" s="150"/>
      <c r="F160" s="151"/>
      <c r="G160" s="76"/>
      <c r="H160" s="77"/>
      <c r="I160" s="77"/>
      <c r="J160" s="77"/>
      <c r="K160" s="78"/>
      <c r="L160" s="77"/>
      <c r="M160" s="78"/>
      <c r="N160" s="79"/>
      <c r="O160" s="78"/>
    </row>
    <row r="161" spans="1:15" ht="12.75">
      <c r="A161" s="179" t="s">
        <v>282</v>
      </c>
      <c r="B161" s="179"/>
      <c r="C161" s="179"/>
      <c r="D161" s="152"/>
      <c r="E161" s="180" t="s">
        <v>283</v>
      </c>
      <c r="F161" s="180"/>
      <c r="G161" s="76"/>
      <c r="H161" s="77"/>
      <c r="I161" s="77"/>
      <c r="J161" s="77"/>
      <c r="K161" s="78"/>
      <c r="L161" s="77"/>
      <c r="M161" s="78"/>
      <c r="N161" s="79"/>
      <c r="O161" s="78"/>
    </row>
    <row r="162" spans="1:15" ht="12.75">
      <c r="A162" s="146"/>
      <c r="B162" s="153"/>
      <c r="C162" s="154"/>
      <c r="D162" s="143"/>
      <c r="E162" s="150"/>
      <c r="F162" s="151"/>
      <c r="G162" s="76"/>
      <c r="H162" s="77"/>
      <c r="I162" s="77"/>
      <c r="J162" s="77"/>
      <c r="K162" s="78"/>
      <c r="L162" s="77"/>
      <c r="M162" s="78"/>
      <c r="N162" s="79"/>
      <c r="O162" s="78"/>
    </row>
    <row r="163" spans="1:15" ht="12.75">
      <c r="A163" s="179" t="s">
        <v>284</v>
      </c>
      <c r="B163" s="179"/>
      <c r="C163" s="179"/>
      <c r="D163" s="152"/>
      <c r="E163" s="180" t="s">
        <v>285</v>
      </c>
      <c r="F163" s="180"/>
      <c r="G163" s="76"/>
      <c r="H163" s="77"/>
      <c r="I163" s="77"/>
      <c r="J163" s="77"/>
      <c r="K163" s="78"/>
      <c r="L163" s="77"/>
      <c r="M163" s="78"/>
      <c r="N163" s="79"/>
      <c r="O163" s="78"/>
    </row>
    <row r="164" spans="1:15" ht="12.75">
      <c r="A164" s="155"/>
      <c r="B164" s="156"/>
      <c r="C164" s="154"/>
      <c r="D164" s="143"/>
      <c r="E164" s="144"/>
      <c r="F164" s="143"/>
      <c r="G164" s="76"/>
      <c r="H164" s="77"/>
      <c r="I164" s="77"/>
      <c r="J164" s="77"/>
      <c r="K164" s="78"/>
      <c r="L164" s="77"/>
      <c r="M164" s="78"/>
      <c r="N164" s="79" t="s">
        <v>39</v>
      </c>
      <c r="O164" s="78"/>
    </row>
    <row r="165" spans="1:14" ht="12.75">
      <c r="A165" s="157"/>
      <c r="B165" s="157"/>
      <c r="C165" s="158" t="s">
        <v>286</v>
      </c>
      <c r="D165" s="159"/>
      <c r="E165" s="160" t="s">
        <v>287</v>
      </c>
      <c r="F165" s="161"/>
      <c r="G165" s="162"/>
      <c r="K165" t="s">
        <v>288</v>
      </c>
      <c r="N165" s="162"/>
    </row>
  </sheetData>
  <sheetProtection/>
  <mergeCells count="28">
    <mergeCell ref="E4:E5"/>
    <mergeCell ref="J4:J5"/>
    <mergeCell ref="K4:K5"/>
    <mergeCell ref="B3:B5"/>
    <mergeCell ref="A1:O1"/>
    <mergeCell ref="A3:A8"/>
    <mergeCell ref="C3:E3"/>
    <mergeCell ref="F3:H3"/>
    <mergeCell ref="I3:O3"/>
    <mergeCell ref="C4:C5"/>
    <mergeCell ref="D4:D5"/>
    <mergeCell ref="L4:L5"/>
    <mergeCell ref="M4:M5"/>
    <mergeCell ref="N4:N5"/>
    <mergeCell ref="O4:O5"/>
    <mergeCell ref="B6:O8"/>
    <mergeCell ref="A154:B154"/>
    <mergeCell ref="F4:F5"/>
    <mergeCell ref="G4:G5"/>
    <mergeCell ref="H4:H5"/>
    <mergeCell ref="I4:I5"/>
    <mergeCell ref="A158:C158"/>
    <mergeCell ref="A159:C159"/>
    <mergeCell ref="E159:F159"/>
    <mergeCell ref="A161:C161"/>
    <mergeCell ref="E161:F161"/>
    <mergeCell ref="A163:C163"/>
    <mergeCell ref="E163:F163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Бучельникова</cp:lastModifiedBy>
  <cp:lastPrinted>2022-09-07T11:41:46Z</cp:lastPrinted>
  <dcterms:created xsi:type="dcterms:W3CDTF">2006-05-12T06:58:42Z</dcterms:created>
  <dcterms:modified xsi:type="dcterms:W3CDTF">2022-09-20T05:36:23Z</dcterms:modified>
  <cp:category/>
  <cp:version/>
  <cp:contentType/>
  <cp:contentStatus/>
</cp:coreProperties>
</file>