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<sst xmlns="http://schemas.openxmlformats.org/spreadsheetml/2006/main" count="741" uniqueCount="293">
  <si>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</si>
  <si>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</si>
  <si>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</si>
  <si>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</si>
  <si>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</si>
  <si>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</si>
  <si>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</si>
  <si>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</si>
  <si>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</si>
  <si>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</si>
  <si>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</si>
  <si>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</si>
  <si>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</si>
  <si>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</si>
  <si>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</si>
  <si>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</si>
  <si>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</si>
  <si>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</si>
  <si>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</si>
  <si>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</si>
  <si>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</si>
  <si>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</si>
  <si>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</si>
  <si>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</si>
  <si>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</si>
  <si>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</si>
  <si>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</si>
  <si>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</si>
  <si>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</si>
  <si>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</si>
  <si>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</si>
  <si>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</si>
  <si>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</si>
  <si>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</si>
  <si>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</si>
  <si>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</si>
  <si>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</si>
  <si>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</si>
  <si>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</si>
  <si>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</si>
  <si>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</si>
  <si>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</si>
  <si>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</si>
  <si>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</si>
  <si>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</si>
  <si>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</si>
  <si>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</si>
  <si>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</si>
  <si>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</si>
  <si>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</si>
  <si>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</si>
  <si>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</si>
  <si>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</si>
  <si>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</si>
  <si>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</si>
  <si>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</si>
  <si>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</si>
  <si>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</si>
  <si>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</si>
  <si>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</si>
  <si>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</si>
  <si>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</si>
  <si>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</si>
  <si>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</si>
  <si>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</si>
  <si>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2022 год</t>
  </si>
  <si>
    <t>Уточн. план на 2022 год</t>
  </si>
  <si>
    <t xml:space="preserve">% исп-ия к уточн. плану на 2022 год </t>
  </si>
  <si>
    <t xml:space="preserve">% исп-ия к первонач. плану на 2022 год </t>
  </si>
  <si>
    <t>00020300000000000000</t>
  </si>
  <si>
    <t xml:space="preserve">Безвозмездные поступления от государственных (муниципальных) организаций </t>
  </si>
  <si>
    <t>План                 на 9 месяцев 2022 года</t>
  </si>
  <si>
    <t xml:space="preserve">% исп-ия к плану за 9 месяцев 2022 года </t>
  </si>
  <si>
    <t>Отчет об исполнении консолидированного бюджета Октябрьского района по состоянию на 01.10.2022</t>
  </si>
  <si>
    <t>Исполнение на 01.10.2022</t>
  </si>
  <si>
    <t>Отчет  об  исполнении  консолидированного  бюджета  района  по  расходам на 1 октября 2022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</si>
  <si>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</si>
  <si>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</si>
  <si>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</si>
  <si>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</si>
  <si>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</si>
  <si>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</si>
  <si>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01.10.2022</t>
  </si>
  <si>
    <t>% исполнения</t>
  </si>
  <si>
    <t>суммы подлежащие исключению</t>
  </si>
  <si>
    <t>исполнения на 01.10.2022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</si>
  <si>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</si>
  <si>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</si>
  <si>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</si>
  <si>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</si>
  <si>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</si>
  <si>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</si>
  <si>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</si>
  <si>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</si>
  <si>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</si>
  <si>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</si>
  <si>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</si>
  <si>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</si>
  <si>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</si>
  <si>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</si>
  <si>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</si>
  <si>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</si>
  <si>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</si>
  <si>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</si>
  <si>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</si>
  <si>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</si>
  <si>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</si>
  <si>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</si>
  <si>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</si>
  <si>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</si>
  <si>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</si>
  <si>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</si>
  <si>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</si>
  <si>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</si>
  <si>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</si>
  <si>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</si>
  <si>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</si>
  <si>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</si>
  <si>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</si>
  <si>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</si>
  <si>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</si>
  <si>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</si>
  <si>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</si>
  <si>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</si>
  <si>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</si>
  <si>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</si>
  <si>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</si>
  <si>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****99990 -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</si>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</sst>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5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8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1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78" fontId="4" fillId="0" borderId="11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178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178" fontId="4" fillId="0" borderId="13" xfId="0" applyNumberFormat="1" applyFont="1" applyFill="1" applyBorder="1" applyAlignment="1">
      <alignment horizontal="right" vertical="top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1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2" fillId="0" borderId="12" xfId="0" applyNumberFormat="1" applyFont="1" applyFill="1" applyBorder="1" applyAlignment="1">
      <alignment vertical="top" wrapText="1"/>
    </xf>
    <xf numFmtId="178" fontId="5" fillId="0" borderId="10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top"/>
    </xf>
    <xf numFmtId="178" fontId="2" fillId="0" borderId="11" xfId="0" applyNumberFormat="1" applyFont="1" applyFill="1" applyBorder="1" applyAlignment="1">
      <alignment horizontal="right" vertical="top" wrapText="1"/>
    </xf>
    <xf numFmtId="178" fontId="1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8" fontId="5" fillId="0" borderId="17" xfId="0" applyNumberFormat="1" applyFont="1" applyFill="1" applyBorder="1" applyAlignment="1">
      <alignment vertical="top"/>
    </xf>
    <xf numFmtId="178" fontId="4" fillId="0" borderId="17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70" fontId="2" fillId="0" borderId="14" xfId="43" applyFont="1" applyFill="1" applyBorder="1" applyAlignment="1">
      <alignment horizontal="center" vertical="top" wrapText="1"/>
    </xf>
    <xf numFmtId="170" fontId="2" fillId="0" borderId="18" xfId="43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horizontal="center" vertical="top"/>
    </xf>
    <xf numFmtId="0" fontId="28" fillId="0" borderId="0" xfId="54" applyFont="1" applyAlignment="1">
      <alignment horizontal="center" vertical="center" wrapText="1"/>
      <protection/>
    </xf>
    <xf numFmtId="49" fontId="29" fillId="0" borderId="0" xfId="54" applyNumberFormat="1" applyFont="1" applyAlignment="1">
      <alignment horizontal="center" vertical="center" wrapText="1"/>
      <protection/>
    </xf>
    <xf numFmtId="0" fontId="29" fillId="0" borderId="0" xfId="54" applyFont="1" applyAlignment="1">
      <alignment horizontal="left" vertical="center" wrapText="1"/>
      <protection/>
    </xf>
    <xf numFmtId="181" fontId="70" fillId="33" borderId="0" xfId="54" applyNumberFormat="1" applyFont="1" applyFill="1" applyAlignment="1">
      <alignment horizontal="center" vertical="center" wrapText="1"/>
      <protection/>
    </xf>
    <xf numFmtId="181" fontId="31" fillId="33" borderId="0" xfId="54" applyNumberFormat="1" applyFont="1" applyFill="1" applyAlignment="1">
      <alignment horizontal="center" vertical="center" wrapText="1"/>
      <protection/>
    </xf>
    <xf numFmtId="181" fontId="31" fillId="0" borderId="0" xfId="54" applyNumberFormat="1" applyFont="1" applyAlignment="1">
      <alignment horizontal="center" vertical="center" wrapText="1"/>
      <protection/>
    </xf>
    <xf numFmtId="181" fontId="31" fillId="33" borderId="0" xfId="0" applyNumberFormat="1" applyFont="1" applyFill="1" applyAlignment="1">
      <alignment horizontal="center" vertical="center" wrapText="1"/>
    </xf>
    <xf numFmtId="181" fontId="31" fillId="0" borderId="0" xfId="0" applyNumberFormat="1" applyFont="1" applyAlignment="1">
      <alignment horizontal="center" vertical="center" wrapText="1"/>
    </xf>
    <xf numFmtId="181" fontId="32" fillId="0" borderId="0" xfId="0" applyNumberFormat="1" applyFont="1" applyAlignment="1">
      <alignment horizontal="center" vertical="center" wrapText="1"/>
    </xf>
    <xf numFmtId="181" fontId="32" fillId="33" borderId="0" xfId="0" applyNumberFormat="1" applyFont="1" applyFill="1" applyAlignment="1">
      <alignment horizontal="center" vertical="center" wrapText="1"/>
    </xf>
    <xf numFmtId="49" fontId="33" fillId="0" borderId="20" xfId="54" applyNumberFormat="1" applyFont="1" applyBorder="1" applyAlignment="1">
      <alignment horizontal="center" vertical="center" wrapText="1"/>
      <protection/>
    </xf>
    <xf numFmtId="0" fontId="33" fillId="0" borderId="21" xfId="54" applyFont="1" applyBorder="1" applyAlignment="1">
      <alignment horizontal="center" vertical="center" wrapText="1"/>
      <protection/>
    </xf>
    <xf numFmtId="181" fontId="34" fillId="0" borderId="21" xfId="54" applyNumberFormat="1" applyFont="1" applyBorder="1" applyAlignment="1">
      <alignment horizontal="center" vertical="center" wrapText="1"/>
      <protection/>
    </xf>
    <xf numFmtId="181" fontId="34" fillId="0" borderId="21" xfId="0" applyNumberFormat="1" applyFont="1" applyBorder="1" applyAlignment="1">
      <alignment horizontal="center" vertical="center" wrapText="1"/>
    </xf>
    <xf numFmtId="181" fontId="35" fillId="0" borderId="22" xfId="0" applyNumberFormat="1" applyFont="1" applyBorder="1" applyAlignment="1">
      <alignment horizontal="center" vertical="center" wrapText="1"/>
    </xf>
    <xf numFmtId="181" fontId="35" fillId="0" borderId="23" xfId="0" applyNumberFormat="1" applyFont="1" applyBorder="1" applyAlignment="1">
      <alignment horizontal="center" vertical="center" wrapText="1"/>
    </xf>
    <xf numFmtId="181" fontId="35" fillId="0" borderId="24" xfId="0" applyNumberFormat="1" applyFont="1" applyBorder="1" applyAlignment="1">
      <alignment horizontal="center" vertical="center" wrapText="1"/>
    </xf>
    <xf numFmtId="49" fontId="33" fillId="0" borderId="25" xfId="54" applyNumberFormat="1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center" vertical="center" wrapText="1"/>
      <protection/>
    </xf>
    <xf numFmtId="181" fontId="34" fillId="33" borderId="13" xfId="54" applyNumberFormat="1" applyFont="1" applyFill="1" applyBorder="1" applyAlignment="1">
      <alignment horizontal="center" vertical="center" wrapText="1"/>
      <protection/>
    </xf>
    <xf numFmtId="181" fontId="34" fillId="0" borderId="13" xfId="54" applyNumberFormat="1" applyFont="1" applyBorder="1" applyAlignment="1">
      <alignment horizontal="center" vertical="center" wrapText="1"/>
      <protection/>
    </xf>
    <xf numFmtId="181" fontId="36" fillId="5" borderId="13" xfId="0" applyNumberFormat="1" applyFont="1" applyFill="1" applyBorder="1" applyAlignment="1">
      <alignment horizontal="center" vertical="center" wrapText="1"/>
    </xf>
    <xf numFmtId="181" fontId="35" fillId="0" borderId="13" xfId="54" applyNumberFormat="1" applyFont="1" applyBorder="1" applyAlignment="1">
      <alignment horizontal="center" vertical="center" wrapText="1"/>
      <protection/>
    </xf>
    <xf numFmtId="181" fontId="35" fillId="33" borderId="13" xfId="54" applyNumberFormat="1" applyFont="1" applyFill="1" applyBorder="1" applyAlignment="1">
      <alignment horizontal="center" vertical="center" wrapText="1"/>
      <protection/>
    </xf>
    <xf numFmtId="181" fontId="35" fillId="0" borderId="26" xfId="54" applyNumberFormat="1" applyFont="1" applyBorder="1" applyAlignment="1">
      <alignment horizontal="center" vertical="center" wrapText="1"/>
      <protection/>
    </xf>
    <xf numFmtId="181" fontId="34" fillId="33" borderId="13" xfId="0" applyNumberFormat="1" applyFont="1" applyFill="1" applyBorder="1" applyAlignment="1">
      <alignment horizontal="center" vertical="center" wrapText="1"/>
    </xf>
    <xf numFmtId="181" fontId="40" fillId="0" borderId="13" xfId="0" applyNumberFormat="1" applyFont="1" applyBorder="1" applyAlignment="1">
      <alignment horizontal="center" vertical="center"/>
    </xf>
    <xf numFmtId="181" fontId="34" fillId="0" borderId="13" xfId="0" applyNumberFormat="1" applyFont="1" applyBorder="1" applyAlignment="1">
      <alignment horizontal="center" vertical="center" wrapText="1"/>
    </xf>
    <xf numFmtId="181" fontId="35" fillId="0" borderId="13" xfId="0" applyNumberFormat="1" applyFont="1" applyBorder="1" applyAlignment="1">
      <alignment horizontal="center" vertical="center" wrapText="1"/>
    </xf>
    <xf numFmtId="181" fontId="35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33" fillId="0" borderId="25" xfId="54" applyNumberFormat="1" applyFont="1" applyBorder="1" applyAlignment="1">
      <alignment horizontal="center" vertical="center" wrapText="1"/>
      <protection/>
    </xf>
    <xf numFmtId="0" fontId="41" fillId="0" borderId="13" xfId="54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center" vertical="center" wrapText="1"/>
      <protection/>
    </xf>
    <xf numFmtId="0" fontId="41" fillId="0" borderId="26" xfId="54" applyFont="1" applyBorder="1" applyAlignment="1">
      <alignment horizontal="center" vertical="center" wrapText="1"/>
      <protection/>
    </xf>
    <xf numFmtId="49" fontId="41" fillId="34" borderId="25" xfId="54" applyNumberFormat="1" applyFont="1" applyFill="1" applyBorder="1" applyAlignment="1" quotePrefix="1">
      <alignment horizontal="center" vertical="center" wrapText="1"/>
      <protection/>
    </xf>
    <xf numFmtId="0" fontId="41" fillId="34" borderId="13" xfId="54" applyFont="1" applyFill="1" applyBorder="1" applyAlignment="1">
      <alignment horizontal="left" vertical="center" wrapText="1"/>
      <protection/>
    </xf>
    <xf numFmtId="181" fontId="35" fillId="34" borderId="13" xfId="54" applyNumberFormat="1" applyFont="1" applyFill="1" applyBorder="1" applyAlignment="1">
      <alignment horizontal="center" vertical="center" wrapText="1"/>
      <protection/>
    </xf>
    <xf numFmtId="181" fontId="34" fillId="34" borderId="13" xfId="0" applyNumberFormat="1" applyFont="1" applyFill="1" applyBorder="1" applyAlignment="1">
      <alignment horizontal="center" vertical="center" wrapText="1"/>
    </xf>
    <xf numFmtId="181" fontId="35" fillId="34" borderId="26" xfId="0" applyNumberFormat="1" applyFont="1" applyFill="1" applyBorder="1" applyAlignment="1">
      <alignment horizontal="center" vertical="center" wrapText="1"/>
    </xf>
    <xf numFmtId="49" fontId="33" fillId="0" borderId="25" xfId="54" applyNumberFormat="1" applyFont="1" applyBorder="1" applyAlignment="1" quotePrefix="1">
      <alignment horizontal="center" vertical="center" wrapText="1"/>
      <protection/>
    </xf>
    <xf numFmtId="0" fontId="33" fillId="0" borderId="13" xfId="54" applyFont="1" applyBorder="1" applyAlignment="1">
      <alignment horizontal="left" vertical="center" wrapText="1"/>
      <protection/>
    </xf>
    <xf numFmtId="181" fontId="34" fillId="33" borderId="13" xfId="54" applyNumberFormat="1" applyFont="1" applyFill="1" applyBorder="1" applyAlignment="1">
      <alignment horizontal="center" vertical="center" wrapText="1"/>
      <protection/>
    </xf>
    <xf numFmtId="181" fontId="34" fillId="0" borderId="13" xfId="54" applyNumberFormat="1" applyFont="1" applyBorder="1" applyAlignment="1">
      <alignment horizontal="center" vertical="center" wrapText="1"/>
      <protection/>
    </xf>
    <xf numFmtId="181" fontId="34" fillId="33" borderId="13" xfId="0" applyNumberFormat="1" applyFont="1" applyFill="1" applyBorder="1" applyAlignment="1">
      <alignment horizontal="center" vertical="center" wrapText="1"/>
    </xf>
    <xf numFmtId="181" fontId="34" fillId="0" borderId="13" xfId="0" applyNumberFormat="1" applyFont="1" applyBorder="1" applyAlignment="1">
      <alignment horizontal="center" vertical="center" wrapText="1"/>
    </xf>
    <xf numFmtId="181" fontId="42" fillId="35" borderId="13" xfId="0" applyNumberFormat="1" applyFont="1" applyFill="1" applyBorder="1" applyAlignment="1">
      <alignment horizontal="center" vertical="center" wrapText="1"/>
    </xf>
    <xf numFmtId="181" fontId="42" fillId="5" borderId="13" xfId="0" applyNumberFormat="1" applyFont="1" applyFill="1" applyBorder="1" applyAlignment="1">
      <alignment horizontal="center" vertical="center" wrapText="1"/>
    </xf>
    <xf numFmtId="181" fontId="35" fillId="33" borderId="13" xfId="0" applyNumberFormat="1" applyFont="1" applyFill="1" applyBorder="1" applyAlignment="1">
      <alignment horizontal="center" vertical="center" wrapText="1"/>
    </xf>
    <xf numFmtId="181" fontId="35" fillId="0" borderId="26" xfId="0" applyNumberFormat="1" applyFont="1" applyBorder="1" applyAlignment="1">
      <alignment horizontal="center" vertical="center" wrapText="1"/>
    </xf>
    <xf numFmtId="181" fontId="71" fillId="5" borderId="13" xfId="0" applyNumberFormat="1" applyFont="1" applyFill="1" applyBorder="1" applyAlignment="1">
      <alignment horizontal="center" vertical="center" wrapText="1"/>
    </xf>
    <xf numFmtId="181" fontId="34" fillId="34" borderId="13" xfId="54" applyNumberFormat="1" applyFont="1" applyFill="1" applyBorder="1" applyAlignment="1">
      <alignment horizontal="center" vertical="center" wrapText="1"/>
      <protection/>
    </xf>
    <xf numFmtId="181" fontId="35" fillId="34" borderId="26" xfId="54" applyNumberFormat="1" applyFont="1" applyFill="1" applyBorder="1" applyAlignment="1">
      <alignment horizontal="center" vertical="center" wrapText="1"/>
      <protection/>
    </xf>
    <xf numFmtId="49" fontId="33" fillId="33" borderId="25" xfId="54" applyNumberFormat="1" applyFont="1" applyFill="1" applyBorder="1" applyAlignment="1" quotePrefix="1">
      <alignment horizontal="center" vertical="center" wrapText="1"/>
      <protection/>
    </xf>
    <xf numFmtId="0" fontId="41" fillId="34" borderId="10" xfId="54" applyFont="1" applyFill="1" applyBorder="1" applyAlignment="1">
      <alignment vertical="center" wrapText="1"/>
      <protection/>
    </xf>
    <xf numFmtId="181" fontId="35" fillId="34" borderId="10" xfId="54" applyNumberFormat="1" applyFont="1" applyFill="1" applyBorder="1" applyAlignment="1">
      <alignment vertical="center" wrapText="1"/>
      <protection/>
    </xf>
    <xf numFmtId="181" fontId="35" fillId="34" borderId="10" xfId="54" applyNumberFormat="1" applyFont="1" applyFill="1" applyBorder="1" applyAlignment="1">
      <alignment horizontal="center" wrapText="1"/>
      <protection/>
    </xf>
    <xf numFmtId="49" fontId="33" fillId="33" borderId="25" xfId="54" applyNumberFormat="1" applyFont="1" applyFill="1" applyBorder="1" applyAlignment="1">
      <alignment horizontal="center" vertical="center" wrapText="1"/>
      <protection/>
    </xf>
    <xf numFmtId="0" fontId="33" fillId="36" borderId="13" xfId="54" applyFont="1" applyFill="1" applyBorder="1" applyAlignment="1">
      <alignment horizontal="left" vertical="center" wrapText="1"/>
      <protection/>
    </xf>
    <xf numFmtId="0" fontId="34" fillId="0" borderId="13" xfId="53" applyFont="1" applyBorder="1" applyAlignment="1" applyProtection="1">
      <alignment horizontal="left" vertical="center" wrapText="1"/>
      <protection hidden="1"/>
    </xf>
    <xf numFmtId="181" fontId="35" fillId="34" borderId="13" xfId="0" applyNumberFormat="1" applyFont="1" applyFill="1" applyBorder="1" applyAlignment="1">
      <alignment horizontal="center" vertical="center" wrapText="1"/>
    </xf>
    <xf numFmtId="181" fontId="45" fillId="34" borderId="13" xfId="0" applyNumberFormat="1" applyFont="1" applyFill="1" applyBorder="1" applyAlignment="1">
      <alignment horizontal="center" vertical="center" wrapText="1"/>
    </xf>
    <xf numFmtId="0" fontId="33" fillId="33" borderId="13" xfId="54" applyFont="1" applyFill="1" applyBorder="1" applyAlignment="1">
      <alignment horizontal="left" vertical="center" wrapText="1"/>
      <protection/>
    </xf>
    <xf numFmtId="0" fontId="46" fillId="0" borderId="13" xfId="54" applyFont="1" applyBorder="1" applyAlignment="1">
      <alignment horizontal="left" vertical="center" wrapText="1"/>
      <protection/>
    </xf>
    <xf numFmtId="0" fontId="34" fillId="33" borderId="13" xfId="53" applyFont="1" applyFill="1" applyBorder="1" applyAlignment="1" applyProtection="1">
      <alignment horizontal="left" vertical="center" wrapText="1"/>
      <protection hidden="1"/>
    </xf>
    <xf numFmtId="0" fontId="34" fillId="0" borderId="13" xfId="53" applyFont="1" applyBorder="1" applyAlignment="1" applyProtection="1">
      <alignment horizontal="left" vertical="top" wrapText="1"/>
      <protection hidden="1"/>
    </xf>
    <xf numFmtId="2" fontId="35" fillId="0" borderId="26" xfId="0" applyNumberFormat="1" applyFont="1" applyBorder="1" applyAlignment="1">
      <alignment horizontal="center" vertical="center" wrapText="1"/>
    </xf>
    <xf numFmtId="0" fontId="33" fillId="0" borderId="13" xfId="54" applyFont="1" applyBorder="1" applyAlignment="1">
      <alignment horizontal="left" vertical="top" wrapText="1"/>
      <protection/>
    </xf>
    <xf numFmtId="181" fontId="72" fillId="33" borderId="13" xfId="54" applyNumberFormat="1" applyFont="1" applyFill="1" applyBorder="1" applyAlignment="1">
      <alignment horizontal="center" vertical="center" wrapText="1"/>
      <protection/>
    </xf>
    <xf numFmtId="49" fontId="34" fillId="0" borderId="25" xfId="54" applyNumberFormat="1" applyFont="1" applyBorder="1" applyAlignment="1">
      <alignment horizontal="center" vertical="center" wrapText="1"/>
      <protection/>
    </xf>
    <xf numFmtId="0" fontId="34" fillId="0" borderId="13" xfId="54" applyFont="1" applyBorder="1" applyAlignment="1">
      <alignment horizontal="left" vertical="center" wrapText="1"/>
      <protection/>
    </xf>
    <xf numFmtId="0" fontId="34" fillId="0" borderId="0" xfId="0" applyFont="1" applyAlignment="1">
      <alignment wrapText="1"/>
    </xf>
    <xf numFmtId="179" fontId="35" fillId="0" borderId="26" xfId="0" applyNumberFormat="1" applyFont="1" applyBorder="1" applyAlignment="1">
      <alignment horizontal="center" vertical="center" wrapText="1"/>
    </xf>
    <xf numFmtId="49" fontId="41" fillId="34" borderId="25" xfId="54" applyNumberFormat="1" applyFont="1" applyFill="1" applyBorder="1" applyAlignment="1">
      <alignment horizontal="center" vertical="center" wrapText="1"/>
      <protection/>
    </xf>
    <xf numFmtId="0" fontId="41" fillId="34" borderId="13" xfId="0" applyFont="1" applyFill="1" applyBorder="1" applyAlignment="1">
      <alignment horizontal="left" vertical="center" wrapText="1"/>
    </xf>
    <xf numFmtId="179" fontId="35" fillId="34" borderId="26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181" fontId="35" fillId="33" borderId="26" xfId="0" applyNumberFormat="1" applyFont="1" applyFill="1" applyBorder="1" applyAlignment="1">
      <alignment horizontal="center" vertical="center" wrapText="1"/>
    </xf>
    <xf numFmtId="181" fontId="34" fillId="37" borderId="13" xfId="0" applyNumberFormat="1" applyFont="1" applyFill="1" applyBorder="1" applyAlignment="1">
      <alignment horizontal="center" vertical="center" wrapText="1"/>
    </xf>
    <xf numFmtId="181" fontId="42" fillId="5" borderId="13" xfId="54" applyNumberFormat="1" applyFont="1" applyFill="1" applyBorder="1" applyAlignment="1">
      <alignment horizontal="center" vertical="center" wrapText="1"/>
      <protection/>
    </xf>
    <xf numFmtId="0" fontId="47" fillId="34" borderId="27" xfId="54" applyFont="1" applyFill="1" applyBorder="1" applyAlignment="1">
      <alignment horizontal="center" vertical="center" wrapText="1"/>
      <protection/>
    </xf>
    <xf numFmtId="0" fontId="47" fillId="34" borderId="28" xfId="54" applyFont="1" applyFill="1" applyBorder="1" applyAlignment="1">
      <alignment horizontal="center" vertical="center" wrapText="1"/>
      <protection/>
    </xf>
    <xf numFmtId="181" fontId="35" fillId="34" borderId="28" xfId="54" applyNumberFormat="1" applyFont="1" applyFill="1" applyBorder="1" applyAlignment="1">
      <alignment horizontal="center" vertical="center" wrapText="1"/>
      <protection/>
    </xf>
    <xf numFmtId="181" fontId="35" fillId="34" borderId="28" xfId="0" applyNumberFormat="1" applyFont="1" applyFill="1" applyBorder="1" applyAlignment="1">
      <alignment horizontal="center" vertical="center" wrapText="1"/>
    </xf>
    <xf numFmtId="181" fontId="34" fillId="34" borderId="28" xfId="54" applyNumberFormat="1" applyFont="1" applyFill="1" applyBorder="1" applyAlignment="1">
      <alignment horizontal="center" vertical="center" wrapText="1"/>
      <protection/>
    </xf>
    <xf numFmtId="181" fontId="35" fillId="34" borderId="29" xfId="0" applyNumberFormat="1" applyFont="1" applyFill="1" applyBorder="1" applyAlignment="1">
      <alignment horizontal="center" vertical="center" wrapText="1"/>
    </xf>
    <xf numFmtId="182" fontId="70" fillId="33" borderId="0" xfId="54" applyNumberFormat="1" applyFont="1" applyFill="1" applyAlignment="1">
      <alignment horizontal="center" vertical="center" wrapText="1"/>
      <protection/>
    </xf>
    <xf numFmtId="181" fontId="32" fillId="0" borderId="0" xfId="54" applyNumberFormat="1" applyFont="1" applyAlignment="1">
      <alignment horizontal="center" vertical="center" wrapText="1"/>
      <protection/>
    </xf>
    <xf numFmtId="49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181" fontId="70" fillId="5" borderId="0" xfId="0" applyNumberFormat="1" applyFont="1" applyFill="1" applyAlignment="1">
      <alignment horizontal="center" vertical="center" wrapText="1"/>
    </xf>
    <xf numFmtId="178" fontId="73" fillId="0" borderId="0" xfId="0" applyNumberFormat="1" applyFont="1" applyAlignment="1">
      <alignment/>
    </xf>
    <xf numFmtId="181" fontId="31" fillId="5" borderId="0" xfId="0" applyNumberFormat="1" applyFont="1" applyFill="1" applyAlignment="1">
      <alignment horizontal="center" vertical="center" wrapText="1"/>
    </xf>
    <xf numFmtId="181" fontId="32" fillId="5" borderId="0" xfId="54" applyNumberFormat="1" applyFont="1" applyFill="1" applyAlignment="1">
      <alignment horizontal="center" vertical="center" wrapText="1"/>
      <protection/>
    </xf>
    <xf numFmtId="181" fontId="31" fillId="38" borderId="0" xfId="0" applyNumberFormat="1" applyFont="1" applyFill="1" applyAlignment="1">
      <alignment horizontal="center" vertical="center" wrapText="1"/>
    </xf>
    <xf numFmtId="181" fontId="32" fillId="38" borderId="0" xfId="0" applyNumberFormat="1" applyFont="1" applyFill="1" applyAlignment="1">
      <alignment horizontal="center" vertical="center" wrapText="1"/>
    </xf>
    <xf numFmtId="0" fontId="46" fillId="0" borderId="0" xfId="54" applyFont="1" applyAlignment="1">
      <alignment horizontal="right" vertical="center" wrapText="1"/>
      <protection/>
    </xf>
    <xf numFmtId="181" fontId="49" fillId="33" borderId="0" xfId="0" applyNumberFormat="1" applyFont="1" applyFill="1" applyAlignment="1">
      <alignment horizontal="center" vertical="center" wrapText="1"/>
    </xf>
    <xf numFmtId="181" fontId="49" fillId="0" borderId="0" xfId="0" applyNumberFormat="1" applyFont="1" applyAlignment="1">
      <alignment horizontal="center" vertical="center" wrapText="1"/>
    </xf>
    <xf numFmtId="181" fontId="49" fillId="33" borderId="12" xfId="54" applyNumberFormat="1" applyFont="1" applyFill="1" applyBorder="1" applyAlignment="1">
      <alignment horizontal="center" vertical="center" wrapText="1"/>
      <protection/>
    </xf>
    <xf numFmtId="181" fontId="49" fillId="0" borderId="0" xfId="54" applyNumberFormat="1" applyFont="1" applyAlignment="1">
      <alignment horizontal="left" vertical="center" wrapText="1"/>
      <protection/>
    </xf>
    <xf numFmtId="49" fontId="46" fillId="0" borderId="0" xfId="0" applyNumberFormat="1" applyFont="1" applyAlignment="1">
      <alignment horizontal="right" vertical="center" wrapText="1"/>
    </xf>
    <xf numFmtId="0" fontId="46" fillId="0" borderId="0" xfId="54" applyFont="1" applyAlignment="1">
      <alignment horizontal="left" vertical="center" wrapText="1"/>
      <protection/>
    </xf>
    <xf numFmtId="181" fontId="74" fillId="33" borderId="0" xfId="54" applyNumberFormat="1" applyFont="1" applyFill="1" applyAlignment="1">
      <alignment horizontal="center" vertical="center" wrapText="1"/>
      <protection/>
    </xf>
    <xf numFmtId="181" fontId="49" fillId="33" borderId="0" xfId="54" applyNumberFormat="1" applyFont="1" applyFill="1" applyAlignment="1">
      <alignment horizontal="center" vertical="center" wrapText="1"/>
      <protection/>
    </xf>
    <xf numFmtId="181" fontId="49" fillId="0" borderId="0" xfId="0" applyNumberFormat="1" applyFont="1" applyAlignment="1">
      <alignment horizontal="left" vertical="center" wrapText="1"/>
    </xf>
    <xf numFmtId="181" fontId="49" fillId="33" borderId="0" xfId="0" applyNumberFormat="1" applyFont="1" applyFill="1" applyAlignment="1">
      <alignment horizontal="left" vertical="center" wrapText="1"/>
    </xf>
    <xf numFmtId="181" fontId="49" fillId="33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181" fontId="74" fillId="33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9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4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5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P49" sqref="P49"/>
    </sheetView>
  </sheetViews>
  <sheetFormatPr defaultColWidth="9.125" defaultRowHeight="12.75" outlineLevelCol="1"/>
  <cols>
    <col min="1" max="1" width="21.375" style="1" customWidth="1"/>
    <col min="2" max="2" width="46.50390625" style="1" customWidth="1"/>
    <col min="3" max="3" width="11.125" style="1" customWidth="1"/>
    <col min="4" max="4" width="11.00390625" style="1" customWidth="1"/>
    <col min="5" max="5" width="11.375" style="1" customWidth="1"/>
    <col min="6" max="6" width="9.875" style="1" hidden="1" customWidth="1"/>
    <col min="7" max="7" width="12.00390625" style="1" hidden="1" customWidth="1"/>
    <col min="8" max="8" width="9.375" style="1" hidden="1" customWidth="1"/>
    <col min="9" max="9" width="12.625" style="1" hidden="1" customWidth="1" outlineLevel="1"/>
    <col min="10" max="10" width="11.00390625" style="1" customWidth="1" collapsed="1"/>
    <col min="11" max="11" width="8.50390625" style="1" customWidth="1"/>
    <col min="12" max="12" width="9.625" style="1" customWidth="1"/>
    <col min="13" max="13" width="9.50390625" style="1" customWidth="1"/>
    <col min="14" max="16384" width="9.125" style="1" customWidth="1"/>
  </cols>
  <sheetData>
    <row r="1" spans="1:13" ht="12.75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0" ht="9.75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4.25" customHeight="1">
      <c r="A3" s="39"/>
      <c r="B3" s="40"/>
      <c r="C3" s="40"/>
      <c r="D3" s="40"/>
      <c r="E3" s="40"/>
      <c r="F3" s="40"/>
      <c r="G3" s="40"/>
      <c r="H3" s="41"/>
      <c r="I3" s="41"/>
      <c r="J3" s="42" t="s">
        <v>54</v>
      </c>
    </row>
    <row r="4" spans="1:13" ht="12.75" customHeight="1">
      <c r="A4" s="43" t="s">
        <v>39</v>
      </c>
      <c r="B4" s="44"/>
      <c r="C4" s="78" t="s">
        <v>65</v>
      </c>
      <c r="D4" s="78" t="s">
        <v>66</v>
      </c>
      <c r="E4" s="78" t="s">
        <v>71</v>
      </c>
      <c r="F4" s="82" t="s">
        <v>55</v>
      </c>
      <c r="G4" s="82" t="s">
        <v>56</v>
      </c>
      <c r="H4" s="82" t="s">
        <v>57</v>
      </c>
      <c r="I4" s="82" t="s">
        <v>58</v>
      </c>
      <c r="J4" s="78" t="s">
        <v>74</v>
      </c>
      <c r="K4" s="78" t="s">
        <v>72</v>
      </c>
      <c r="L4" s="78" t="s">
        <v>67</v>
      </c>
      <c r="M4" s="78" t="s">
        <v>68</v>
      </c>
    </row>
    <row r="5" spans="1:13" ht="27.75" customHeight="1">
      <c r="A5" s="45" t="s">
        <v>44</v>
      </c>
      <c r="B5" s="46" t="s">
        <v>16</v>
      </c>
      <c r="C5" s="79"/>
      <c r="D5" s="79"/>
      <c r="E5" s="79"/>
      <c r="F5" s="83"/>
      <c r="G5" s="83"/>
      <c r="H5" s="83"/>
      <c r="I5" s="83"/>
      <c r="J5" s="79"/>
      <c r="K5" s="79"/>
      <c r="L5" s="79"/>
      <c r="M5" s="79"/>
    </row>
    <row r="6" spans="1:13" ht="39.75" customHeight="1">
      <c r="A6" s="45"/>
      <c r="B6" s="46"/>
      <c r="C6" s="80"/>
      <c r="D6" s="80"/>
      <c r="E6" s="80"/>
      <c r="F6" s="84"/>
      <c r="G6" s="84"/>
      <c r="H6" s="84"/>
      <c r="I6" s="84"/>
      <c r="J6" s="80"/>
      <c r="K6" s="80"/>
      <c r="L6" s="80"/>
      <c r="M6" s="80"/>
    </row>
    <row r="7" spans="1:13" ht="12.75">
      <c r="A7" s="75" t="s">
        <v>22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12.75">
      <c r="A8" s="68" t="s">
        <v>3</v>
      </c>
      <c r="B8" s="56" t="s">
        <v>53</v>
      </c>
      <c r="C8" s="52">
        <f aca="true" t="shared" si="0" ref="C8:I8">C9+C11+C12+C13+C15+C16+C18+C20+C14+C21+C17+C19+C10</f>
        <v>810292.5000000001</v>
      </c>
      <c r="D8" s="52">
        <f t="shared" si="0"/>
        <v>888612.1000000001</v>
      </c>
      <c r="E8" s="52">
        <f>E9+E11+E12+E13+E15+E16+E18+E20+E14+E21+E17+E19+E10</f>
        <v>714483.6</v>
      </c>
      <c r="F8" s="52">
        <f t="shared" si="0"/>
        <v>217180.60000000003</v>
      </c>
      <c r="G8" s="52">
        <f t="shared" si="0"/>
        <v>259159.8</v>
      </c>
      <c r="H8" s="52">
        <f t="shared" si="0"/>
        <v>238143.19999999998</v>
      </c>
      <c r="I8" s="52">
        <f t="shared" si="0"/>
        <v>174128.5</v>
      </c>
      <c r="J8" s="52">
        <f>J9+J11+J12+J13+J15+J16+J18+J20+J14+J21+J17+J19+J10+0.1</f>
        <v>745944.7999999999</v>
      </c>
      <c r="K8" s="52">
        <f aca="true" t="shared" si="1" ref="K8:K13">J8*100/E8</f>
        <v>104.40334809644337</v>
      </c>
      <c r="L8" s="21">
        <f aca="true" t="shared" si="2" ref="L8:L13">J8*100/D8</f>
        <v>83.94492940170406</v>
      </c>
      <c r="M8" s="21">
        <f aca="true" t="shared" si="3" ref="M8:M21">J8*100/C8</f>
        <v>92.05870719524121</v>
      </c>
    </row>
    <row r="9" spans="1:13" ht="12.75">
      <c r="A9" s="29" t="s">
        <v>63</v>
      </c>
      <c r="B9" s="47" t="s">
        <v>64</v>
      </c>
      <c r="C9" s="38">
        <v>602385.5</v>
      </c>
      <c r="D9" s="38">
        <f>F9+G9+H9+I9</f>
        <v>638586.1000000001</v>
      </c>
      <c r="E9" s="38">
        <f>F9+G9+H9</f>
        <v>518798.80000000005</v>
      </c>
      <c r="F9" s="38">
        <v>161804.3</v>
      </c>
      <c r="G9" s="38">
        <v>175408.6</v>
      </c>
      <c r="H9" s="18">
        <v>181585.9</v>
      </c>
      <c r="I9" s="57">
        <v>119787.3</v>
      </c>
      <c r="J9" s="57">
        <v>536150.3</v>
      </c>
      <c r="K9" s="18">
        <f t="shared" si="1"/>
        <v>103.34455284013765</v>
      </c>
      <c r="L9" s="57">
        <f t="shared" si="2"/>
        <v>83.95896810156061</v>
      </c>
      <c r="M9" s="71">
        <f t="shared" si="3"/>
        <v>89.00451621096458</v>
      </c>
    </row>
    <row r="10" spans="1:13" ht="25.5" customHeight="1">
      <c r="A10" s="29" t="s">
        <v>62</v>
      </c>
      <c r="B10" s="24" t="s">
        <v>61</v>
      </c>
      <c r="C10" s="51">
        <v>3868.9</v>
      </c>
      <c r="D10" s="51">
        <f aca="true" t="shared" si="4" ref="D10:D27">F10+G10+H10+I10</f>
        <v>4468.900000000001</v>
      </c>
      <c r="E10" s="38">
        <f aca="true" t="shared" si="5" ref="E10:E27">F10+G10+H10</f>
        <v>3481.6000000000004</v>
      </c>
      <c r="F10" s="51">
        <v>1080</v>
      </c>
      <c r="G10" s="51">
        <v>1187.8</v>
      </c>
      <c r="H10" s="15">
        <v>1213.8</v>
      </c>
      <c r="I10" s="16">
        <v>987.3</v>
      </c>
      <c r="J10" s="16">
        <v>3602.2</v>
      </c>
      <c r="K10" s="18">
        <f t="shared" si="1"/>
        <v>103.46392463235293</v>
      </c>
      <c r="L10" s="16">
        <f t="shared" si="2"/>
        <v>80.60596567387947</v>
      </c>
      <c r="M10" s="71">
        <f t="shared" si="3"/>
        <v>93.10656775827755</v>
      </c>
    </row>
    <row r="11" spans="1:13" ht="12.75">
      <c r="A11" s="29" t="s">
        <v>8</v>
      </c>
      <c r="B11" s="24" t="s">
        <v>5</v>
      </c>
      <c r="C11" s="51">
        <v>53331.5</v>
      </c>
      <c r="D11" s="51">
        <f t="shared" si="4"/>
        <v>68151.09999999999</v>
      </c>
      <c r="E11" s="38">
        <f t="shared" si="5"/>
        <v>60607.59999999999</v>
      </c>
      <c r="F11" s="51">
        <v>13473.2</v>
      </c>
      <c r="G11" s="51">
        <v>36469.7</v>
      </c>
      <c r="H11" s="15">
        <v>10664.7</v>
      </c>
      <c r="I11" s="16">
        <v>7543.5</v>
      </c>
      <c r="J11" s="16">
        <v>61020.5</v>
      </c>
      <c r="K11" s="18">
        <f t="shared" si="1"/>
        <v>100.68126769580054</v>
      </c>
      <c r="L11" s="16">
        <f t="shared" si="2"/>
        <v>89.53707276918496</v>
      </c>
      <c r="M11" s="71">
        <f t="shared" si="3"/>
        <v>114.41737059711427</v>
      </c>
    </row>
    <row r="12" spans="1:13" ht="12.75">
      <c r="A12" s="29" t="s">
        <v>9</v>
      </c>
      <c r="B12" s="24" t="s">
        <v>6</v>
      </c>
      <c r="C12" s="51">
        <v>8680</v>
      </c>
      <c r="D12" s="51">
        <f t="shared" si="4"/>
        <v>9980</v>
      </c>
      <c r="E12" s="38">
        <f t="shared" si="5"/>
        <v>5690.7</v>
      </c>
      <c r="F12" s="51">
        <v>2016.5</v>
      </c>
      <c r="G12" s="51">
        <v>1186.2</v>
      </c>
      <c r="H12" s="15">
        <v>2488</v>
      </c>
      <c r="I12" s="16">
        <v>4289.3</v>
      </c>
      <c r="J12" s="16">
        <v>6670.7</v>
      </c>
      <c r="K12" s="18">
        <f t="shared" si="1"/>
        <v>117.22108000773191</v>
      </c>
      <c r="L12" s="16">
        <f t="shared" si="2"/>
        <v>66.84068136272545</v>
      </c>
      <c r="M12" s="71">
        <f t="shared" si="3"/>
        <v>76.85138248847926</v>
      </c>
    </row>
    <row r="13" spans="1:13" ht="12.75">
      <c r="A13" s="29" t="s">
        <v>10</v>
      </c>
      <c r="B13" s="24" t="s">
        <v>21</v>
      </c>
      <c r="C13" s="51">
        <v>3802</v>
      </c>
      <c r="D13" s="51">
        <f t="shared" si="4"/>
        <v>4300</v>
      </c>
      <c r="E13" s="38">
        <f t="shared" si="5"/>
        <v>3669.5</v>
      </c>
      <c r="F13" s="51">
        <v>1169.4</v>
      </c>
      <c r="G13" s="51">
        <v>1272.5</v>
      </c>
      <c r="H13" s="15">
        <v>1227.6</v>
      </c>
      <c r="I13" s="16">
        <v>630.5</v>
      </c>
      <c r="J13" s="16">
        <v>3832</v>
      </c>
      <c r="K13" s="18">
        <f t="shared" si="1"/>
        <v>104.42839623926966</v>
      </c>
      <c r="L13" s="16">
        <f t="shared" si="2"/>
        <v>89.11627906976744</v>
      </c>
      <c r="M13" s="71">
        <f t="shared" si="3"/>
        <v>100.78905839032089</v>
      </c>
    </row>
    <row r="14" spans="1:13" ht="21.75" customHeight="1" hidden="1">
      <c r="A14" s="29" t="s">
        <v>35</v>
      </c>
      <c r="B14" s="24" t="s">
        <v>36</v>
      </c>
      <c r="C14" s="51"/>
      <c r="D14" s="51">
        <f t="shared" si="4"/>
        <v>0</v>
      </c>
      <c r="E14" s="38">
        <f t="shared" si="5"/>
        <v>0</v>
      </c>
      <c r="F14" s="51"/>
      <c r="G14" s="51"/>
      <c r="H14" s="15"/>
      <c r="I14" s="16"/>
      <c r="J14" s="16"/>
      <c r="K14" s="18"/>
      <c r="L14" s="16"/>
      <c r="M14" s="71" t="e">
        <f t="shared" si="3"/>
        <v>#DIV/0!</v>
      </c>
    </row>
    <row r="15" spans="1:13" ht="22.5">
      <c r="A15" s="33" t="s">
        <v>11</v>
      </c>
      <c r="B15" s="24" t="s">
        <v>17</v>
      </c>
      <c r="C15" s="51">
        <v>106610.9</v>
      </c>
      <c r="D15" s="51">
        <f t="shared" si="4"/>
        <v>118329.8</v>
      </c>
      <c r="E15" s="38">
        <f t="shared" si="5"/>
        <v>87017.1</v>
      </c>
      <c r="F15" s="51">
        <v>24377.7</v>
      </c>
      <c r="G15" s="51">
        <v>32516.6</v>
      </c>
      <c r="H15" s="15">
        <v>30122.8</v>
      </c>
      <c r="I15" s="16">
        <v>31312.7</v>
      </c>
      <c r="J15" s="16">
        <v>87167.5</v>
      </c>
      <c r="K15" s="18">
        <f aca="true" t="shared" si="6" ref="K15:K20">J15*100/E15</f>
        <v>100.17283959129871</v>
      </c>
      <c r="L15" s="16">
        <f aca="true" t="shared" si="7" ref="L15:L20">J15*100/D15</f>
        <v>73.66487562727225</v>
      </c>
      <c r="M15" s="71">
        <f t="shared" si="3"/>
        <v>81.76227759075292</v>
      </c>
    </row>
    <row r="16" spans="1:13" ht="12.75">
      <c r="A16" s="34" t="s">
        <v>14</v>
      </c>
      <c r="B16" s="24" t="s">
        <v>13</v>
      </c>
      <c r="C16" s="51">
        <v>18177.1</v>
      </c>
      <c r="D16" s="51">
        <f t="shared" si="4"/>
        <v>14022.2</v>
      </c>
      <c r="E16" s="38">
        <f t="shared" si="5"/>
        <v>10633</v>
      </c>
      <c r="F16" s="51">
        <v>4412.7</v>
      </c>
      <c r="G16" s="51">
        <v>2762.3</v>
      </c>
      <c r="H16" s="15">
        <v>3458</v>
      </c>
      <c r="I16" s="16">
        <v>3389.2</v>
      </c>
      <c r="J16" s="16">
        <v>11469.5</v>
      </c>
      <c r="K16" s="18">
        <f t="shared" si="6"/>
        <v>107.86701777485187</v>
      </c>
      <c r="L16" s="16">
        <f t="shared" si="7"/>
        <v>81.79529603058008</v>
      </c>
      <c r="M16" s="71">
        <f t="shared" si="3"/>
        <v>63.09862409295213</v>
      </c>
    </row>
    <row r="17" spans="1:13" ht="22.5">
      <c r="A17" s="35" t="s">
        <v>40</v>
      </c>
      <c r="B17" s="24" t="s">
        <v>41</v>
      </c>
      <c r="C17" s="51">
        <v>740.3</v>
      </c>
      <c r="D17" s="51">
        <f t="shared" si="4"/>
        <v>229.20000000000002</v>
      </c>
      <c r="E17" s="38">
        <f t="shared" si="5"/>
        <v>211.3</v>
      </c>
      <c r="F17" s="51">
        <v>1237.1</v>
      </c>
      <c r="G17" s="51">
        <v>-1138.1</v>
      </c>
      <c r="H17" s="15">
        <v>112.3</v>
      </c>
      <c r="I17" s="16">
        <v>17.9</v>
      </c>
      <c r="J17" s="16">
        <v>293.7</v>
      </c>
      <c r="K17" s="18">
        <f t="shared" si="6"/>
        <v>138.99668717463322</v>
      </c>
      <c r="L17" s="16">
        <f t="shared" si="7"/>
        <v>128.14136125654449</v>
      </c>
      <c r="M17" s="71">
        <f t="shared" si="3"/>
        <v>39.673105497771175</v>
      </c>
    </row>
    <row r="18" spans="1:13" ht="22.5">
      <c r="A18" s="35" t="s">
        <v>18</v>
      </c>
      <c r="B18" s="24" t="s">
        <v>15</v>
      </c>
      <c r="C18" s="51">
        <v>8611.5</v>
      </c>
      <c r="D18" s="51">
        <f t="shared" si="4"/>
        <v>21301.5</v>
      </c>
      <c r="E18" s="38">
        <f t="shared" si="5"/>
        <v>15486</v>
      </c>
      <c r="F18" s="51">
        <v>4404.7</v>
      </c>
      <c r="G18" s="51">
        <v>5341.7</v>
      </c>
      <c r="H18" s="15">
        <v>5739.6</v>
      </c>
      <c r="I18" s="16">
        <v>5815.5</v>
      </c>
      <c r="J18" s="16">
        <v>15795.6</v>
      </c>
      <c r="K18" s="18">
        <f t="shared" si="6"/>
        <v>101.99922510654785</v>
      </c>
      <c r="L18" s="16">
        <f t="shared" si="7"/>
        <v>74.15252447010774</v>
      </c>
      <c r="M18" s="71">
        <f t="shared" si="3"/>
        <v>183.42449050688035</v>
      </c>
    </row>
    <row r="19" spans="1:13" ht="12.75">
      <c r="A19" s="35" t="s">
        <v>46</v>
      </c>
      <c r="B19" s="24" t="s">
        <v>47</v>
      </c>
      <c r="C19" s="51">
        <v>11</v>
      </c>
      <c r="D19" s="51">
        <f t="shared" si="4"/>
        <v>45</v>
      </c>
      <c r="E19" s="38">
        <f t="shared" si="5"/>
        <v>45</v>
      </c>
      <c r="F19" s="51">
        <v>16</v>
      </c>
      <c r="G19" s="51">
        <v>28</v>
      </c>
      <c r="H19" s="15">
        <v>1</v>
      </c>
      <c r="I19" s="16"/>
      <c r="J19" s="16">
        <v>45</v>
      </c>
      <c r="K19" s="18">
        <f t="shared" si="6"/>
        <v>100</v>
      </c>
      <c r="L19" s="16">
        <f t="shared" si="7"/>
        <v>100</v>
      </c>
      <c r="M19" s="71">
        <f t="shared" si="3"/>
        <v>409.09090909090907</v>
      </c>
    </row>
    <row r="20" spans="1:13" ht="12.75">
      <c r="A20" s="31" t="s">
        <v>12</v>
      </c>
      <c r="B20" s="24" t="s">
        <v>7</v>
      </c>
      <c r="C20" s="51">
        <v>4028.8</v>
      </c>
      <c r="D20" s="51">
        <f t="shared" si="4"/>
        <v>9198.3</v>
      </c>
      <c r="E20" s="38">
        <f t="shared" si="5"/>
        <v>8843</v>
      </c>
      <c r="F20" s="51">
        <v>3189</v>
      </c>
      <c r="G20" s="51">
        <v>4124.5</v>
      </c>
      <c r="H20" s="15">
        <v>1529.5</v>
      </c>
      <c r="I20" s="16">
        <v>355.3</v>
      </c>
      <c r="J20" s="16">
        <v>19895.3</v>
      </c>
      <c r="K20" s="18">
        <f t="shared" si="6"/>
        <v>224.98360284971164</v>
      </c>
      <c r="L20" s="16">
        <f t="shared" si="7"/>
        <v>216.2932280964961</v>
      </c>
      <c r="M20" s="71">
        <f t="shared" si="3"/>
        <v>493.82694598888</v>
      </c>
    </row>
    <row r="21" spans="1:13" ht="12.75">
      <c r="A21" s="69" t="s">
        <v>37</v>
      </c>
      <c r="B21" s="14" t="s">
        <v>38</v>
      </c>
      <c r="C21" s="51">
        <v>45</v>
      </c>
      <c r="D21" s="51">
        <f t="shared" si="4"/>
        <v>0</v>
      </c>
      <c r="E21" s="38">
        <f t="shared" si="5"/>
        <v>0</v>
      </c>
      <c r="F21" s="51"/>
      <c r="G21" s="51"/>
      <c r="H21" s="15"/>
      <c r="I21" s="16"/>
      <c r="J21" s="16">
        <v>2.4</v>
      </c>
      <c r="K21" s="18"/>
      <c r="L21" s="16"/>
      <c r="M21" s="71">
        <f t="shared" si="3"/>
        <v>5.333333333333333</v>
      </c>
    </row>
    <row r="22" spans="1:13" ht="12.75">
      <c r="A22" s="30" t="s">
        <v>1</v>
      </c>
      <c r="B22" s="25" t="s">
        <v>0</v>
      </c>
      <c r="C22" s="26">
        <f>C23+C25+C27+C26+C24</f>
        <v>3698820.7</v>
      </c>
      <c r="D22" s="26">
        <f aca="true" t="shared" si="8" ref="D22:I22">D23+D25+D27+D26+D24</f>
        <v>3714593.9</v>
      </c>
      <c r="E22" s="26">
        <f t="shared" si="8"/>
        <v>2507650.1999999997</v>
      </c>
      <c r="F22" s="26">
        <f t="shared" si="8"/>
        <v>685804.7999999999</v>
      </c>
      <c r="G22" s="26">
        <f t="shared" si="8"/>
        <v>1038280.2999999999</v>
      </c>
      <c r="H22" s="26">
        <f t="shared" si="8"/>
        <v>783565.1000000001</v>
      </c>
      <c r="I22" s="26">
        <f t="shared" si="8"/>
        <v>1206943.7</v>
      </c>
      <c r="J22" s="26">
        <f>J23+J25+J27+J26+J24</f>
        <v>2595022.8000000003</v>
      </c>
      <c r="K22" s="23">
        <f aca="true" t="shared" si="9" ref="K22:K28">J22*100/E22</f>
        <v>103.48424194092145</v>
      </c>
      <c r="L22" s="21">
        <f aca="true" t="shared" si="10" ref="L22:L28">J22*100/D22</f>
        <v>69.86020194562857</v>
      </c>
      <c r="M22" s="72">
        <f>J22*100/C22</f>
        <v>70.15811282769127</v>
      </c>
    </row>
    <row r="23" spans="1:13" ht="22.5">
      <c r="A23" s="69" t="s">
        <v>52</v>
      </c>
      <c r="B23" s="27" t="s">
        <v>20</v>
      </c>
      <c r="C23" s="50">
        <v>3698820.7</v>
      </c>
      <c r="D23" s="51">
        <f t="shared" si="4"/>
        <v>3681353.5999999996</v>
      </c>
      <c r="E23" s="38">
        <f t="shared" si="5"/>
        <v>2476897.0999999996</v>
      </c>
      <c r="F23" s="51">
        <v>684883.6</v>
      </c>
      <c r="G23" s="51">
        <v>1032961.2</v>
      </c>
      <c r="H23" s="16">
        <v>759052.3</v>
      </c>
      <c r="I23" s="16">
        <v>1204456.5</v>
      </c>
      <c r="J23" s="16">
        <v>2567472.9</v>
      </c>
      <c r="K23" s="18">
        <f t="shared" si="9"/>
        <v>103.65682530776108</v>
      </c>
      <c r="L23" s="16">
        <f t="shared" si="10"/>
        <v>69.74263216660307</v>
      </c>
      <c r="M23" s="71">
        <f>J23*100/C23</f>
        <v>69.41328353656071</v>
      </c>
    </row>
    <row r="24" spans="1:13" ht="22.5">
      <c r="A24" s="69" t="s">
        <v>69</v>
      </c>
      <c r="B24" s="24" t="s">
        <v>70</v>
      </c>
      <c r="C24" s="50"/>
      <c r="D24" s="51">
        <f t="shared" si="4"/>
        <v>1300</v>
      </c>
      <c r="E24" s="38">
        <f t="shared" si="5"/>
        <v>1300</v>
      </c>
      <c r="F24" s="51"/>
      <c r="G24" s="51">
        <v>500</v>
      </c>
      <c r="H24" s="16">
        <v>800</v>
      </c>
      <c r="I24" s="16"/>
      <c r="J24" s="16">
        <v>1300</v>
      </c>
      <c r="K24" s="18">
        <f>J24*100/E24</f>
        <v>100</v>
      </c>
      <c r="L24" s="16">
        <f>J24*100/D24</f>
        <v>100</v>
      </c>
      <c r="M24" s="71"/>
    </row>
    <row r="25" spans="1:13" ht="18.75" customHeight="1">
      <c r="A25" s="69" t="s">
        <v>60</v>
      </c>
      <c r="B25" s="28" t="s">
        <v>19</v>
      </c>
      <c r="C25" s="54"/>
      <c r="D25" s="51">
        <f t="shared" si="4"/>
        <v>38319.1</v>
      </c>
      <c r="E25" s="38">
        <f t="shared" si="5"/>
        <v>35831.9</v>
      </c>
      <c r="F25" s="54">
        <v>7300</v>
      </c>
      <c r="G25" s="54">
        <v>4819.1</v>
      </c>
      <c r="H25" s="16">
        <v>23712.8</v>
      </c>
      <c r="I25" s="16">
        <v>2487.2</v>
      </c>
      <c r="J25" s="16">
        <v>32628.7</v>
      </c>
      <c r="K25" s="18">
        <f>J25*100/E25</f>
        <v>91.06047962848746</v>
      </c>
      <c r="L25" s="16">
        <f t="shared" si="10"/>
        <v>85.14996437807778</v>
      </c>
      <c r="M25" s="71"/>
    </row>
    <row r="26" spans="1:13" ht="40.5" customHeight="1" hidden="1">
      <c r="A26" s="69" t="s">
        <v>59</v>
      </c>
      <c r="B26" s="14" t="s">
        <v>50</v>
      </c>
      <c r="C26" s="51"/>
      <c r="D26" s="51">
        <f t="shared" si="4"/>
        <v>0</v>
      </c>
      <c r="E26" s="38">
        <f t="shared" si="5"/>
        <v>0</v>
      </c>
      <c r="F26" s="51"/>
      <c r="G26" s="51"/>
      <c r="H26" s="16"/>
      <c r="I26" s="16"/>
      <c r="J26" s="16"/>
      <c r="K26" s="18"/>
      <c r="L26" s="16"/>
      <c r="M26" s="71"/>
    </row>
    <row r="27" spans="1:13" ht="39" customHeight="1">
      <c r="A27" s="69" t="s">
        <v>51</v>
      </c>
      <c r="B27" s="17" t="s">
        <v>49</v>
      </c>
      <c r="C27" s="58"/>
      <c r="D27" s="51">
        <f t="shared" si="4"/>
        <v>-6378.8</v>
      </c>
      <c r="E27" s="38">
        <f t="shared" si="5"/>
        <v>-6378.8</v>
      </c>
      <c r="F27" s="58">
        <v>-6378.8</v>
      </c>
      <c r="G27" s="58"/>
      <c r="H27" s="16"/>
      <c r="I27" s="16"/>
      <c r="J27" s="16">
        <v>-6378.8</v>
      </c>
      <c r="K27" s="18">
        <f>J27*100/E27</f>
        <v>100</v>
      </c>
      <c r="L27" s="16">
        <f t="shared" si="10"/>
        <v>100</v>
      </c>
      <c r="M27" s="71"/>
    </row>
    <row r="28" spans="1:13" ht="12.75">
      <c r="A28" s="31"/>
      <c r="B28" s="20" t="s">
        <v>4</v>
      </c>
      <c r="C28" s="21">
        <f aca="true" t="shared" si="11" ref="C28:I28">C22+C8</f>
        <v>4509113.2</v>
      </c>
      <c r="D28" s="21">
        <f t="shared" si="11"/>
        <v>4603206</v>
      </c>
      <c r="E28" s="21">
        <f t="shared" si="11"/>
        <v>3222133.8</v>
      </c>
      <c r="F28" s="21">
        <f t="shared" si="11"/>
        <v>902985.3999999999</v>
      </c>
      <c r="G28" s="21">
        <f t="shared" si="11"/>
        <v>1297440.0999999999</v>
      </c>
      <c r="H28" s="21">
        <f t="shared" si="11"/>
        <v>1021708.3</v>
      </c>
      <c r="I28" s="21">
        <f t="shared" si="11"/>
        <v>1381072.2</v>
      </c>
      <c r="J28" s="21">
        <f>J22+J8</f>
        <v>3340967.6</v>
      </c>
      <c r="K28" s="23">
        <f t="shared" si="9"/>
        <v>103.68804672233041</v>
      </c>
      <c r="L28" s="21">
        <f t="shared" si="10"/>
        <v>72.57914592568744</v>
      </c>
      <c r="M28" s="72">
        <f>J28*100/C28</f>
        <v>74.09367323047023</v>
      </c>
    </row>
    <row r="29" spans="1:13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23"/>
      <c r="L29" s="21"/>
      <c r="M29" s="71"/>
    </row>
    <row r="30" spans="1:13" ht="12.75">
      <c r="A30" s="75" t="s">
        <v>23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30" t="s">
        <v>3</v>
      </c>
      <c r="B31" s="22" t="s">
        <v>53</v>
      </c>
      <c r="C31" s="23">
        <f aca="true" t="shared" si="12" ref="C31:I31">C32+C34+C36+C38+C35+C37+C40+C33</f>
        <v>19719.7</v>
      </c>
      <c r="D31" s="23">
        <f t="shared" si="12"/>
        <v>21195.6</v>
      </c>
      <c r="E31" s="23">
        <f t="shared" si="12"/>
        <v>15986.000000000002</v>
      </c>
      <c r="F31" s="23">
        <f t="shared" si="12"/>
        <v>4576.9</v>
      </c>
      <c r="G31" s="23">
        <f t="shared" si="12"/>
        <v>6883.7</v>
      </c>
      <c r="H31" s="23">
        <f t="shared" si="12"/>
        <v>4525.400000000001</v>
      </c>
      <c r="I31" s="23">
        <f t="shared" si="12"/>
        <v>5209.6</v>
      </c>
      <c r="J31" s="23">
        <f>J32+J34+J36+J38+J35+J37+J40+J33+J39</f>
        <v>17371.600000000002</v>
      </c>
      <c r="K31" s="23">
        <f aca="true" t="shared" si="13" ref="K31:K37">J31*100/E31</f>
        <v>108.6675841361191</v>
      </c>
      <c r="L31" s="21">
        <f aca="true" t="shared" si="14" ref="L31:L36">J31*100/D31</f>
        <v>81.95851969276644</v>
      </c>
      <c r="M31" s="72">
        <f aca="true" t="shared" si="15" ref="M31:M37">J31*100/C31</f>
        <v>88.09261804185662</v>
      </c>
    </row>
    <row r="32" spans="1:14" ht="12.75">
      <c r="A32" s="29" t="s">
        <v>63</v>
      </c>
      <c r="B32" s="47" t="s">
        <v>64</v>
      </c>
      <c r="C32" s="38">
        <v>16000</v>
      </c>
      <c r="D32" s="51">
        <f aca="true" t="shared" si="16" ref="D32:D40">F32+G32+H32+I32</f>
        <v>16900</v>
      </c>
      <c r="E32" s="38">
        <f aca="true" t="shared" si="17" ref="E32:E42">F32+G32+H32</f>
        <v>13343.1</v>
      </c>
      <c r="F32" s="38">
        <v>3704.1</v>
      </c>
      <c r="G32" s="38">
        <v>5881.4</v>
      </c>
      <c r="H32" s="15">
        <v>3757.6</v>
      </c>
      <c r="I32" s="16">
        <v>3556.9</v>
      </c>
      <c r="J32" s="57">
        <v>14133.1</v>
      </c>
      <c r="K32" s="18">
        <f t="shared" si="13"/>
        <v>105.92066311426879</v>
      </c>
      <c r="L32" s="16">
        <f t="shared" si="14"/>
        <v>83.62781065088757</v>
      </c>
      <c r="M32" s="71">
        <f t="shared" si="15"/>
        <v>88.331875</v>
      </c>
      <c r="N32" s="2"/>
    </row>
    <row r="33" spans="1:13" ht="25.5" customHeight="1">
      <c r="A33" s="29" t="s">
        <v>62</v>
      </c>
      <c r="B33" s="24" t="s">
        <v>61</v>
      </c>
      <c r="C33" s="51">
        <v>1802.4</v>
      </c>
      <c r="D33" s="51">
        <f t="shared" si="16"/>
        <v>2050.7999999999997</v>
      </c>
      <c r="E33" s="38">
        <f t="shared" si="17"/>
        <v>1599.6</v>
      </c>
      <c r="F33" s="38">
        <v>598.7</v>
      </c>
      <c r="G33" s="38">
        <v>550.3</v>
      </c>
      <c r="H33" s="15">
        <v>450.6</v>
      </c>
      <c r="I33" s="16">
        <v>451.2</v>
      </c>
      <c r="J33" s="57">
        <v>1678.2</v>
      </c>
      <c r="K33" s="18">
        <f t="shared" si="13"/>
        <v>104.91372843210803</v>
      </c>
      <c r="L33" s="16">
        <f t="shared" si="14"/>
        <v>81.83148039789351</v>
      </c>
      <c r="M33" s="71">
        <f t="shared" si="15"/>
        <v>93.1091877496671</v>
      </c>
    </row>
    <row r="34" spans="1:13" ht="12.75">
      <c r="A34" s="29" t="s">
        <v>9</v>
      </c>
      <c r="B34" s="24" t="s">
        <v>6</v>
      </c>
      <c r="C34" s="51">
        <v>1250</v>
      </c>
      <c r="D34" s="51">
        <f t="shared" si="16"/>
        <v>1250</v>
      </c>
      <c r="E34" s="38">
        <f t="shared" si="17"/>
        <v>334.6</v>
      </c>
      <c r="F34" s="51">
        <v>66.2</v>
      </c>
      <c r="G34" s="51">
        <v>38.6</v>
      </c>
      <c r="H34" s="15">
        <v>229.8</v>
      </c>
      <c r="I34" s="16">
        <v>915.4</v>
      </c>
      <c r="J34" s="16">
        <v>386.9</v>
      </c>
      <c r="K34" s="18">
        <f t="shared" si="13"/>
        <v>115.63060370591751</v>
      </c>
      <c r="L34" s="16">
        <f t="shared" si="14"/>
        <v>30.952</v>
      </c>
      <c r="M34" s="71">
        <f t="shared" si="15"/>
        <v>30.952</v>
      </c>
    </row>
    <row r="35" spans="1:13" ht="12.75">
      <c r="A35" s="29" t="s">
        <v>10</v>
      </c>
      <c r="B35" s="24" t="s">
        <v>21</v>
      </c>
      <c r="C35" s="51">
        <v>12.3</v>
      </c>
      <c r="D35" s="51">
        <f t="shared" si="16"/>
        <v>12.3</v>
      </c>
      <c r="E35" s="38">
        <f t="shared" si="17"/>
        <v>9</v>
      </c>
      <c r="F35" s="51">
        <v>3</v>
      </c>
      <c r="G35" s="51">
        <v>3</v>
      </c>
      <c r="H35" s="15">
        <v>3</v>
      </c>
      <c r="I35" s="16">
        <v>3.3</v>
      </c>
      <c r="J35" s="16">
        <v>3.2</v>
      </c>
      <c r="K35" s="18">
        <f t="shared" si="13"/>
        <v>35.55555555555556</v>
      </c>
      <c r="L35" s="16">
        <f t="shared" si="14"/>
        <v>26.016260162601625</v>
      </c>
      <c r="M35" s="71">
        <f t="shared" si="15"/>
        <v>26.016260162601625</v>
      </c>
    </row>
    <row r="36" spans="1:13" ht="22.5">
      <c r="A36" s="33" t="s">
        <v>11</v>
      </c>
      <c r="B36" s="24" t="s">
        <v>17</v>
      </c>
      <c r="C36" s="51">
        <v>505</v>
      </c>
      <c r="D36" s="51">
        <f t="shared" si="16"/>
        <v>505</v>
      </c>
      <c r="E36" s="38">
        <f t="shared" si="17"/>
        <v>297.5</v>
      </c>
      <c r="F36" s="51">
        <v>122.5</v>
      </c>
      <c r="G36" s="51">
        <v>115.5</v>
      </c>
      <c r="H36" s="15">
        <v>59.5</v>
      </c>
      <c r="I36" s="16">
        <v>207.5</v>
      </c>
      <c r="J36" s="16">
        <v>691.6</v>
      </c>
      <c r="K36" s="18">
        <f t="shared" si="13"/>
        <v>232.47058823529412</v>
      </c>
      <c r="L36" s="16">
        <f t="shared" si="14"/>
        <v>136.95049504950495</v>
      </c>
      <c r="M36" s="71">
        <f t="shared" si="15"/>
        <v>136.95049504950495</v>
      </c>
    </row>
    <row r="37" spans="1:13" ht="24" customHeight="1">
      <c r="A37" s="35" t="s">
        <v>40</v>
      </c>
      <c r="B37" s="24" t="s">
        <v>41</v>
      </c>
      <c r="C37" s="51">
        <v>50</v>
      </c>
      <c r="D37" s="51">
        <f t="shared" si="16"/>
        <v>107.5</v>
      </c>
      <c r="E37" s="38">
        <f t="shared" si="17"/>
        <v>57.5</v>
      </c>
      <c r="F37" s="51">
        <v>57.5</v>
      </c>
      <c r="G37" s="51"/>
      <c r="H37" s="15"/>
      <c r="I37" s="16">
        <v>50</v>
      </c>
      <c r="J37" s="16">
        <v>108.4</v>
      </c>
      <c r="K37" s="18">
        <f t="shared" si="13"/>
        <v>188.52173913043478</v>
      </c>
      <c r="L37" s="16">
        <f>J37*100/D37</f>
        <v>100.83720930232558</v>
      </c>
      <c r="M37" s="71">
        <f t="shared" si="15"/>
        <v>216.8</v>
      </c>
    </row>
    <row r="38" spans="1:13" ht="13.5" customHeight="1">
      <c r="A38" s="34" t="s">
        <v>18</v>
      </c>
      <c r="B38" s="24" t="s">
        <v>15</v>
      </c>
      <c r="C38" s="51">
        <v>100</v>
      </c>
      <c r="D38" s="51">
        <f t="shared" si="16"/>
        <v>99.99999999999999</v>
      </c>
      <c r="E38" s="38">
        <f t="shared" si="17"/>
        <v>74.69999999999999</v>
      </c>
      <c r="F38" s="51">
        <v>24.9</v>
      </c>
      <c r="G38" s="51">
        <v>24.9</v>
      </c>
      <c r="H38" s="15">
        <v>24.9</v>
      </c>
      <c r="I38" s="16">
        <v>25.3</v>
      </c>
      <c r="J38" s="16">
        <v>100</v>
      </c>
      <c r="K38" s="18">
        <f>J38*100/E38</f>
        <v>133.86880856760376</v>
      </c>
      <c r="L38" s="16">
        <f>J38*100/D38</f>
        <v>100.00000000000001</v>
      </c>
      <c r="M38" s="71">
        <f>J38*100/C38</f>
        <v>100</v>
      </c>
    </row>
    <row r="39" spans="1:13" ht="14.25" customHeight="1" hidden="1">
      <c r="A39" s="31" t="s">
        <v>12</v>
      </c>
      <c r="B39" s="24" t="s">
        <v>7</v>
      </c>
      <c r="C39" s="59"/>
      <c r="D39" s="51">
        <f t="shared" si="16"/>
        <v>0</v>
      </c>
      <c r="E39" s="38">
        <f t="shared" si="17"/>
        <v>0</v>
      </c>
      <c r="F39" s="51"/>
      <c r="G39" s="51"/>
      <c r="H39" s="15"/>
      <c r="I39" s="16"/>
      <c r="J39" s="16"/>
      <c r="K39" s="18"/>
      <c r="L39" s="16"/>
      <c r="M39" s="71"/>
    </row>
    <row r="40" spans="1:13" ht="15.75" customHeight="1">
      <c r="A40" s="69" t="s">
        <v>37</v>
      </c>
      <c r="B40" s="14" t="s">
        <v>38</v>
      </c>
      <c r="C40" s="51">
        <v>0</v>
      </c>
      <c r="D40" s="51">
        <f t="shared" si="16"/>
        <v>270</v>
      </c>
      <c r="E40" s="38">
        <f t="shared" si="17"/>
        <v>270</v>
      </c>
      <c r="F40" s="51"/>
      <c r="G40" s="51">
        <v>270</v>
      </c>
      <c r="H40" s="15"/>
      <c r="I40" s="16"/>
      <c r="J40" s="16">
        <v>270.2</v>
      </c>
      <c r="K40" s="23"/>
      <c r="L40" s="21"/>
      <c r="M40" s="71"/>
    </row>
    <row r="41" spans="1:13" ht="12.75">
      <c r="A41" s="30" t="s">
        <v>1</v>
      </c>
      <c r="B41" s="25" t="s">
        <v>0</v>
      </c>
      <c r="C41" s="26">
        <f aca="true" t="shared" si="18" ref="C41:I41">C42+C43</f>
        <v>6852.5</v>
      </c>
      <c r="D41" s="26">
        <f t="shared" si="18"/>
        <v>18037.7</v>
      </c>
      <c r="E41" s="26">
        <f t="shared" si="18"/>
        <v>16323.9</v>
      </c>
      <c r="F41" s="26">
        <f t="shared" si="18"/>
        <v>1912.8</v>
      </c>
      <c r="G41" s="26">
        <f t="shared" si="18"/>
        <v>12064.2</v>
      </c>
      <c r="H41" s="26">
        <f t="shared" si="18"/>
        <v>2346.9</v>
      </c>
      <c r="I41" s="26">
        <f t="shared" si="18"/>
        <v>1713.8</v>
      </c>
      <c r="J41" s="26">
        <f>J42+J43</f>
        <v>6736.4</v>
      </c>
      <c r="K41" s="23">
        <f>J41*100/E41</f>
        <v>41.26709916135238</v>
      </c>
      <c r="L41" s="21">
        <f>J41*100/D41</f>
        <v>37.3462248512837</v>
      </c>
      <c r="M41" s="72">
        <f>J41*100/C41</f>
        <v>98.305727836556</v>
      </c>
    </row>
    <row r="42" spans="1:13" ht="23.25" customHeight="1">
      <c r="A42" s="69" t="s">
        <v>52</v>
      </c>
      <c r="B42" s="27" t="s">
        <v>20</v>
      </c>
      <c r="C42" s="50">
        <v>6852.5</v>
      </c>
      <c r="D42" s="51">
        <f>F42+G42+H42+I42</f>
        <v>18037.7</v>
      </c>
      <c r="E42" s="38">
        <f t="shared" si="17"/>
        <v>16323.9</v>
      </c>
      <c r="F42" s="50">
        <v>1912.8</v>
      </c>
      <c r="G42" s="50">
        <v>12064.2</v>
      </c>
      <c r="H42" s="15">
        <v>2346.9</v>
      </c>
      <c r="I42" s="50">
        <v>1713.8</v>
      </c>
      <c r="J42" s="16">
        <v>6736.4</v>
      </c>
      <c r="K42" s="18">
        <f>J42*100/E42</f>
        <v>41.26709916135238</v>
      </c>
      <c r="L42" s="16">
        <f>J42*100/D42</f>
        <v>37.3462248512837</v>
      </c>
      <c r="M42" s="71">
        <f>J42*100/C42</f>
        <v>98.305727836556</v>
      </c>
    </row>
    <row r="43" spans="1:13" ht="28.5" customHeight="1" hidden="1">
      <c r="A43" s="13" t="s">
        <v>51</v>
      </c>
      <c r="B43" s="17" t="s">
        <v>49</v>
      </c>
      <c r="C43" s="58"/>
      <c r="D43" s="51">
        <f>F43+G43+H43+I43</f>
        <v>0</v>
      </c>
      <c r="E43" s="38">
        <f>F43</f>
        <v>0</v>
      </c>
      <c r="F43" s="50"/>
      <c r="G43" s="50"/>
      <c r="H43" s="15"/>
      <c r="I43" s="50"/>
      <c r="J43" s="16"/>
      <c r="K43" s="18"/>
      <c r="L43" s="16"/>
      <c r="M43" s="71"/>
    </row>
    <row r="44" spans="1:13" ht="12.75">
      <c r="A44" s="19"/>
      <c r="B44" s="20" t="s">
        <v>4</v>
      </c>
      <c r="C44" s="21">
        <f aca="true" t="shared" si="19" ref="C44:I44">C41+C31</f>
        <v>26572.2</v>
      </c>
      <c r="D44" s="21">
        <f t="shared" si="19"/>
        <v>39233.3</v>
      </c>
      <c r="E44" s="21">
        <f t="shared" si="19"/>
        <v>32309.9</v>
      </c>
      <c r="F44" s="21">
        <f t="shared" si="19"/>
        <v>6489.7</v>
      </c>
      <c r="G44" s="21">
        <f t="shared" si="19"/>
        <v>18947.9</v>
      </c>
      <c r="H44" s="21">
        <f t="shared" si="19"/>
        <v>6872.300000000001</v>
      </c>
      <c r="I44" s="21">
        <f t="shared" si="19"/>
        <v>6923.400000000001</v>
      </c>
      <c r="J44" s="21">
        <f>J41+J31</f>
        <v>24108</v>
      </c>
      <c r="K44" s="23">
        <f>J44*100/E44</f>
        <v>74.61490131507679</v>
      </c>
      <c r="L44" s="21">
        <f>J44*100/D44</f>
        <v>61.44780072030647</v>
      </c>
      <c r="M44" s="72">
        <f>J44*100/C44</f>
        <v>90.7263982658568</v>
      </c>
    </row>
    <row r="45" spans="1:13" ht="12.75">
      <c r="A45" s="48"/>
      <c r="B45" s="87"/>
      <c r="C45" s="87"/>
      <c r="D45" s="87"/>
      <c r="E45" s="87"/>
      <c r="F45" s="87"/>
      <c r="G45" s="87"/>
      <c r="H45" s="87"/>
      <c r="I45" s="87"/>
      <c r="J45" s="87"/>
      <c r="K45" s="23"/>
      <c r="L45" s="21"/>
      <c r="M45" s="71"/>
    </row>
    <row r="46" spans="1:13" ht="12.75">
      <c r="A46" s="75" t="s">
        <v>24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30" t="s">
        <v>3</v>
      </c>
      <c r="B47" s="22" t="s">
        <v>53</v>
      </c>
      <c r="C47" s="23">
        <f aca="true" t="shared" si="20" ref="C47:I47">C48+C51+C53+C55+C56+C57+C52+C50+C49+C54</f>
        <v>22750.7</v>
      </c>
      <c r="D47" s="23">
        <f t="shared" si="20"/>
        <v>23698.6</v>
      </c>
      <c r="E47" s="23">
        <f t="shared" si="20"/>
        <v>16823.399999999998</v>
      </c>
      <c r="F47" s="23">
        <f t="shared" si="20"/>
        <v>5616</v>
      </c>
      <c r="G47" s="23">
        <f t="shared" si="20"/>
        <v>6159.299999999999</v>
      </c>
      <c r="H47" s="23">
        <f t="shared" si="20"/>
        <v>5048.1</v>
      </c>
      <c r="I47" s="23">
        <f t="shared" si="20"/>
        <v>6875.2</v>
      </c>
      <c r="J47" s="23">
        <f>J48+J51+J53+J55+J56+J57+J52+J50+J49+J54</f>
        <v>17636.699999999997</v>
      </c>
      <c r="K47" s="23">
        <f>J47*100/E47</f>
        <v>104.83433788651521</v>
      </c>
      <c r="L47" s="21">
        <f>J47*100/D47</f>
        <v>74.4208518646671</v>
      </c>
      <c r="M47" s="72">
        <f aca="true" t="shared" si="21" ref="M47:M53">J47*100/C47</f>
        <v>77.52157076485557</v>
      </c>
    </row>
    <row r="48" spans="1:14" ht="13.5" customHeight="1">
      <c r="A48" s="29" t="s">
        <v>63</v>
      </c>
      <c r="B48" s="47" t="s">
        <v>64</v>
      </c>
      <c r="C48" s="38">
        <v>14200</v>
      </c>
      <c r="D48" s="51">
        <f aca="true" t="shared" si="22" ref="D48:D61">F48+G48+H48+I48</f>
        <v>14200</v>
      </c>
      <c r="E48" s="38">
        <f aca="true" t="shared" si="23" ref="E48:E59">F48+G48+H48</f>
        <v>10494</v>
      </c>
      <c r="F48" s="51">
        <v>3128</v>
      </c>
      <c r="G48" s="51">
        <v>3932</v>
      </c>
      <c r="H48" s="15">
        <v>3434</v>
      </c>
      <c r="I48" s="16">
        <v>3706</v>
      </c>
      <c r="J48" s="57">
        <v>10754.2</v>
      </c>
      <c r="K48" s="18">
        <f>J48*100/E48</f>
        <v>102.4795121021536</v>
      </c>
      <c r="L48" s="16">
        <f>J48*100/D48</f>
        <v>75.7338028169014</v>
      </c>
      <c r="M48" s="71">
        <f t="shared" si="21"/>
        <v>75.7338028169014</v>
      </c>
      <c r="N48" s="2"/>
    </row>
    <row r="49" spans="1:13" ht="25.5" customHeight="1">
      <c r="A49" s="29" t="s">
        <v>62</v>
      </c>
      <c r="B49" s="24" t="s">
        <v>61</v>
      </c>
      <c r="C49" s="51">
        <v>4245.2</v>
      </c>
      <c r="D49" s="51">
        <f t="shared" si="22"/>
        <v>4594.9</v>
      </c>
      <c r="E49" s="38">
        <f t="shared" si="23"/>
        <v>3531.8999999999996</v>
      </c>
      <c r="F49" s="51">
        <v>1409.6</v>
      </c>
      <c r="G49" s="51">
        <v>1061.1</v>
      </c>
      <c r="H49" s="15">
        <v>1061.2</v>
      </c>
      <c r="I49" s="16">
        <v>1063</v>
      </c>
      <c r="J49" s="57">
        <v>3952.6</v>
      </c>
      <c r="K49" s="18">
        <f>J49*100/E49</f>
        <v>111.91143577111471</v>
      </c>
      <c r="L49" s="16">
        <f>J49*100/D49</f>
        <v>86.021458573636</v>
      </c>
      <c r="M49" s="71">
        <f t="shared" si="21"/>
        <v>93.10750965796665</v>
      </c>
    </row>
    <row r="50" spans="1:13" ht="12.75">
      <c r="A50" s="29" t="s">
        <v>8</v>
      </c>
      <c r="B50" s="24" t="s">
        <v>5</v>
      </c>
      <c r="C50" s="51">
        <v>19</v>
      </c>
      <c r="D50" s="51">
        <f t="shared" si="22"/>
        <v>19</v>
      </c>
      <c r="E50" s="38">
        <f t="shared" si="23"/>
        <v>19</v>
      </c>
      <c r="F50" s="51">
        <v>2</v>
      </c>
      <c r="G50" s="51">
        <v>15</v>
      </c>
      <c r="H50" s="15">
        <v>2</v>
      </c>
      <c r="I50" s="16"/>
      <c r="J50" s="57">
        <v>23.9</v>
      </c>
      <c r="K50" s="18">
        <f>J50*100/E50</f>
        <v>125.78947368421052</v>
      </c>
      <c r="L50" s="16">
        <f>J50*100/D50</f>
        <v>125.78947368421052</v>
      </c>
      <c r="M50" s="71">
        <f t="shared" si="21"/>
        <v>125.78947368421052</v>
      </c>
    </row>
    <row r="51" spans="1:13" ht="13.5" customHeight="1">
      <c r="A51" s="29" t="s">
        <v>9</v>
      </c>
      <c r="B51" s="24" t="s">
        <v>6</v>
      </c>
      <c r="C51" s="51">
        <v>3510</v>
      </c>
      <c r="D51" s="51">
        <f t="shared" si="22"/>
        <v>3510</v>
      </c>
      <c r="E51" s="38">
        <f t="shared" si="23"/>
        <v>1614.5</v>
      </c>
      <c r="F51" s="51">
        <v>903</v>
      </c>
      <c r="G51" s="51">
        <v>349</v>
      </c>
      <c r="H51" s="15">
        <v>362.5</v>
      </c>
      <c r="I51" s="16">
        <v>1895.5</v>
      </c>
      <c r="J51" s="16">
        <v>1713.3</v>
      </c>
      <c r="K51" s="18">
        <f>J51*100/E51</f>
        <v>106.11954165376278</v>
      </c>
      <c r="L51" s="16">
        <f>J51*100/D51</f>
        <v>48.81196581196581</v>
      </c>
      <c r="M51" s="71">
        <f t="shared" si="21"/>
        <v>48.81196581196581</v>
      </c>
    </row>
    <row r="52" spans="1:13" ht="20.25" customHeight="1" hidden="1">
      <c r="A52" s="29" t="s">
        <v>10</v>
      </c>
      <c r="B52" s="24" t="s">
        <v>21</v>
      </c>
      <c r="C52" s="51"/>
      <c r="D52" s="51">
        <f t="shared" si="22"/>
        <v>0</v>
      </c>
      <c r="E52" s="38">
        <f t="shared" si="23"/>
        <v>0</v>
      </c>
      <c r="F52" s="51"/>
      <c r="G52" s="51"/>
      <c r="H52" s="15"/>
      <c r="I52" s="16"/>
      <c r="J52" s="16"/>
      <c r="K52" s="18"/>
      <c r="L52" s="16"/>
      <c r="M52" s="71" t="e">
        <f t="shared" si="21"/>
        <v>#DIV/0!</v>
      </c>
    </row>
    <row r="53" spans="1:13" ht="22.5">
      <c r="A53" s="33" t="s">
        <v>11</v>
      </c>
      <c r="B53" s="24" t="s">
        <v>17</v>
      </c>
      <c r="C53" s="51">
        <v>626.5</v>
      </c>
      <c r="D53" s="51">
        <f t="shared" si="22"/>
        <v>847.5</v>
      </c>
      <c r="E53" s="38">
        <f t="shared" si="23"/>
        <v>674.3</v>
      </c>
      <c r="F53" s="51">
        <v>133</v>
      </c>
      <c r="G53" s="51">
        <v>390.4</v>
      </c>
      <c r="H53" s="15">
        <v>150.9</v>
      </c>
      <c r="I53" s="16">
        <v>173.2</v>
      </c>
      <c r="J53" s="16">
        <v>769.8</v>
      </c>
      <c r="K53" s="18">
        <f aca="true" t="shared" si="24" ref="K53:K60">J53*100/E53</f>
        <v>114.1628355331455</v>
      </c>
      <c r="L53" s="16">
        <f aca="true" t="shared" si="25" ref="L53:L60">J53*100/D53</f>
        <v>90.83185840707965</v>
      </c>
      <c r="M53" s="71">
        <f t="shared" si="21"/>
        <v>122.8731045490822</v>
      </c>
    </row>
    <row r="54" spans="1:13" ht="25.5" customHeight="1">
      <c r="A54" s="35" t="s">
        <v>40</v>
      </c>
      <c r="B54" s="24" t="s">
        <v>41</v>
      </c>
      <c r="C54" s="51">
        <v>0</v>
      </c>
      <c r="D54" s="51">
        <f t="shared" si="22"/>
        <v>0</v>
      </c>
      <c r="E54" s="38">
        <f t="shared" si="23"/>
        <v>0</v>
      </c>
      <c r="F54" s="51"/>
      <c r="G54" s="51"/>
      <c r="H54" s="15"/>
      <c r="I54" s="16"/>
      <c r="J54" s="16"/>
      <c r="K54" s="18"/>
      <c r="L54" s="16"/>
      <c r="M54" s="71"/>
    </row>
    <row r="55" spans="1:13" ht="22.5">
      <c r="A55" s="35" t="s">
        <v>18</v>
      </c>
      <c r="B55" s="24" t="s">
        <v>15</v>
      </c>
      <c r="C55" s="51">
        <v>150</v>
      </c>
      <c r="D55" s="51">
        <f t="shared" si="22"/>
        <v>150</v>
      </c>
      <c r="E55" s="38">
        <f t="shared" si="23"/>
        <v>112.5</v>
      </c>
      <c r="F55" s="51">
        <v>37.5</v>
      </c>
      <c r="G55" s="51">
        <v>37.5</v>
      </c>
      <c r="H55" s="15">
        <v>37.5</v>
      </c>
      <c r="I55" s="16">
        <v>37.5</v>
      </c>
      <c r="J55" s="16">
        <v>42.4</v>
      </c>
      <c r="K55" s="18">
        <f t="shared" si="24"/>
        <v>37.68888888888889</v>
      </c>
      <c r="L55" s="16">
        <f t="shared" si="25"/>
        <v>28.266666666666666</v>
      </c>
      <c r="M55" s="71">
        <f>J55*100/C55</f>
        <v>28.266666666666666</v>
      </c>
    </row>
    <row r="56" spans="1:13" ht="21" customHeight="1">
      <c r="A56" s="31" t="s">
        <v>12</v>
      </c>
      <c r="B56" s="24" t="s">
        <v>7</v>
      </c>
      <c r="C56" s="51"/>
      <c r="D56" s="51">
        <f t="shared" si="22"/>
        <v>2.9</v>
      </c>
      <c r="E56" s="38">
        <f t="shared" si="23"/>
        <v>2.9</v>
      </c>
      <c r="F56" s="51">
        <v>2.9</v>
      </c>
      <c r="G56" s="51"/>
      <c r="H56" s="15"/>
      <c r="I56" s="16"/>
      <c r="J56" s="16">
        <v>2.9</v>
      </c>
      <c r="K56" s="18">
        <f t="shared" si="24"/>
        <v>100</v>
      </c>
      <c r="L56" s="16">
        <f t="shared" si="25"/>
        <v>100</v>
      </c>
      <c r="M56" s="71"/>
    </row>
    <row r="57" spans="1:13" ht="14.25" customHeight="1">
      <c r="A57" s="70" t="s">
        <v>37</v>
      </c>
      <c r="B57" s="14" t="s">
        <v>38</v>
      </c>
      <c r="C57" s="51"/>
      <c r="D57" s="51">
        <f t="shared" si="22"/>
        <v>374.3</v>
      </c>
      <c r="E57" s="38">
        <f t="shared" si="23"/>
        <v>374.3</v>
      </c>
      <c r="F57" s="51"/>
      <c r="G57" s="51">
        <v>374.3</v>
      </c>
      <c r="H57" s="15"/>
      <c r="I57" s="16"/>
      <c r="J57" s="16">
        <v>377.6</v>
      </c>
      <c r="K57" s="18">
        <f t="shared" si="24"/>
        <v>100.88164573871227</v>
      </c>
      <c r="L57" s="16">
        <f t="shared" si="25"/>
        <v>100.88164573871227</v>
      </c>
      <c r="M57" s="71"/>
    </row>
    <row r="58" spans="1:13" ht="12.75">
      <c r="A58" s="68" t="s">
        <v>1</v>
      </c>
      <c r="B58" s="25" t="s">
        <v>0</v>
      </c>
      <c r="C58" s="26">
        <f>C59+C61+C60</f>
        <v>19897.1</v>
      </c>
      <c r="D58" s="26">
        <f>D59+D61+D60</f>
        <v>36391.4</v>
      </c>
      <c r="E58" s="26">
        <f aca="true" t="shared" si="26" ref="E58:J58">E59+E61+E60</f>
        <v>31415.5</v>
      </c>
      <c r="F58" s="26">
        <f t="shared" si="26"/>
        <v>10223.7</v>
      </c>
      <c r="G58" s="26">
        <f t="shared" si="26"/>
        <v>12359.8</v>
      </c>
      <c r="H58" s="26">
        <f t="shared" si="26"/>
        <v>8832</v>
      </c>
      <c r="I58" s="26">
        <f t="shared" si="26"/>
        <v>4975.9</v>
      </c>
      <c r="J58" s="26">
        <f t="shared" si="26"/>
        <v>18651.4</v>
      </c>
      <c r="K58" s="23">
        <f t="shared" si="24"/>
        <v>59.37005618245771</v>
      </c>
      <c r="L58" s="21">
        <f t="shared" si="25"/>
        <v>51.252218930846304</v>
      </c>
      <c r="M58" s="72">
        <f>J58*100/C58</f>
        <v>93.73928864005309</v>
      </c>
    </row>
    <row r="59" spans="1:13" ht="23.25" customHeight="1">
      <c r="A59" s="69" t="s">
        <v>52</v>
      </c>
      <c r="B59" s="27" t="s">
        <v>20</v>
      </c>
      <c r="C59" s="50">
        <v>19897.1</v>
      </c>
      <c r="D59" s="51">
        <f>F59+G59+H59+I59</f>
        <v>36391.4</v>
      </c>
      <c r="E59" s="38">
        <f t="shared" si="23"/>
        <v>31415.5</v>
      </c>
      <c r="F59" s="50">
        <v>10223.7</v>
      </c>
      <c r="G59" s="50">
        <v>12359.8</v>
      </c>
      <c r="H59" s="15">
        <v>8832</v>
      </c>
      <c r="I59" s="15">
        <v>4975.9</v>
      </c>
      <c r="J59" s="16">
        <v>18651.4</v>
      </c>
      <c r="K59" s="18">
        <f t="shared" si="24"/>
        <v>59.37005618245771</v>
      </c>
      <c r="L59" s="16">
        <f t="shared" si="25"/>
        <v>51.252218930846304</v>
      </c>
      <c r="M59" s="71">
        <f>J59*100/C59</f>
        <v>93.73928864005309</v>
      </c>
    </row>
    <row r="60" spans="1:13" ht="51" customHeight="1" hidden="1">
      <c r="A60" s="13" t="s">
        <v>59</v>
      </c>
      <c r="B60" s="14" t="s">
        <v>50</v>
      </c>
      <c r="C60" s="28"/>
      <c r="D60" s="51">
        <f>F60+G60+H60+I60</f>
        <v>0</v>
      </c>
      <c r="E60" s="38">
        <f>F60+G60+H60</f>
        <v>0</v>
      </c>
      <c r="F60" s="50"/>
      <c r="G60" s="50"/>
      <c r="H60" s="15"/>
      <c r="I60" s="60"/>
      <c r="J60" s="16"/>
      <c r="K60" s="18" t="e">
        <f t="shared" si="24"/>
        <v>#DIV/0!</v>
      </c>
      <c r="L60" s="16" t="e">
        <f t="shared" si="25"/>
        <v>#DIV/0!</v>
      </c>
      <c r="M60" s="71"/>
    </row>
    <row r="61" spans="1:13" ht="38.25" customHeight="1" hidden="1">
      <c r="A61" s="13" t="s">
        <v>51</v>
      </c>
      <c r="B61" s="17" t="s">
        <v>49</v>
      </c>
      <c r="C61" s="17"/>
      <c r="D61" s="51">
        <f t="shared" si="22"/>
        <v>0</v>
      </c>
      <c r="E61" s="51">
        <f>F61</f>
        <v>0</v>
      </c>
      <c r="F61" s="61"/>
      <c r="G61" s="61"/>
      <c r="H61" s="15"/>
      <c r="I61" s="60"/>
      <c r="J61" s="16"/>
      <c r="K61" s="18"/>
      <c r="L61" s="16"/>
      <c r="M61" s="71"/>
    </row>
    <row r="62" spans="1:13" ht="12.75">
      <c r="A62" s="12"/>
      <c r="B62" s="62" t="s">
        <v>4</v>
      </c>
      <c r="C62" s="63">
        <f aca="true" t="shared" si="27" ref="C62:I62">C58+C47</f>
        <v>42647.8</v>
      </c>
      <c r="D62" s="63">
        <f t="shared" si="27"/>
        <v>60090</v>
      </c>
      <c r="E62" s="63">
        <f t="shared" si="27"/>
        <v>48238.899999999994</v>
      </c>
      <c r="F62" s="63">
        <f t="shared" si="27"/>
        <v>15839.7</v>
      </c>
      <c r="G62" s="63">
        <f t="shared" si="27"/>
        <v>18519.1</v>
      </c>
      <c r="H62" s="63">
        <f t="shared" si="27"/>
        <v>13880.1</v>
      </c>
      <c r="I62" s="63">
        <f t="shared" si="27"/>
        <v>11851.099999999999</v>
      </c>
      <c r="J62" s="63">
        <f>J58+J47+0.1</f>
        <v>36288.2</v>
      </c>
      <c r="K62" s="23">
        <f>J62*100/E62</f>
        <v>75.22601054335816</v>
      </c>
      <c r="L62" s="21">
        <f>J62*100/D62</f>
        <v>60.389748710267924</v>
      </c>
      <c r="M62" s="72">
        <f>J62*100/C62</f>
        <v>85.08809364140704</v>
      </c>
    </row>
    <row r="63" spans="1:13" ht="12.75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23"/>
      <c r="L63" s="21"/>
      <c r="M63" s="71"/>
    </row>
    <row r="64" spans="1:13" ht="12.75">
      <c r="A64" s="75" t="s">
        <v>25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68" t="s">
        <v>3</v>
      </c>
      <c r="B65" s="56" t="s">
        <v>53</v>
      </c>
      <c r="C65" s="52">
        <f aca="true" t="shared" si="28" ref="C65:I65">C66+C69+C71+C73+C70+C75+C74+C68+C72+C67</f>
        <v>43589.5</v>
      </c>
      <c r="D65" s="52">
        <f t="shared" si="28"/>
        <v>49303.4</v>
      </c>
      <c r="E65" s="52">
        <f t="shared" si="28"/>
        <v>35739.7</v>
      </c>
      <c r="F65" s="52">
        <f t="shared" si="28"/>
        <v>12725.300000000001</v>
      </c>
      <c r="G65" s="52">
        <f t="shared" si="28"/>
        <v>10293.8</v>
      </c>
      <c r="H65" s="52">
        <f t="shared" si="28"/>
        <v>12720.6</v>
      </c>
      <c r="I65" s="52">
        <f t="shared" si="28"/>
        <v>13563.699999999999</v>
      </c>
      <c r="J65" s="52">
        <f>J66+J69+J71+J73+J70+J75+J74+J68+J72+J67</f>
        <v>40949.799999999996</v>
      </c>
      <c r="K65" s="23">
        <f aca="true" t="shared" si="29" ref="K65:K75">J65*100/E65</f>
        <v>114.57790636183292</v>
      </c>
      <c r="L65" s="21">
        <f aca="true" t="shared" si="30" ref="L65:L72">J65*100/D65</f>
        <v>83.0567465935412</v>
      </c>
      <c r="M65" s="72">
        <f aca="true" t="shared" si="31" ref="M65:M71">J65*100/C65</f>
        <v>93.94418380573302</v>
      </c>
    </row>
    <row r="66" spans="1:14" ht="12.75">
      <c r="A66" s="29" t="s">
        <v>63</v>
      </c>
      <c r="B66" s="47" t="s">
        <v>64</v>
      </c>
      <c r="C66" s="38">
        <v>22000</v>
      </c>
      <c r="D66" s="51">
        <f>F66+G66+H66+I66</f>
        <v>22261</v>
      </c>
      <c r="E66" s="38">
        <f aca="true" t="shared" si="32" ref="E66:E78">F66+G66+H66</f>
        <v>16828.5</v>
      </c>
      <c r="F66" s="64">
        <v>5302.5</v>
      </c>
      <c r="G66" s="64">
        <v>5532.5</v>
      </c>
      <c r="H66" s="18">
        <v>5993.5</v>
      </c>
      <c r="I66" s="18">
        <v>5432.5</v>
      </c>
      <c r="J66" s="18">
        <v>20383.9</v>
      </c>
      <c r="K66" s="18">
        <f t="shared" si="29"/>
        <v>121.12725436016284</v>
      </c>
      <c r="L66" s="16">
        <f t="shared" si="30"/>
        <v>91.56776425138135</v>
      </c>
      <c r="M66" s="71">
        <f t="shared" si="31"/>
        <v>92.65409090909093</v>
      </c>
      <c r="N66" s="2"/>
    </row>
    <row r="67" spans="1:13" ht="23.25" customHeight="1">
      <c r="A67" s="29" t="s">
        <v>62</v>
      </c>
      <c r="B67" s="24" t="s">
        <v>61</v>
      </c>
      <c r="C67" s="51">
        <v>7209.5</v>
      </c>
      <c r="D67" s="51">
        <f>F67+G67+H67+I67</f>
        <v>7218.500000000001</v>
      </c>
      <c r="E67" s="38">
        <f t="shared" si="32"/>
        <v>5426.200000000001</v>
      </c>
      <c r="F67" s="64">
        <v>1792.4</v>
      </c>
      <c r="G67" s="64">
        <v>1832.4</v>
      </c>
      <c r="H67" s="18">
        <v>1801.4</v>
      </c>
      <c r="I67" s="18">
        <v>1792.3</v>
      </c>
      <c r="J67" s="18">
        <v>6712.7</v>
      </c>
      <c r="K67" s="18">
        <f t="shared" si="29"/>
        <v>123.70904131804944</v>
      </c>
      <c r="L67" s="16">
        <f t="shared" si="30"/>
        <v>92.99300408672161</v>
      </c>
      <c r="M67" s="71">
        <f t="shared" si="31"/>
        <v>93.1090921700534</v>
      </c>
    </row>
    <row r="68" spans="1:13" ht="12.75">
      <c r="A68" s="29" t="s">
        <v>8</v>
      </c>
      <c r="B68" s="24" t="s">
        <v>5</v>
      </c>
      <c r="C68" s="51">
        <v>45</v>
      </c>
      <c r="D68" s="51">
        <f aca="true" t="shared" si="33" ref="D68:D78">F68+G68+H68+I68</f>
        <v>45</v>
      </c>
      <c r="E68" s="38">
        <f t="shared" si="32"/>
        <v>33.7</v>
      </c>
      <c r="F68" s="50">
        <v>11.2</v>
      </c>
      <c r="G68" s="50">
        <v>11.3</v>
      </c>
      <c r="H68" s="15">
        <v>11.2</v>
      </c>
      <c r="I68" s="15">
        <v>11.3</v>
      </c>
      <c r="J68" s="15">
        <v>17.2</v>
      </c>
      <c r="K68" s="18">
        <f t="shared" si="29"/>
        <v>51.038575667655785</v>
      </c>
      <c r="L68" s="16">
        <f t="shared" si="30"/>
        <v>38.22222222222222</v>
      </c>
      <c r="M68" s="71">
        <f t="shared" si="31"/>
        <v>38.22222222222222</v>
      </c>
    </row>
    <row r="69" spans="1:13" ht="12.75">
      <c r="A69" s="29" t="s">
        <v>9</v>
      </c>
      <c r="B69" s="24" t="s">
        <v>6</v>
      </c>
      <c r="C69" s="51">
        <v>8160</v>
      </c>
      <c r="D69" s="51">
        <f t="shared" si="33"/>
        <v>11860</v>
      </c>
      <c r="E69" s="38">
        <f t="shared" si="32"/>
        <v>7075</v>
      </c>
      <c r="F69" s="50">
        <v>3175</v>
      </c>
      <c r="G69" s="50">
        <v>575</v>
      </c>
      <c r="H69" s="15">
        <v>3325</v>
      </c>
      <c r="I69" s="15">
        <v>4785</v>
      </c>
      <c r="J69" s="15">
        <v>6184</v>
      </c>
      <c r="K69" s="18">
        <f t="shared" si="29"/>
        <v>87.40636042402826</v>
      </c>
      <c r="L69" s="16">
        <f t="shared" si="30"/>
        <v>52.14165261382799</v>
      </c>
      <c r="M69" s="71">
        <f t="shared" si="31"/>
        <v>75.7843137254902</v>
      </c>
    </row>
    <row r="70" spans="1:13" ht="18.75" customHeight="1">
      <c r="A70" s="29" t="s">
        <v>10</v>
      </c>
      <c r="B70" s="24" t="s">
        <v>21</v>
      </c>
      <c r="C70" s="51">
        <v>56.4</v>
      </c>
      <c r="D70" s="51">
        <f t="shared" si="33"/>
        <v>56.4</v>
      </c>
      <c r="E70" s="38">
        <f t="shared" si="32"/>
        <v>42.3</v>
      </c>
      <c r="F70" s="50">
        <v>14.1</v>
      </c>
      <c r="G70" s="50">
        <v>14.1</v>
      </c>
      <c r="H70" s="15">
        <v>14.1</v>
      </c>
      <c r="I70" s="15">
        <v>14.1</v>
      </c>
      <c r="J70" s="15">
        <v>48</v>
      </c>
      <c r="K70" s="18">
        <f t="shared" si="29"/>
        <v>113.47517730496455</v>
      </c>
      <c r="L70" s="16">
        <f t="shared" si="30"/>
        <v>85.1063829787234</v>
      </c>
      <c r="M70" s="71">
        <f t="shared" si="31"/>
        <v>85.1063829787234</v>
      </c>
    </row>
    <row r="71" spans="1:13" ht="23.25" customHeight="1">
      <c r="A71" s="33" t="s">
        <v>11</v>
      </c>
      <c r="B71" s="24" t="s">
        <v>17</v>
      </c>
      <c r="C71" s="51">
        <v>5938.6</v>
      </c>
      <c r="D71" s="51">
        <f t="shared" si="33"/>
        <v>7587.1</v>
      </c>
      <c r="E71" s="38">
        <f t="shared" si="32"/>
        <v>6103.6</v>
      </c>
      <c r="F71" s="50">
        <v>2385.1</v>
      </c>
      <c r="G71" s="50">
        <v>2233.5</v>
      </c>
      <c r="H71" s="15">
        <v>1485</v>
      </c>
      <c r="I71" s="15">
        <v>1483.5</v>
      </c>
      <c r="J71" s="15">
        <v>7315.6</v>
      </c>
      <c r="K71" s="18">
        <f t="shared" si="29"/>
        <v>119.85713349498656</v>
      </c>
      <c r="L71" s="16">
        <f t="shared" si="30"/>
        <v>96.42155764389555</v>
      </c>
      <c r="M71" s="71">
        <f t="shared" si="31"/>
        <v>123.18728319806014</v>
      </c>
    </row>
    <row r="72" spans="1:13" ht="27" customHeight="1">
      <c r="A72" s="35" t="s">
        <v>40</v>
      </c>
      <c r="B72" s="24" t="s">
        <v>41</v>
      </c>
      <c r="C72" s="51"/>
      <c r="D72" s="51">
        <f t="shared" si="33"/>
        <v>18.8</v>
      </c>
      <c r="E72" s="38">
        <f t="shared" si="32"/>
        <v>18.8</v>
      </c>
      <c r="F72" s="50"/>
      <c r="G72" s="50"/>
      <c r="H72" s="15">
        <v>18.8</v>
      </c>
      <c r="I72" s="15"/>
      <c r="J72" s="15">
        <v>18.8</v>
      </c>
      <c r="K72" s="18">
        <f t="shared" si="29"/>
        <v>100</v>
      </c>
      <c r="L72" s="16">
        <f t="shared" si="30"/>
        <v>100</v>
      </c>
      <c r="M72" s="71"/>
    </row>
    <row r="73" spans="1:13" ht="22.5">
      <c r="A73" s="34" t="s">
        <v>18</v>
      </c>
      <c r="B73" s="24" t="s">
        <v>15</v>
      </c>
      <c r="C73" s="51">
        <v>180</v>
      </c>
      <c r="D73" s="51">
        <f t="shared" si="33"/>
        <v>240</v>
      </c>
      <c r="E73" s="38">
        <f t="shared" si="32"/>
        <v>195</v>
      </c>
      <c r="F73" s="50">
        <v>45</v>
      </c>
      <c r="G73" s="50">
        <v>95</v>
      </c>
      <c r="H73" s="15">
        <v>55</v>
      </c>
      <c r="I73" s="15">
        <v>45</v>
      </c>
      <c r="J73" s="15">
        <v>246.4</v>
      </c>
      <c r="K73" s="18">
        <f t="shared" si="29"/>
        <v>126.35897435897436</v>
      </c>
      <c r="L73" s="16">
        <f aca="true" t="shared" si="34" ref="L73:L79">J73*100/D73</f>
        <v>102.66666666666667</v>
      </c>
      <c r="M73" s="71">
        <f>J73*100/C73</f>
        <v>136.88888888888889</v>
      </c>
    </row>
    <row r="74" spans="1:13" ht="18" customHeight="1">
      <c r="A74" s="31" t="s">
        <v>12</v>
      </c>
      <c r="B74" s="24" t="s">
        <v>7</v>
      </c>
      <c r="C74" s="51"/>
      <c r="D74" s="51">
        <f t="shared" si="33"/>
        <v>16.6</v>
      </c>
      <c r="E74" s="38">
        <f t="shared" si="32"/>
        <v>16.6</v>
      </c>
      <c r="F74" s="50"/>
      <c r="G74" s="50"/>
      <c r="H74" s="15">
        <v>16.6</v>
      </c>
      <c r="I74" s="15"/>
      <c r="J74" s="15">
        <v>17</v>
      </c>
      <c r="K74" s="18">
        <f t="shared" si="29"/>
        <v>102.40963855421685</v>
      </c>
      <c r="L74" s="16">
        <f t="shared" si="34"/>
        <v>102.40963855421685</v>
      </c>
      <c r="M74" s="71"/>
    </row>
    <row r="75" spans="1:13" ht="16.5" customHeight="1">
      <c r="A75" s="69" t="s">
        <v>37</v>
      </c>
      <c r="B75" s="14" t="s">
        <v>38</v>
      </c>
      <c r="C75" s="51"/>
      <c r="D75" s="51">
        <f t="shared" si="33"/>
        <v>0</v>
      </c>
      <c r="E75" s="38">
        <f t="shared" si="32"/>
        <v>0</v>
      </c>
      <c r="F75" s="50"/>
      <c r="G75" s="50"/>
      <c r="H75" s="15"/>
      <c r="I75" s="15"/>
      <c r="J75" s="15">
        <v>6.2</v>
      </c>
      <c r="K75" s="18" t="e">
        <f t="shared" si="29"/>
        <v>#DIV/0!</v>
      </c>
      <c r="L75" s="16" t="e">
        <f t="shared" si="34"/>
        <v>#DIV/0!</v>
      </c>
      <c r="M75" s="71"/>
    </row>
    <row r="76" spans="1:13" ht="12.75">
      <c r="A76" s="30" t="s">
        <v>1</v>
      </c>
      <c r="B76" s="25" t="s">
        <v>0</v>
      </c>
      <c r="C76" s="26">
        <f aca="true" t="shared" si="35" ref="C76:J76">C77+C78</f>
        <v>38231.5</v>
      </c>
      <c r="D76" s="26">
        <f t="shared" si="35"/>
        <v>65913.59999999999</v>
      </c>
      <c r="E76" s="26">
        <f t="shared" si="35"/>
        <v>55817.2</v>
      </c>
      <c r="F76" s="26">
        <f t="shared" si="35"/>
        <v>9338.8</v>
      </c>
      <c r="G76" s="26">
        <f t="shared" si="35"/>
        <v>28960.2</v>
      </c>
      <c r="H76" s="26">
        <f t="shared" si="35"/>
        <v>17518.2</v>
      </c>
      <c r="I76" s="26">
        <f t="shared" si="35"/>
        <v>10096.4</v>
      </c>
      <c r="J76" s="26">
        <f t="shared" si="35"/>
        <v>54292.6</v>
      </c>
      <c r="K76" s="23">
        <f>J76*100/E76</f>
        <v>97.26858387737114</v>
      </c>
      <c r="L76" s="21">
        <f t="shared" si="34"/>
        <v>82.36934411107876</v>
      </c>
      <c r="M76" s="72">
        <f>J76*100/C76</f>
        <v>142.01012254292925</v>
      </c>
    </row>
    <row r="77" spans="1:13" ht="22.5">
      <c r="A77" s="69" t="s">
        <v>52</v>
      </c>
      <c r="B77" s="27" t="s">
        <v>20</v>
      </c>
      <c r="C77" s="50">
        <v>38231.5</v>
      </c>
      <c r="D77" s="51">
        <f t="shared" si="33"/>
        <v>65823.59999999999</v>
      </c>
      <c r="E77" s="38">
        <f t="shared" si="32"/>
        <v>55727.2</v>
      </c>
      <c r="F77" s="50">
        <v>9338.8</v>
      </c>
      <c r="G77" s="50">
        <v>28940.2</v>
      </c>
      <c r="H77" s="15">
        <v>17448.2</v>
      </c>
      <c r="I77" s="16">
        <v>10096.4</v>
      </c>
      <c r="J77" s="16">
        <v>54202.6</v>
      </c>
      <c r="K77" s="18">
        <f>J77*100/E77</f>
        <v>97.26417261229705</v>
      </c>
      <c r="L77" s="16">
        <f t="shared" si="34"/>
        <v>82.34523787820783</v>
      </c>
      <c r="M77" s="71">
        <f>J77*100/C77</f>
        <v>141.7747145678302</v>
      </c>
    </row>
    <row r="78" spans="1:13" ht="18.75" customHeight="1">
      <c r="A78" s="69" t="s">
        <v>60</v>
      </c>
      <c r="B78" s="28" t="s">
        <v>19</v>
      </c>
      <c r="C78" s="54"/>
      <c r="D78" s="51">
        <f t="shared" si="33"/>
        <v>90</v>
      </c>
      <c r="E78" s="38">
        <f t="shared" si="32"/>
        <v>90</v>
      </c>
      <c r="F78" s="61"/>
      <c r="G78" s="61">
        <v>20</v>
      </c>
      <c r="H78" s="15">
        <v>70</v>
      </c>
      <c r="I78" s="16"/>
      <c r="J78" s="16">
        <v>90</v>
      </c>
      <c r="K78" s="18">
        <f>J78*100/E78</f>
        <v>100</v>
      </c>
      <c r="L78" s="16">
        <f t="shared" si="34"/>
        <v>100</v>
      </c>
      <c r="M78" s="71"/>
    </row>
    <row r="79" spans="1:13" ht="12.75">
      <c r="A79" s="19"/>
      <c r="B79" s="20" t="s">
        <v>4</v>
      </c>
      <c r="C79" s="21">
        <f aca="true" t="shared" si="36" ref="C79:I79">C76+C65</f>
        <v>81821</v>
      </c>
      <c r="D79" s="21">
        <f t="shared" si="36"/>
        <v>115217</v>
      </c>
      <c r="E79" s="21">
        <f t="shared" si="36"/>
        <v>91556.9</v>
      </c>
      <c r="F79" s="21">
        <f t="shared" si="36"/>
        <v>22064.1</v>
      </c>
      <c r="G79" s="21">
        <f t="shared" si="36"/>
        <v>39254</v>
      </c>
      <c r="H79" s="21">
        <f t="shared" si="36"/>
        <v>30238.800000000003</v>
      </c>
      <c r="I79" s="21">
        <f t="shared" si="36"/>
        <v>23660.1</v>
      </c>
      <c r="J79" s="21">
        <f>J76+J65</f>
        <v>95242.4</v>
      </c>
      <c r="K79" s="23">
        <f>J79*100/E79</f>
        <v>104.0253656469365</v>
      </c>
      <c r="L79" s="21">
        <f t="shared" si="34"/>
        <v>82.66349583828776</v>
      </c>
      <c r="M79" s="72">
        <f>J79*100/C79</f>
        <v>116.40336832842425</v>
      </c>
    </row>
    <row r="80" spans="1:13" ht="12.75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23"/>
      <c r="L80" s="21"/>
      <c r="M80" s="71"/>
    </row>
    <row r="81" spans="1:13" ht="12.75">
      <c r="A81" s="75" t="s">
        <v>26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30" t="s">
        <v>3</v>
      </c>
      <c r="B82" s="22" t="s">
        <v>53</v>
      </c>
      <c r="C82" s="23">
        <f aca="true" t="shared" si="37" ref="C82:I82">C83+C85+C86+C87+C88+C89+C90+C91+C92+C84</f>
        <v>37495.899999999994</v>
      </c>
      <c r="D82" s="23">
        <f t="shared" si="37"/>
        <v>39142.09999999999</v>
      </c>
      <c r="E82" s="23">
        <f t="shared" si="37"/>
        <v>29356.2</v>
      </c>
      <c r="F82" s="23">
        <f t="shared" si="37"/>
        <v>11089.9</v>
      </c>
      <c r="G82" s="23">
        <f t="shared" si="37"/>
        <v>9190.9</v>
      </c>
      <c r="H82" s="23">
        <f t="shared" si="37"/>
        <v>9075.4</v>
      </c>
      <c r="I82" s="23">
        <f t="shared" si="37"/>
        <v>9785.9</v>
      </c>
      <c r="J82" s="23">
        <f>J83+J85+J86+J87+J88+J89+J90+J91+J92+J84</f>
        <v>27810.999999999996</v>
      </c>
      <c r="K82" s="23">
        <f aca="true" t="shared" si="38" ref="K82:K88">J82*100/E82</f>
        <v>94.73637596146638</v>
      </c>
      <c r="L82" s="21">
        <f aca="true" t="shared" si="39" ref="L82:L88">J82*100/D82</f>
        <v>71.05137435140169</v>
      </c>
      <c r="M82" s="72">
        <f aca="true" t="shared" si="40" ref="M82:M88">J82*100/C82</f>
        <v>74.17077600484319</v>
      </c>
    </row>
    <row r="83" spans="1:14" ht="13.5" customHeight="1">
      <c r="A83" s="29" t="s">
        <v>63</v>
      </c>
      <c r="B83" s="47" t="s">
        <v>64</v>
      </c>
      <c r="C83" s="51">
        <v>25000</v>
      </c>
      <c r="D83" s="51">
        <f>F83+G83+H83+I83</f>
        <v>25000</v>
      </c>
      <c r="E83" s="38">
        <f aca="true" t="shared" si="41" ref="E83:E95">F83+G83+H83</f>
        <v>19500</v>
      </c>
      <c r="F83" s="50">
        <v>8250</v>
      </c>
      <c r="G83" s="50">
        <v>5750</v>
      </c>
      <c r="H83" s="15">
        <v>5500</v>
      </c>
      <c r="I83" s="15">
        <v>5500</v>
      </c>
      <c r="J83" s="16">
        <v>15812</v>
      </c>
      <c r="K83" s="18">
        <f t="shared" si="38"/>
        <v>81.08717948717948</v>
      </c>
      <c r="L83" s="16">
        <f t="shared" si="39"/>
        <v>63.248</v>
      </c>
      <c r="M83" s="71">
        <f t="shared" si="40"/>
        <v>63.248</v>
      </c>
      <c r="N83" s="2"/>
    </row>
    <row r="84" spans="1:13" ht="24.75" customHeight="1">
      <c r="A84" s="29" t="s">
        <v>62</v>
      </c>
      <c r="B84" s="24" t="s">
        <v>61</v>
      </c>
      <c r="C84" s="51">
        <v>4634.7</v>
      </c>
      <c r="D84" s="51">
        <f>F84+G84+H84+I84</f>
        <v>5016.5</v>
      </c>
      <c r="E84" s="38">
        <f t="shared" si="41"/>
        <v>3957.1</v>
      </c>
      <c r="F84" s="50">
        <v>1199</v>
      </c>
      <c r="G84" s="50">
        <v>1338.6</v>
      </c>
      <c r="H84" s="15">
        <v>1419.5</v>
      </c>
      <c r="I84" s="15">
        <v>1059.4</v>
      </c>
      <c r="J84" s="16">
        <v>4315.3</v>
      </c>
      <c r="K84" s="18">
        <f t="shared" si="38"/>
        <v>109.05208359657325</v>
      </c>
      <c r="L84" s="16">
        <f t="shared" si="39"/>
        <v>86.02212698096282</v>
      </c>
      <c r="M84" s="71">
        <f t="shared" si="40"/>
        <v>93.10850756251753</v>
      </c>
    </row>
    <row r="85" spans="1:13" ht="15" customHeight="1" hidden="1">
      <c r="A85" s="29" t="s">
        <v>8</v>
      </c>
      <c r="B85" s="24" t="s">
        <v>5</v>
      </c>
      <c r="C85" s="51"/>
      <c r="D85" s="51">
        <f aca="true" t="shared" si="42" ref="D85:D92">F85+G85+H85+I85</f>
        <v>0</v>
      </c>
      <c r="E85" s="38">
        <f t="shared" si="41"/>
        <v>0</v>
      </c>
      <c r="F85" s="50"/>
      <c r="G85" s="50"/>
      <c r="H85" s="15"/>
      <c r="I85" s="15"/>
      <c r="J85" s="16"/>
      <c r="K85" s="18" t="e">
        <f t="shared" si="38"/>
        <v>#DIV/0!</v>
      </c>
      <c r="L85" s="16" t="e">
        <f t="shared" si="39"/>
        <v>#DIV/0!</v>
      </c>
      <c r="M85" s="71" t="e">
        <f t="shared" si="40"/>
        <v>#DIV/0!</v>
      </c>
    </row>
    <row r="86" spans="1:13" ht="12.75">
      <c r="A86" s="29" t="s">
        <v>9</v>
      </c>
      <c r="B86" s="24" t="s">
        <v>6</v>
      </c>
      <c r="C86" s="51">
        <v>2670</v>
      </c>
      <c r="D86" s="51">
        <f t="shared" si="42"/>
        <v>2670</v>
      </c>
      <c r="E86" s="38">
        <f t="shared" si="41"/>
        <v>1108.5</v>
      </c>
      <c r="F86" s="50">
        <v>339</v>
      </c>
      <c r="G86" s="50">
        <v>287</v>
      </c>
      <c r="H86" s="15">
        <v>482.5</v>
      </c>
      <c r="I86" s="15">
        <v>1561.5</v>
      </c>
      <c r="J86" s="16">
        <v>1467.3</v>
      </c>
      <c r="K86" s="18">
        <f t="shared" si="38"/>
        <v>132.3680649526387</v>
      </c>
      <c r="L86" s="16">
        <f t="shared" si="39"/>
        <v>54.95505617977528</v>
      </c>
      <c r="M86" s="71">
        <f t="shared" si="40"/>
        <v>54.95505617977528</v>
      </c>
    </row>
    <row r="87" spans="1:13" ht="12.75" hidden="1">
      <c r="A87" s="29" t="s">
        <v>10</v>
      </c>
      <c r="B87" s="24" t="s">
        <v>21</v>
      </c>
      <c r="C87" s="51"/>
      <c r="D87" s="51">
        <f t="shared" si="42"/>
        <v>0</v>
      </c>
      <c r="E87" s="38">
        <f t="shared" si="41"/>
        <v>0</v>
      </c>
      <c r="F87" s="50"/>
      <c r="G87" s="50"/>
      <c r="H87" s="15"/>
      <c r="I87" s="15"/>
      <c r="J87" s="16"/>
      <c r="K87" s="18" t="e">
        <f t="shared" si="38"/>
        <v>#DIV/0!</v>
      </c>
      <c r="L87" s="16" t="e">
        <f t="shared" si="39"/>
        <v>#DIV/0!</v>
      </c>
      <c r="M87" s="71" t="e">
        <f t="shared" si="40"/>
        <v>#DIV/0!</v>
      </c>
    </row>
    <row r="88" spans="1:13" ht="26.25" customHeight="1">
      <c r="A88" s="33" t="s">
        <v>11</v>
      </c>
      <c r="B88" s="24" t="s">
        <v>17</v>
      </c>
      <c r="C88" s="51">
        <v>5159.7</v>
      </c>
      <c r="D88" s="51">
        <f t="shared" si="42"/>
        <v>6159.700000000001</v>
      </c>
      <c r="E88" s="38">
        <f t="shared" si="41"/>
        <v>4494.700000000001</v>
      </c>
      <c r="F88" s="50">
        <v>1289.9</v>
      </c>
      <c r="G88" s="50">
        <v>1539.9</v>
      </c>
      <c r="H88" s="15">
        <v>1664.9</v>
      </c>
      <c r="I88" s="15">
        <v>1665</v>
      </c>
      <c r="J88" s="16">
        <v>5911.3</v>
      </c>
      <c r="K88" s="18">
        <f t="shared" si="38"/>
        <v>131.5171201637484</v>
      </c>
      <c r="L88" s="16">
        <f t="shared" si="39"/>
        <v>95.96733607156192</v>
      </c>
      <c r="M88" s="71">
        <f t="shared" si="40"/>
        <v>114.5667383762622</v>
      </c>
    </row>
    <row r="89" spans="1:13" ht="23.25" customHeight="1">
      <c r="A89" s="35" t="s">
        <v>40</v>
      </c>
      <c r="B89" s="24" t="s">
        <v>41</v>
      </c>
      <c r="C89" s="51"/>
      <c r="D89" s="51">
        <f t="shared" si="42"/>
        <v>207.2</v>
      </c>
      <c r="E89" s="38">
        <f t="shared" si="41"/>
        <v>207.2</v>
      </c>
      <c r="F89" s="50"/>
      <c r="G89" s="50">
        <v>207.2</v>
      </c>
      <c r="H89" s="15"/>
      <c r="I89" s="15"/>
      <c r="J89" s="16">
        <v>207.2</v>
      </c>
      <c r="K89" s="18">
        <f>J89*100/E89</f>
        <v>100</v>
      </c>
      <c r="L89" s="16">
        <f>J89*100/D89</f>
        <v>100</v>
      </c>
      <c r="M89" s="71"/>
    </row>
    <row r="90" spans="1:13" ht="22.5">
      <c r="A90" s="34" t="s">
        <v>18</v>
      </c>
      <c r="B90" s="24" t="s">
        <v>15</v>
      </c>
      <c r="C90" s="51">
        <v>31.5</v>
      </c>
      <c r="D90" s="51">
        <f t="shared" si="42"/>
        <v>83.7</v>
      </c>
      <c r="E90" s="38">
        <f t="shared" si="41"/>
        <v>83.7</v>
      </c>
      <c r="F90" s="50">
        <v>12</v>
      </c>
      <c r="G90" s="50">
        <v>63.2</v>
      </c>
      <c r="H90" s="15">
        <v>8.5</v>
      </c>
      <c r="I90" s="15"/>
      <c r="J90" s="16">
        <v>93.6</v>
      </c>
      <c r="K90" s="18">
        <f>J90*100/E90</f>
        <v>111.82795698924731</v>
      </c>
      <c r="L90" s="16">
        <f>J90*100/D90</f>
        <v>111.82795698924731</v>
      </c>
      <c r="M90" s="71">
        <f>J90*100/C90</f>
        <v>297.14285714285717</v>
      </c>
    </row>
    <row r="91" spans="1:13" ht="15.75" customHeight="1">
      <c r="A91" s="31" t="s">
        <v>12</v>
      </c>
      <c r="B91" s="24" t="s">
        <v>7</v>
      </c>
      <c r="C91" s="51"/>
      <c r="D91" s="51">
        <f t="shared" si="42"/>
        <v>5</v>
      </c>
      <c r="E91" s="38">
        <f t="shared" si="41"/>
        <v>5</v>
      </c>
      <c r="F91" s="50"/>
      <c r="G91" s="50">
        <v>5</v>
      </c>
      <c r="H91" s="15"/>
      <c r="I91" s="15"/>
      <c r="J91" s="16">
        <v>5</v>
      </c>
      <c r="K91" s="18">
        <f>J91*100/E91</f>
        <v>100</v>
      </c>
      <c r="L91" s="16">
        <f>J91*100/D91</f>
        <v>100</v>
      </c>
      <c r="M91" s="71"/>
    </row>
    <row r="92" spans="1:13" ht="12.75">
      <c r="A92" s="69" t="s">
        <v>37</v>
      </c>
      <c r="B92" s="14" t="s">
        <v>38</v>
      </c>
      <c r="C92" s="51"/>
      <c r="D92" s="51">
        <f t="shared" si="42"/>
        <v>0</v>
      </c>
      <c r="E92" s="38">
        <f t="shared" si="41"/>
        <v>0</v>
      </c>
      <c r="F92" s="50"/>
      <c r="G92" s="50"/>
      <c r="H92" s="15"/>
      <c r="I92" s="15"/>
      <c r="J92" s="16">
        <v>-0.7</v>
      </c>
      <c r="K92" s="18"/>
      <c r="L92" s="16"/>
      <c r="M92" s="71"/>
    </row>
    <row r="93" spans="1:13" ht="12.75" hidden="1">
      <c r="A93" s="69" t="s">
        <v>42</v>
      </c>
      <c r="B93" s="14" t="s">
        <v>43</v>
      </c>
      <c r="C93" s="59"/>
      <c r="D93" s="14"/>
      <c r="E93" s="38" t="e">
        <f t="shared" si="41"/>
        <v>#REF!</v>
      </c>
      <c r="F93" s="50"/>
      <c r="G93" s="50"/>
      <c r="H93" s="15" t="e">
        <f>I93+#REF!+#REF!+#REF!</f>
        <v>#REF!</v>
      </c>
      <c r="I93" s="15"/>
      <c r="J93" s="16"/>
      <c r="K93" s="23" t="e">
        <f>J93*100/E93</f>
        <v>#REF!</v>
      </c>
      <c r="L93" s="21" t="e">
        <f>J93*100/D93</f>
        <v>#DIV/0!</v>
      </c>
      <c r="M93" s="71" t="e">
        <f>J93*100/C93</f>
        <v>#DIV/0!</v>
      </c>
    </row>
    <row r="94" spans="1:13" ht="12.75">
      <c r="A94" s="30" t="s">
        <v>1</v>
      </c>
      <c r="B94" s="25" t="s">
        <v>0</v>
      </c>
      <c r="C94" s="26">
        <f aca="true" t="shared" si="43" ref="C94:J94">C95+C96</f>
        <v>53397.2</v>
      </c>
      <c r="D94" s="26">
        <f t="shared" si="43"/>
        <v>89364.4</v>
      </c>
      <c r="E94" s="65">
        <f t="shared" si="43"/>
        <v>78916.4</v>
      </c>
      <c r="F94" s="26">
        <f t="shared" si="43"/>
        <v>13451.2</v>
      </c>
      <c r="G94" s="26">
        <f t="shared" si="43"/>
        <v>34757</v>
      </c>
      <c r="H94" s="26">
        <f t="shared" si="43"/>
        <v>30708.2</v>
      </c>
      <c r="I94" s="26">
        <f t="shared" si="43"/>
        <v>10448</v>
      </c>
      <c r="J94" s="26">
        <f t="shared" si="43"/>
        <v>81399.4</v>
      </c>
      <c r="K94" s="23">
        <f>J94*100/E94</f>
        <v>103.14636754844366</v>
      </c>
      <c r="L94" s="21">
        <f>J94*100/D94</f>
        <v>91.08705480034554</v>
      </c>
      <c r="M94" s="72">
        <f>J94*100/C94</f>
        <v>152.44132651150247</v>
      </c>
    </row>
    <row r="95" spans="1:13" ht="22.5">
      <c r="A95" s="69" t="s">
        <v>52</v>
      </c>
      <c r="B95" s="27" t="s">
        <v>20</v>
      </c>
      <c r="C95" s="50">
        <v>53397.2</v>
      </c>
      <c r="D95" s="51">
        <f>F95+G95+H95+I95</f>
        <v>89364.4</v>
      </c>
      <c r="E95" s="38">
        <f t="shared" si="41"/>
        <v>78916.4</v>
      </c>
      <c r="F95" s="50">
        <v>13451.2</v>
      </c>
      <c r="G95" s="50">
        <v>34757</v>
      </c>
      <c r="H95" s="15">
        <v>30708.2</v>
      </c>
      <c r="I95" s="15">
        <v>10448</v>
      </c>
      <c r="J95" s="16">
        <v>81399.4</v>
      </c>
      <c r="K95" s="18">
        <f>J95*100/E95</f>
        <v>103.14636754844366</v>
      </c>
      <c r="L95" s="16">
        <f>J95*100/D95</f>
        <v>91.08705480034554</v>
      </c>
      <c r="M95" s="71">
        <f>J95*100/C95</f>
        <v>152.44132651150247</v>
      </c>
    </row>
    <row r="96" spans="1:13" ht="12.75" hidden="1">
      <c r="A96" s="13" t="s">
        <v>60</v>
      </c>
      <c r="B96" s="28" t="s">
        <v>19</v>
      </c>
      <c r="C96" s="54"/>
      <c r="D96" s="51">
        <f>F96+G96+H96+I96</f>
        <v>0</v>
      </c>
      <c r="E96" s="38">
        <f>F96</f>
        <v>0</v>
      </c>
      <c r="F96" s="55"/>
      <c r="G96" s="55"/>
      <c r="H96" s="15"/>
      <c r="I96" s="15"/>
      <c r="J96" s="16"/>
      <c r="K96" s="18" t="e">
        <f>J96*100/E96</f>
        <v>#DIV/0!</v>
      </c>
      <c r="L96" s="16" t="e">
        <f>J96*100/D96</f>
        <v>#DIV/0!</v>
      </c>
      <c r="M96" s="71"/>
    </row>
    <row r="97" spans="1:13" ht="12.75">
      <c r="A97" s="19"/>
      <c r="B97" s="20" t="s">
        <v>4</v>
      </c>
      <c r="C97" s="21">
        <f aca="true" t="shared" si="44" ref="C97:J97">C94+C82</f>
        <v>90893.09999999999</v>
      </c>
      <c r="D97" s="21">
        <f t="shared" si="44"/>
        <v>128506.49999999999</v>
      </c>
      <c r="E97" s="21">
        <f t="shared" si="44"/>
        <v>108272.59999999999</v>
      </c>
      <c r="F97" s="21">
        <f t="shared" si="44"/>
        <v>24541.1</v>
      </c>
      <c r="G97" s="21">
        <f t="shared" si="44"/>
        <v>43947.9</v>
      </c>
      <c r="H97" s="21">
        <f t="shared" si="44"/>
        <v>39783.6</v>
      </c>
      <c r="I97" s="21">
        <f t="shared" si="44"/>
        <v>20233.9</v>
      </c>
      <c r="J97" s="21">
        <f t="shared" si="44"/>
        <v>109210.4</v>
      </c>
      <c r="K97" s="23">
        <f>J97*100/E97</f>
        <v>100.86614711385891</v>
      </c>
      <c r="L97" s="21">
        <f>J97*100/D97</f>
        <v>84.98433931357559</v>
      </c>
      <c r="M97" s="72">
        <f>J97*100/C97</f>
        <v>120.152574837914</v>
      </c>
    </row>
    <row r="98" spans="1:13" ht="12.75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23"/>
      <c r="L98" s="21"/>
      <c r="M98" s="71"/>
    </row>
    <row r="99" spans="1:13" ht="12.75">
      <c r="A99" s="75" t="s">
        <v>27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1:13" ht="12.75">
      <c r="A100" s="30" t="s">
        <v>3</v>
      </c>
      <c r="B100" s="22" t="s">
        <v>53</v>
      </c>
      <c r="C100" s="23">
        <f aca="true" t="shared" si="45" ref="C100:I100">C101+C104+C108+C105+C106+C109+C107+C103+C102</f>
        <v>3174.8</v>
      </c>
      <c r="D100" s="23">
        <f t="shared" si="45"/>
        <v>3174.8</v>
      </c>
      <c r="E100" s="23">
        <f t="shared" si="45"/>
        <v>2379</v>
      </c>
      <c r="F100" s="23">
        <f t="shared" si="45"/>
        <v>787.9000000000001</v>
      </c>
      <c r="G100" s="23">
        <f t="shared" si="45"/>
        <v>795.5</v>
      </c>
      <c r="H100" s="23">
        <f t="shared" si="45"/>
        <v>795.5999999999999</v>
      </c>
      <c r="I100" s="23">
        <f t="shared" si="45"/>
        <v>795.8</v>
      </c>
      <c r="J100" s="23">
        <f>J101+J104+J108+J105+J106+J109+J107+J103+J102+0.1</f>
        <v>2495.2999999999997</v>
      </c>
      <c r="K100" s="23">
        <f aca="true" t="shared" si="46" ref="K100:K106">J100*100/E100</f>
        <v>104.88860865910046</v>
      </c>
      <c r="L100" s="21">
        <f aca="true" t="shared" si="47" ref="L100:L106">J100*100/D100</f>
        <v>78.59707698122715</v>
      </c>
      <c r="M100" s="72">
        <f aca="true" t="shared" si="48" ref="M100:M106">J100*100/C100</f>
        <v>78.59707698122715</v>
      </c>
    </row>
    <row r="101" spans="1:14" ht="12.75">
      <c r="A101" s="29" t="s">
        <v>63</v>
      </c>
      <c r="B101" s="47" t="s">
        <v>64</v>
      </c>
      <c r="C101" s="51">
        <v>1400</v>
      </c>
      <c r="D101" s="51">
        <f>F101+G101+H101+I101</f>
        <v>1400</v>
      </c>
      <c r="E101" s="38">
        <f aca="true" t="shared" si="49" ref="E101:E112">F101+G101+H101</f>
        <v>1050</v>
      </c>
      <c r="F101" s="50">
        <v>350</v>
      </c>
      <c r="G101" s="50">
        <v>350</v>
      </c>
      <c r="H101" s="15">
        <v>350</v>
      </c>
      <c r="I101" s="16">
        <v>350</v>
      </c>
      <c r="J101" s="16">
        <v>914.5</v>
      </c>
      <c r="K101" s="18">
        <f t="shared" si="46"/>
        <v>87.0952380952381</v>
      </c>
      <c r="L101" s="16">
        <f t="shared" si="47"/>
        <v>65.32142857142857</v>
      </c>
      <c r="M101" s="71">
        <f t="shared" si="48"/>
        <v>65.32142857142857</v>
      </c>
      <c r="N101" s="2"/>
    </row>
    <row r="102" spans="1:13" ht="25.5" customHeight="1">
      <c r="A102" s="29" t="s">
        <v>62</v>
      </c>
      <c r="B102" s="24" t="s">
        <v>61</v>
      </c>
      <c r="C102" s="51">
        <v>1505.3</v>
      </c>
      <c r="D102" s="51">
        <f>F102+G102+H102+I102</f>
        <v>1505.3000000000002</v>
      </c>
      <c r="E102" s="38">
        <f t="shared" si="49"/>
        <v>1128.9</v>
      </c>
      <c r="F102" s="50">
        <v>376.3</v>
      </c>
      <c r="G102" s="50">
        <v>376.3</v>
      </c>
      <c r="H102" s="15">
        <v>376.3</v>
      </c>
      <c r="I102" s="16">
        <v>376.4</v>
      </c>
      <c r="J102" s="16">
        <v>1401.5</v>
      </c>
      <c r="K102" s="18">
        <f t="shared" si="46"/>
        <v>124.14740012401452</v>
      </c>
      <c r="L102" s="16">
        <f t="shared" si="47"/>
        <v>93.10436457848932</v>
      </c>
      <c r="M102" s="71">
        <f t="shared" si="48"/>
        <v>93.10436457848934</v>
      </c>
    </row>
    <row r="103" spans="1:13" ht="12.75" hidden="1">
      <c r="A103" s="29" t="s">
        <v>8</v>
      </c>
      <c r="B103" s="24" t="s">
        <v>5</v>
      </c>
      <c r="C103" s="51"/>
      <c r="D103" s="51">
        <f>F103+G103+H103+I103</f>
        <v>0</v>
      </c>
      <c r="E103" s="38">
        <f t="shared" si="49"/>
        <v>0</v>
      </c>
      <c r="F103" s="50"/>
      <c r="G103" s="50"/>
      <c r="H103" s="15"/>
      <c r="I103" s="16"/>
      <c r="J103" s="16"/>
      <c r="K103" s="18" t="e">
        <f t="shared" si="46"/>
        <v>#DIV/0!</v>
      </c>
      <c r="L103" s="16" t="e">
        <f t="shared" si="47"/>
        <v>#DIV/0!</v>
      </c>
      <c r="M103" s="71" t="e">
        <f t="shared" si="48"/>
        <v>#DIV/0!</v>
      </c>
    </row>
    <row r="104" spans="1:13" ht="12.75">
      <c r="A104" s="29" t="s">
        <v>9</v>
      </c>
      <c r="B104" s="24" t="s">
        <v>6</v>
      </c>
      <c r="C104" s="51">
        <v>228</v>
      </c>
      <c r="D104" s="51">
        <f aca="true" t="shared" si="50" ref="D104:D112">F104+G104+H104+I104</f>
        <v>228</v>
      </c>
      <c r="E104" s="38">
        <f t="shared" si="49"/>
        <v>169.1</v>
      </c>
      <c r="F104" s="50">
        <v>51.5</v>
      </c>
      <c r="G104" s="50">
        <v>58.7</v>
      </c>
      <c r="H104" s="15">
        <v>58.9</v>
      </c>
      <c r="I104" s="16">
        <v>58.9</v>
      </c>
      <c r="J104" s="16">
        <v>131.8</v>
      </c>
      <c r="K104" s="18">
        <f t="shared" si="46"/>
        <v>77.94204612655236</v>
      </c>
      <c r="L104" s="16">
        <f t="shared" si="47"/>
        <v>57.80701754385966</v>
      </c>
      <c r="M104" s="71">
        <f t="shared" si="48"/>
        <v>57.80701754385966</v>
      </c>
    </row>
    <row r="105" spans="1:13" ht="12.75">
      <c r="A105" s="29" t="s">
        <v>10</v>
      </c>
      <c r="B105" s="24" t="s">
        <v>21</v>
      </c>
      <c r="C105" s="51">
        <v>1.5</v>
      </c>
      <c r="D105" s="51">
        <f t="shared" si="50"/>
        <v>1.5</v>
      </c>
      <c r="E105" s="38">
        <f t="shared" si="49"/>
        <v>1</v>
      </c>
      <c r="F105" s="50">
        <v>0.1</v>
      </c>
      <c r="G105" s="50">
        <v>0.5</v>
      </c>
      <c r="H105" s="15">
        <v>0.4</v>
      </c>
      <c r="I105" s="16">
        <v>0.5</v>
      </c>
      <c r="J105" s="16">
        <v>0.5</v>
      </c>
      <c r="K105" s="18">
        <f t="shared" si="46"/>
        <v>50</v>
      </c>
      <c r="L105" s="16">
        <f t="shared" si="47"/>
        <v>33.333333333333336</v>
      </c>
      <c r="M105" s="71">
        <f t="shared" si="48"/>
        <v>33.333333333333336</v>
      </c>
    </row>
    <row r="106" spans="1:13" ht="22.5">
      <c r="A106" s="33" t="s">
        <v>11</v>
      </c>
      <c r="B106" s="24" t="s">
        <v>17</v>
      </c>
      <c r="C106" s="51">
        <v>40</v>
      </c>
      <c r="D106" s="51">
        <f t="shared" si="50"/>
        <v>40</v>
      </c>
      <c r="E106" s="38">
        <f t="shared" si="49"/>
        <v>30</v>
      </c>
      <c r="F106" s="50">
        <v>10</v>
      </c>
      <c r="G106" s="50">
        <v>10</v>
      </c>
      <c r="H106" s="15">
        <v>10</v>
      </c>
      <c r="I106" s="16">
        <v>10</v>
      </c>
      <c r="J106" s="16">
        <v>46.9</v>
      </c>
      <c r="K106" s="18">
        <f t="shared" si="46"/>
        <v>156.33333333333334</v>
      </c>
      <c r="L106" s="16">
        <f t="shared" si="47"/>
        <v>117.25</v>
      </c>
      <c r="M106" s="71">
        <f t="shared" si="48"/>
        <v>117.25</v>
      </c>
    </row>
    <row r="107" spans="1:13" ht="24" customHeight="1">
      <c r="A107" s="35" t="s">
        <v>40</v>
      </c>
      <c r="B107" s="24" t="s">
        <v>41</v>
      </c>
      <c r="C107" s="51"/>
      <c r="D107" s="51">
        <f t="shared" si="50"/>
        <v>0</v>
      </c>
      <c r="E107" s="38">
        <f t="shared" si="49"/>
        <v>0</v>
      </c>
      <c r="F107" s="50"/>
      <c r="G107" s="50"/>
      <c r="H107" s="15"/>
      <c r="I107" s="16"/>
      <c r="J107" s="16">
        <v>5</v>
      </c>
      <c r="K107" s="18"/>
      <c r="L107" s="16"/>
      <c r="M107" s="71"/>
    </row>
    <row r="108" spans="1:13" ht="14.25" customHeight="1" hidden="1">
      <c r="A108" s="31" t="s">
        <v>12</v>
      </c>
      <c r="B108" s="66" t="s">
        <v>7</v>
      </c>
      <c r="C108" s="51"/>
      <c r="D108" s="51">
        <f t="shared" si="50"/>
        <v>0</v>
      </c>
      <c r="E108" s="38">
        <f t="shared" si="49"/>
        <v>0</v>
      </c>
      <c r="F108" s="50"/>
      <c r="G108" s="50"/>
      <c r="H108" s="15"/>
      <c r="I108" s="16"/>
      <c r="J108" s="16"/>
      <c r="K108" s="18"/>
      <c r="L108" s="16"/>
      <c r="M108" s="71"/>
    </row>
    <row r="109" spans="1:13" ht="16.5" customHeight="1">
      <c r="A109" s="35" t="s">
        <v>37</v>
      </c>
      <c r="B109" s="14" t="s">
        <v>38</v>
      </c>
      <c r="C109" s="51"/>
      <c r="D109" s="51">
        <f t="shared" si="50"/>
        <v>0</v>
      </c>
      <c r="E109" s="38">
        <f t="shared" si="49"/>
        <v>0</v>
      </c>
      <c r="F109" s="50"/>
      <c r="G109" s="50"/>
      <c r="H109" s="15"/>
      <c r="I109" s="16"/>
      <c r="J109" s="16">
        <v>-5</v>
      </c>
      <c r="K109" s="23"/>
      <c r="L109" s="21"/>
      <c r="M109" s="71"/>
    </row>
    <row r="110" spans="1:13" ht="12.75">
      <c r="A110" s="68" t="s">
        <v>1</v>
      </c>
      <c r="B110" s="25" t="s">
        <v>0</v>
      </c>
      <c r="C110" s="26">
        <f aca="true" t="shared" si="51" ref="C110:J110">C111+C112</f>
        <v>25449.7</v>
      </c>
      <c r="D110" s="26">
        <f t="shared" si="51"/>
        <v>35244.8</v>
      </c>
      <c r="E110" s="26">
        <f t="shared" si="51"/>
        <v>28880.2</v>
      </c>
      <c r="F110" s="26">
        <f t="shared" si="51"/>
        <v>5747.3</v>
      </c>
      <c r="G110" s="26">
        <f t="shared" si="51"/>
        <v>16062.7</v>
      </c>
      <c r="H110" s="26">
        <f t="shared" si="51"/>
        <v>7070.2</v>
      </c>
      <c r="I110" s="26">
        <f t="shared" si="51"/>
        <v>6364.6</v>
      </c>
      <c r="J110" s="26">
        <f t="shared" si="51"/>
        <v>30207.3</v>
      </c>
      <c r="K110" s="23">
        <f>J110*100/E110</f>
        <v>104.59518978400426</v>
      </c>
      <c r="L110" s="21">
        <f>J110*100/D110</f>
        <v>85.70711140366805</v>
      </c>
      <c r="M110" s="72">
        <f>J110*100/C110</f>
        <v>118.69412998974447</v>
      </c>
    </row>
    <row r="111" spans="1:13" ht="22.5">
      <c r="A111" s="69" t="s">
        <v>52</v>
      </c>
      <c r="B111" s="27" t="s">
        <v>20</v>
      </c>
      <c r="C111" s="50">
        <v>25449.7</v>
      </c>
      <c r="D111" s="51">
        <f>F111+G111+H111+I111</f>
        <v>35244.8</v>
      </c>
      <c r="E111" s="38">
        <f t="shared" si="49"/>
        <v>28880.2</v>
      </c>
      <c r="F111" s="50">
        <v>5747.3</v>
      </c>
      <c r="G111" s="50">
        <v>16062.7</v>
      </c>
      <c r="H111" s="15">
        <v>7070.2</v>
      </c>
      <c r="I111" s="16">
        <v>6364.6</v>
      </c>
      <c r="J111" s="16">
        <v>30207.2</v>
      </c>
      <c r="K111" s="18">
        <f>J111*100/E111</f>
        <v>104.59484352601436</v>
      </c>
      <c r="L111" s="16">
        <f>J111*100/D111</f>
        <v>85.70682767386961</v>
      </c>
      <c r="M111" s="71">
        <f>J111*100/C111</f>
        <v>118.69373705780421</v>
      </c>
    </row>
    <row r="112" spans="1:13" ht="17.25" customHeight="1">
      <c r="A112" s="67" t="s">
        <v>60</v>
      </c>
      <c r="B112" s="28" t="s">
        <v>19</v>
      </c>
      <c r="C112" s="28"/>
      <c r="D112" s="51">
        <f t="shared" si="50"/>
        <v>0</v>
      </c>
      <c r="E112" s="38">
        <f t="shared" si="49"/>
        <v>0</v>
      </c>
      <c r="F112" s="55"/>
      <c r="G112" s="55"/>
      <c r="H112" s="15"/>
      <c r="I112" s="16"/>
      <c r="J112" s="16">
        <v>0.1</v>
      </c>
      <c r="K112" s="23"/>
      <c r="L112" s="21"/>
      <c r="M112" s="71"/>
    </row>
    <row r="113" spans="1:13" ht="12.75">
      <c r="A113" s="19"/>
      <c r="B113" s="20" t="s">
        <v>4</v>
      </c>
      <c r="C113" s="21">
        <f aca="true" t="shared" si="52" ref="C113:J113">C110+C100</f>
        <v>28624.5</v>
      </c>
      <c r="D113" s="21">
        <f t="shared" si="52"/>
        <v>38419.600000000006</v>
      </c>
      <c r="E113" s="52">
        <f t="shared" si="52"/>
        <v>31259.2</v>
      </c>
      <c r="F113" s="52">
        <f t="shared" si="52"/>
        <v>6535.200000000001</v>
      </c>
      <c r="G113" s="52">
        <f>G110+G100</f>
        <v>16858.2</v>
      </c>
      <c r="H113" s="21">
        <f t="shared" si="52"/>
        <v>7865.799999999999</v>
      </c>
      <c r="I113" s="21">
        <f t="shared" si="52"/>
        <v>7160.400000000001</v>
      </c>
      <c r="J113" s="21">
        <f t="shared" si="52"/>
        <v>32702.6</v>
      </c>
      <c r="K113" s="23">
        <f>J113*100/E113</f>
        <v>104.61752060193479</v>
      </c>
      <c r="L113" s="21">
        <f>J113*100/D113</f>
        <v>85.1195743839082</v>
      </c>
      <c r="M113" s="72">
        <f>J113*100/C113</f>
        <v>114.24688640849622</v>
      </c>
    </row>
    <row r="114" spans="1:13" ht="12.75">
      <c r="A114" s="73"/>
      <c r="B114" s="74"/>
      <c r="C114" s="74"/>
      <c r="D114" s="74"/>
      <c r="E114" s="74"/>
      <c r="F114" s="74"/>
      <c r="G114" s="74"/>
      <c r="H114" s="74"/>
      <c r="I114" s="74"/>
      <c r="J114" s="74"/>
      <c r="K114" s="23"/>
      <c r="L114" s="21"/>
      <c r="M114" s="71"/>
    </row>
    <row r="115" spans="1:13" ht="12.75">
      <c r="A115" s="75" t="s">
        <v>28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1:13" ht="12.75">
      <c r="A116" s="30" t="s">
        <v>3</v>
      </c>
      <c r="B116" s="22" t="s">
        <v>53</v>
      </c>
      <c r="C116" s="23">
        <f>C117+C121+C125+C122+C123+C126+C124+C127+C118+C119+C120</f>
        <v>5481.3</v>
      </c>
      <c r="D116" s="23">
        <f aca="true" t="shared" si="53" ref="D116:I116">D117+D121+D125+D122+D123+D126+D124+D127+D118+D119+D120</f>
        <v>5961.4</v>
      </c>
      <c r="E116" s="23">
        <f t="shared" si="53"/>
        <v>4380.299999999999</v>
      </c>
      <c r="F116" s="23">
        <f t="shared" si="53"/>
        <v>1382.6</v>
      </c>
      <c r="G116" s="23">
        <f t="shared" si="53"/>
        <v>1426.6</v>
      </c>
      <c r="H116" s="23">
        <f t="shared" si="53"/>
        <v>1571.1</v>
      </c>
      <c r="I116" s="23">
        <f t="shared" si="53"/>
        <v>1581.1000000000001</v>
      </c>
      <c r="J116" s="23">
        <f>J117+J121+J125+J122+J123+J126+J124+J127+J118+J119+J120</f>
        <v>5077.9</v>
      </c>
      <c r="K116" s="23">
        <f aca="true" t="shared" si="54" ref="K116:K123">J116*100/E116</f>
        <v>115.92584982763738</v>
      </c>
      <c r="L116" s="21">
        <f aca="true" t="shared" si="55" ref="L116:L123">J116*100/D116</f>
        <v>85.17965578555372</v>
      </c>
      <c r="M116" s="72">
        <f aca="true" t="shared" si="56" ref="M116:M123">J116*100/C116</f>
        <v>92.64043201430316</v>
      </c>
    </row>
    <row r="117" spans="1:14" ht="12.75">
      <c r="A117" s="29" t="s">
        <v>63</v>
      </c>
      <c r="B117" s="47" t="s">
        <v>64</v>
      </c>
      <c r="C117" s="51">
        <v>1470</v>
      </c>
      <c r="D117" s="51">
        <f>F117+G117+H117+I117</f>
        <v>1470</v>
      </c>
      <c r="E117" s="38">
        <f aca="true" t="shared" si="57" ref="E117:E130">F117+G117+H117</f>
        <v>1102.5</v>
      </c>
      <c r="F117" s="51">
        <v>367.5</v>
      </c>
      <c r="G117" s="51">
        <v>367.5</v>
      </c>
      <c r="H117" s="16">
        <v>367.5</v>
      </c>
      <c r="I117" s="16">
        <v>367.5</v>
      </c>
      <c r="J117" s="16">
        <v>1599.7</v>
      </c>
      <c r="K117" s="18">
        <f t="shared" si="54"/>
        <v>145.09750566893425</v>
      </c>
      <c r="L117" s="16">
        <f t="shared" si="55"/>
        <v>108.82312925170068</v>
      </c>
      <c r="M117" s="71">
        <f t="shared" si="56"/>
        <v>108.82312925170068</v>
      </c>
      <c r="N117" s="2"/>
    </row>
    <row r="118" spans="1:13" ht="22.5" hidden="1">
      <c r="A118" s="29" t="s">
        <v>62</v>
      </c>
      <c r="B118" s="24" t="s">
        <v>61</v>
      </c>
      <c r="C118" s="51"/>
      <c r="D118" s="51">
        <f>F118+G118+H118+I118</f>
        <v>0</v>
      </c>
      <c r="E118" s="38">
        <f t="shared" si="57"/>
        <v>0</v>
      </c>
      <c r="F118" s="51"/>
      <c r="G118" s="51"/>
      <c r="H118" s="16"/>
      <c r="I118" s="16"/>
      <c r="J118" s="16"/>
      <c r="K118" s="18" t="e">
        <f t="shared" si="54"/>
        <v>#DIV/0!</v>
      </c>
      <c r="L118" s="16" t="e">
        <f t="shared" si="55"/>
        <v>#DIV/0!</v>
      </c>
      <c r="M118" s="71" t="e">
        <f t="shared" si="56"/>
        <v>#DIV/0!</v>
      </c>
    </row>
    <row r="119" spans="1:13" ht="26.25" customHeight="1">
      <c r="A119" s="29" t="s">
        <v>62</v>
      </c>
      <c r="B119" s="24" t="s">
        <v>61</v>
      </c>
      <c r="C119" s="51">
        <v>3261.5</v>
      </c>
      <c r="D119" s="51">
        <f>F119+G119+H119+I119</f>
        <v>3741.6</v>
      </c>
      <c r="E119" s="38">
        <f t="shared" si="57"/>
        <v>2713.7</v>
      </c>
      <c r="F119" s="51">
        <v>819.9</v>
      </c>
      <c r="G119" s="51">
        <v>850.9</v>
      </c>
      <c r="H119" s="16">
        <v>1042.9</v>
      </c>
      <c r="I119" s="16">
        <v>1027.9</v>
      </c>
      <c r="J119" s="16">
        <v>3036.7</v>
      </c>
      <c r="K119" s="18">
        <f t="shared" si="54"/>
        <v>111.9025684489811</v>
      </c>
      <c r="L119" s="16">
        <f t="shared" si="55"/>
        <v>81.16046611075475</v>
      </c>
      <c r="M119" s="71">
        <f t="shared" si="56"/>
        <v>93.10746588992795</v>
      </c>
    </row>
    <row r="120" spans="1:13" ht="16.5" customHeight="1">
      <c r="A120" s="29" t="s">
        <v>8</v>
      </c>
      <c r="B120" s="24" t="s">
        <v>5</v>
      </c>
      <c r="C120" s="51">
        <v>10</v>
      </c>
      <c r="D120" s="51">
        <f>F120+G120+H120+I120</f>
        <v>10</v>
      </c>
      <c r="E120" s="38">
        <f t="shared" si="57"/>
        <v>10</v>
      </c>
      <c r="F120" s="51">
        <v>10</v>
      </c>
      <c r="G120" s="51"/>
      <c r="H120" s="16"/>
      <c r="I120" s="16"/>
      <c r="J120" s="16">
        <v>9</v>
      </c>
      <c r="K120" s="18">
        <f t="shared" si="54"/>
        <v>90</v>
      </c>
      <c r="L120" s="16">
        <f t="shared" si="55"/>
        <v>90</v>
      </c>
      <c r="M120" s="71">
        <f t="shared" si="56"/>
        <v>90</v>
      </c>
    </row>
    <row r="121" spans="1:13" ht="12.75">
      <c r="A121" s="29" t="s">
        <v>9</v>
      </c>
      <c r="B121" s="24" t="s">
        <v>6</v>
      </c>
      <c r="C121" s="51">
        <v>259</v>
      </c>
      <c r="D121" s="51">
        <f aca="true" t="shared" si="58" ref="D121:D129">F121+G121+H121+I121</f>
        <v>259</v>
      </c>
      <c r="E121" s="38">
        <f t="shared" si="57"/>
        <v>193.5</v>
      </c>
      <c r="F121" s="51">
        <v>65</v>
      </c>
      <c r="G121" s="51">
        <v>88</v>
      </c>
      <c r="H121" s="16">
        <v>40.5</v>
      </c>
      <c r="I121" s="16">
        <v>65.5</v>
      </c>
      <c r="J121" s="16">
        <v>75.3</v>
      </c>
      <c r="K121" s="18">
        <f t="shared" si="54"/>
        <v>38.91472868217054</v>
      </c>
      <c r="L121" s="16">
        <f t="shared" si="55"/>
        <v>29.07335907335907</v>
      </c>
      <c r="M121" s="71">
        <f t="shared" si="56"/>
        <v>29.07335907335907</v>
      </c>
    </row>
    <row r="122" spans="1:13" ht="12.75">
      <c r="A122" s="29" t="s">
        <v>10</v>
      </c>
      <c r="B122" s="24" t="s">
        <v>21</v>
      </c>
      <c r="C122" s="51">
        <v>13.5</v>
      </c>
      <c r="D122" s="51">
        <f t="shared" si="58"/>
        <v>13.5</v>
      </c>
      <c r="E122" s="38">
        <f t="shared" si="57"/>
        <v>10.2</v>
      </c>
      <c r="F122" s="51">
        <v>3.4</v>
      </c>
      <c r="G122" s="51">
        <v>3.4</v>
      </c>
      <c r="H122" s="16">
        <v>3.4</v>
      </c>
      <c r="I122" s="16">
        <v>3.3</v>
      </c>
      <c r="J122" s="16">
        <v>13.4</v>
      </c>
      <c r="K122" s="18">
        <f t="shared" si="54"/>
        <v>131.37254901960785</v>
      </c>
      <c r="L122" s="16">
        <f t="shared" si="55"/>
        <v>99.25925925925925</v>
      </c>
      <c r="M122" s="71">
        <f t="shared" si="56"/>
        <v>99.25925925925925</v>
      </c>
    </row>
    <row r="123" spans="1:13" ht="23.25" customHeight="1">
      <c r="A123" s="33" t="s">
        <v>11</v>
      </c>
      <c r="B123" s="24" t="s">
        <v>17</v>
      </c>
      <c r="C123" s="51">
        <v>467.3</v>
      </c>
      <c r="D123" s="51">
        <f t="shared" si="58"/>
        <v>467.29999999999995</v>
      </c>
      <c r="E123" s="38">
        <f t="shared" si="57"/>
        <v>350.4</v>
      </c>
      <c r="F123" s="51">
        <v>116.8</v>
      </c>
      <c r="G123" s="51">
        <v>116.8</v>
      </c>
      <c r="H123" s="16">
        <v>116.8</v>
      </c>
      <c r="I123" s="16">
        <v>116.9</v>
      </c>
      <c r="J123" s="16">
        <v>336.7</v>
      </c>
      <c r="K123" s="18">
        <f t="shared" si="54"/>
        <v>96.09018264840184</v>
      </c>
      <c r="L123" s="16">
        <f t="shared" si="55"/>
        <v>72.05221485127328</v>
      </c>
      <c r="M123" s="71">
        <f t="shared" si="56"/>
        <v>72.05221485127328</v>
      </c>
    </row>
    <row r="124" spans="1:13" ht="27" customHeight="1" hidden="1">
      <c r="A124" s="35" t="s">
        <v>40</v>
      </c>
      <c r="B124" s="24" t="s">
        <v>41</v>
      </c>
      <c r="C124" s="51"/>
      <c r="D124" s="51">
        <f t="shared" si="58"/>
        <v>0</v>
      </c>
      <c r="E124" s="38">
        <f t="shared" si="57"/>
        <v>0</v>
      </c>
      <c r="F124" s="51"/>
      <c r="G124" s="51"/>
      <c r="H124" s="16"/>
      <c r="I124" s="16"/>
      <c r="J124" s="16"/>
      <c r="K124" s="18"/>
      <c r="L124" s="16"/>
      <c r="M124" s="71"/>
    </row>
    <row r="125" spans="1:13" ht="14.25" customHeight="1" hidden="1">
      <c r="A125" s="34" t="s">
        <v>18</v>
      </c>
      <c r="B125" s="24" t="s">
        <v>15</v>
      </c>
      <c r="C125" s="51"/>
      <c r="D125" s="51">
        <f t="shared" si="58"/>
        <v>0</v>
      </c>
      <c r="E125" s="38">
        <f t="shared" si="57"/>
        <v>0</v>
      </c>
      <c r="F125" s="51"/>
      <c r="G125" s="51"/>
      <c r="H125" s="16"/>
      <c r="I125" s="16"/>
      <c r="J125" s="16"/>
      <c r="K125" s="18"/>
      <c r="L125" s="16"/>
      <c r="M125" s="71"/>
    </row>
    <row r="126" spans="1:13" ht="16.5" customHeight="1">
      <c r="A126" s="31" t="s">
        <v>12</v>
      </c>
      <c r="B126" s="24" t="s">
        <v>7</v>
      </c>
      <c r="C126" s="51"/>
      <c r="D126" s="51">
        <f t="shared" si="58"/>
        <v>0</v>
      </c>
      <c r="E126" s="38">
        <f t="shared" si="57"/>
        <v>0</v>
      </c>
      <c r="F126" s="51"/>
      <c r="G126" s="51"/>
      <c r="H126" s="16"/>
      <c r="I126" s="16"/>
      <c r="J126" s="16">
        <v>7.1</v>
      </c>
      <c r="K126" s="23"/>
      <c r="L126" s="21"/>
      <c r="M126" s="71"/>
    </row>
    <row r="127" spans="1:13" ht="14.25" customHeight="1">
      <c r="A127" s="34" t="s">
        <v>37</v>
      </c>
      <c r="B127" s="14" t="s">
        <v>38</v>
      </c>
      <c r="C127" s="51"/>
      <c r="D127" s="51">
        <f t="shared" si="58"/>
        <v>0</v>
      </c>
      <c r="E127" s="38">
        <f t="shared" si="57"/>
        <v>0</v>
      </c>
      <c r="F127" s="51"/>
      <c r="G127" s="51"/>
      <c r="H127" s="16"/>
      <c r="I127" s="16"/>
      <c r="J127" s="16"/>
      <c r="K127" s="23"/>
      <c r="L127" s="21"/>
      <c r="M127" s="71"/>
    </row>
    <row r="128" spans="1:13" ht="12.75">
      <c r="A128" s="30" t="s">
        <v>1</v>
      </c>
      <c r="B128" s="25" t="s">
        <v>0</v>
      </c>
      <c r="C128" s="26">
        <f>C129+C130</f>
        <v>26468.9</v>
      </c>
      <c r="D128" s="26">
        <f aca="true" t="shared" si="59" ref="D128:J128">D129+D130</f>
        <v>41700.700000000004</v>
      </c>
      <c r="E128" s="26">
        <f t="shared" si="59"/>
        <v>35098.4</v>
      </c>
      <c r="F128" s="26">
        <f t="shared" si="59"/>
        <v>9204.9</v>
      </c>
      <c r="G128" s="26">
        <f t="shared" si="59"/>
        <v>16338.1</v>
      </c>
      <c r="H128" s="26">
        <f t="shared" si="59"/>
        <v>9555.4</v>
      </c>
      <c r="I128" s="26">
        <f t="shared" si="59"/>
        <v>6602.3</v>
      </c>
      <c r="J128" s="26">
        <f t="shared" si="59"/>
        <v>36492.3</v>
      </c>
      <c r="K128" s="23">
        <f>J128*100/E128</f>
        <v>103.97140610398196</v>
      </c>
      <c r="L128" s="21">
        <f>J128*100/D128</f>
        <v>87.51004179785951</v>
      </c>
      <c r="M128" s="72">
        <f>J128*100/C128</f>
        <v>137.86859295248388</v>
      </c>
    </row>
    <row r="129" spans="1:13" ht="22.5">
      <c r="A129" s="69" t="s">
        <v>52</v>
      </c>
      <c r="B129" s="27" t="s">
        <v>20</v>
      </c>
      <c r="C129" s="50">
        <v>26468.9</v>
      </c>
      <c r="D129" s="51">
        <f t="shared" si="58"/>
        <v>41347.3</v>
      </c>
      <c r="E129" s="38">
        <f t="shared" si="57"/>
        <v>34745</v>
      </c>
      <c r="F129" s="51">
        <v>9204.9</v>
      </c>
      <c r="G129" s="51">
        <v>15984.7</v>
      </c>
      <c r="H129" s="16">
        <v>9555.4</v>
      </c>
      <c r="I129" s="16">
        <v>6602.3</v>
      </c>
      <c r="J129" s="16">
        <v>36138.9</v>
      </c>
      <c r="K129" s="18">
        <f>J129*100/E129</f>
        <v>104.01180025903008</v>
      </c>
      <c r="L129" s="16">
        <f>J129*100/D129</f>
        <v>87.40328872743807</v>
      </c>
      <c r="M129" s="71">
        <f>J129*100/C129</f>
        <v>136.53344113280113</v>
      </c>
    </row>
    <row r="130" spans="1:13" ht="22.5">
      <c r="A130" s="69" t="s">
        <v>69</v>
      </c>
      <c r="B130" s="24" t="s">
        <v>70</v>
      </c>
      <c r="C130" s="50"/>
      <c r="D130" s="51">
        <f>F130+G130+H130+I130</f>
        <v>353.4</v>
      </c>
      <c r="E130" s="38">
        <f t="shared" si="57"/>
        <v>353.4</v>
      </c>
      <c r="F130" s="51"/>
      <c r="G130" s="51">
        <v>353.4</v>
      </c>
      <c r="H130" s="16"/>
      <c r="I130" s="16"/>
      <c r="J130" s="16">
        <v>353.4</v>
      </c>
      <c r="K130" s="18"/>
      <c r="L130" s="16"/>
      <c r="M130" s="71"/>
    </row>
    <row r="131" spans="1:13" ht="12.75">
      <c r="A131" s="19"/>
      <c r="B131" s="20" t="s">
        <v>4</v>
      </c>
      <c r="C131" s="21">
        <f aca="true" t="shared" si="60" ref="C131:J131">C128+C116</f>
        <v>31950.2</v>
      </c>
      <c r="D131" s="21">
        <f t="shared" si="60"/>
        <v>47662.100000000006</v>
      </c>
      <c r="E131" s="21">
        <f t="shared" si="60"/>
        <v>39478.7</v>
      </c>
      <c r="F131" s="21">
        <f t="shared" si="60"/>
        <v>10587.5</v>
      </c>
      <c r="G131" s="21">
        <f t="shared" si="60"/>
        <v>17764.7</v>
      </c>
      <c r="H131" s="21">
        <f t="shared" si="60"/>
        <v>11126.5</v>
      </c>
      <c r="I131" s="21">
        <f t="shared" si="60"/>
        <v>8183.400000000001</v>
      </c>
      <c r="J131" s="21">
        <f t="shared" si="60"/>
        <v>41570.200000000004</v>
      </c>
      <c r="K131" s="23">
        <f>J131*100/E131</f>
        <v>105.29779349370675</v>
      </c>
      <c r="L131" s="21">
        <f>J131*100/D131</f>
        <v>87.21856569475537</v>
      </c>
      <c r="M131" s="72">
        <f>J131*100/C131</f>
        <v>130.10935768790182</v>
      </c>
    </row>
    <row r="132" spans="1:13" ht="12.75">
      <c r="A132" s="73"/>
      <c r="B132" s="74"/>
      <c r="C132" s="74"/>
      <c r="D132" s="74"/>
      <c r="E132" s="74"/>
      <c r="F132" s="74"/>
      <c r="G132" s="74"/>
      <c r="H132" s="74"/>
      <c r="I132" s="74"/>
      <c r="J132" s="74"/>
      <c r="K132" s="23"/>
      <c r="L132" s="21"/>
      <c r="M132" s="71"/>
    </row>
    <row r="133" spans="1:13" ht="12.75">
      <c r="A133" s="75" t="s">
        <v>29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</row>
    <row r="134" spans="1:13" ht="12.75">
      <c r="A134" s="30" t="s">
        <v>3</v>
      </c>
      <c r="B134" s="22" t="s">
        <v>53</v>
      </c>
      <c r="C134" s="23">
        <f aca="true" t="shared" si="61" ref="C134:I134">C135+C137+C138+C139+C141+C143+C140+C142+C136</f>
        <v>10865.7</v>
      </c>
      <c r="D134" s="23">
        <f t="shared" si="61"/>
        <v>11038.2</v>
      </c>
      <c r="E134" s="23">
        <f t="shared" si="61"/>
        <v>8541.4</v>
      </c>
      <c r="F134" s="23">
        <f t="shared" si="61"/>
        <v>2861.5</v>
      </c>
      <c r="G134" s="23">
        <f t="shared" si="61"/>
        <v>2987.5</v>
      </c>
      <c r="H134" s="23">
        <f t="shared" si="61"/>
        <v>2692.4</v>
      </c>
      <c r="I134" s="23">
        <f t="shared" si="61"/>
        <v>2496.8</v>
      </c>
      <c r="J134" s="23">
        <f>J135+J137+J138+J139+J141+J143+J140+J142+J136</f>
        <v>9423.9</v>
      </c>
      <c r="K134" s="23">
        <f aca="true" t="shared" si="62" ref="K134:K139">J134*100/E134</f>
        <v>110.33202987800595</v>
      </c>
      <c r="L134" s="21">
        <f aca="true" t="shared" si="63" ref="L134:L139">J134*100/D134</f>
        <v>85.3753329347176</v>
      </c>
      <c r="M134" s="72">
        <f aca="true" t="shared" si="64" ref="M134:M139">J134*100/C134</f>
        <v>86.73072144454568</v>
      </c>
    </row>
    <row r="135" spans="1:14" ht="12.75">
      <c r="A135" s="29" t="s">
        <v>63</v>
      </c>
      <c r="B135" s="47" t="s">
        <v>64</v>
      </c>
      <c r="C135" s="51">
        <v>3050</v>
      </c>
      <c r="D135" s="51">
        <f>F135+G135+H135+I135</f>
        <v>3050</v>
      </c>
      <c r="E135" s="38">
        <f aca="true" t="shared" si="65" ref="E135:E145">F135+G135+H135</f>
        <v>2300</v>
      </c>
      <c r="F135" s="50">
        <v>800</v>
      </c>
      <c r="G135" s="50">
        <v>750</v>
      </c>
      <c r="H135" s="15">
        <v>750</v>
      </c>
      <c r="I135" s="16">
        <v>750</v>
      </c>
      <c r="J135" s="16">
        <v>2196.5</v>
      </c>
      <c r="K135" s="18">
        <f t="shared" si="62"/>
        <v>95.5</v>
      </c>
      <c r="L135" s="16">
        <f t="shared" si="63"/>
        <v>72.01639344262296</v>
      </c>
      <c r="M135" s="71">
        <f t="shared" si="64"/>
        <v>72.01639344262296</v>
      </c>
      <c r="N135" s="2"/>
    </row>
    <row r="136" spans="1:13" ht="23.25" customHeight="1">
      <c r="A136" s="29" t="s">
        <v>62</v>
      </c>
      <c r="B136" s="24" t="s">
        <v>61</v>
      </c>
      <c r="C136" s="51">
        <v>7123.7</v>
      </c>
      <c r="D136" s="51">
        <f>F136+G136+H136+I136</f>
        <v>7123.7</v>
      </c>
      <c r="E136" s="38">
        <f t="shared" si="65"/>
        <v>5561.5</v>
      </c>
      <c r="F136" s="50">
        <v>1896.2</v>
      </c>
      <c r="G136" s="50">
        <v>1896.1</v>
      </c>
      <c r="H136" s="15">
        <v>1769.2</v>
      </c>
      <c r="I136" s="16">
        <v>1562.2</v>
      </c>
      <c r="J136" s="16">
        <v>6632.8</v>
      </c>
      <c r="K136" s="18">
        <f t="shared" si="62"/>
        <v>119.26278881596691</v>
      </c>
      <c r="L136" s="16">
        <f t="shared" si="63"/>
        <v>93.10891811839353</v>
      </c>
      <c r="M136" s="71">
        <f t="shared" si="64"/>
        <v>93.10891811839353</v>
      </c>
    </row>
    <row r="137" spans="1:13" ht="12.75">
      <c r="A137" s="29" t="s">
        <v>9</v>
      </c>
      <c r="B137" s="24" t="s">
        <v>6</v>
      </c>
      <c r="C137" s="51">
        <v>602</v>
      </c>
      <c r="D137" s="51">
        <f aca="true" t="shared" si="66" ref="D137:D148">F137+G137+H137+I137</f>
        <v>602</v>
      </c>
      <c r="E137" s="38">
        <f t="shared" si="65"/>
        <v>443</v>
      </c>
      <c r="F137" s="50">
        <v>147</v>
      </c>
      <c r="G137" s="50">
        <v>147</v>
      </c>
      <c r="H137" s="15">
        <v>149</v>
      </c>
      <c r="I137" s="16">
        <v>159</v>
      </c>
      <c r="J137" s="16">
        <v>138.7</v>
      </c>
      <c r="K137" s="18">
        <f t="shared" si="62"/>
        <v>31.309255079006768</v>
      </c>
      <c r="L137" s="16">
        <f t="shared" si="63"/>
        <v>23.03986710963455</v>
      </c>
      <c r="M137" s="71">
        <f t="shared" si="64"/>
        <v>23.03986710963455</v>
      </c>
    </row>
    <row r="138" spans="1:13" ht="12.75">
      <c r="A138" s="29" t="s">
        <v>10</v>
      </c>
      <c r="B138" s="24" t="s">
        <v>21</v>
      </c>
      <c r="C138" s="51">
        <v>20</v>
      </c>
      <c r="D138" s="51">
        <f t="shared" si="66"/>
        <v>20</v>
      </c>
      <c r="E138" s="38">
        <f t="shared" si="65"/>
        <v>14.399999999999999</v>
      </c>
      <c r="F138" s="50">
        <v>4.8</v>
      </c>
      <c r="G138" s="50">
        <v>4.8</v>
      </c>
      <c r="H138" s="15">
        <v>4.8</v>
      </c>
      <c r="I138" s="16">
        <v>5.6</v>
      </c>
      <c r="J138" s="16">
        <v>12.2</v>
      </c>
      <c r="K138" s="18">
        <f t="shared" si="62"/>
        <v>84.72222222222223</v>
      </c>
      <c r="L138" s="16">
        <f t="shared" si="63"/>
        <v>61</v>
      </c>
      <c r="M138" s="71">
        <f t="shared" si="64"/>
        <v>61</v>
      </c>
    </row>
    <row r="139" spans="1:13" ht="22.5">
      <c r="A139" s="33" t="s">
        <v>11</v>
      </c>
      <c r="B139" s="24" t="s">
        <v>17</v>
      </c>
      <c r="C139" s="51">
        <v>70</v>
      </c>
      <c r="D139" s="51">
        <f t="shared" si="66"/>
        <v>192.5</v>
      </c>
      <c r="E139" s="38">
        <f t="shared" si="65"/>
        <v>172.5</v>
      </c>
      <c r="F139" s="50">
        <v>13.5</v>
      </c>
      <c r="G139" s="50">
        <v>139.6</v>
      </c>
      <c r="H139" s="15">
        <v>19.4</v>
      </c>
      <c r="I139" s="16">
        <v>20</v>
      </c>
      <c r="J139" s="16">
        <v>228.2</v>
      </c>
      <c r="K139" s="18">
        <f t="shared" si="62"/>
        <v>132.28985507246378</v>
      </c>
      <c r="L139" s="16">
        <f t="shared" si="63"/>
        <v>118.54545454545455</v>
      </c>
      <c r="M139" s="71">
        <f t="shared" si="64"/>
        <v>326</v>
      </c>
    </row>
    <row r="140" spans="1:13" ht="22.5" hidden="1">
      <c r="A140" s="35" t="s">
        <v>40</v>
      </c>
      <c r="B140" s="24" t="s">
        <v>41</v>
      </c>
      <c r="C140" s="51"/>
      <c r="D140" s="51">
        <f t="shared" si="66"/>
        <v>0</v>
      </c>
      <c r="E140" s="38">
        <f t="shared" si="65"/>
        <v>0</v>
      </c>
      <c r="F140" s="50"/>
      <c r="G140" s="50"/>
      <c r="H140" s="15"/>
      <c r="I140" s="16"/>
      <c r="J140" s="16"/>
      <c r="K140" s="18" t="e">
        <f>J140*100/E140</f>
        <v>#DIV/0!</v>
      </c>
      <c r="L140" s="16" t="e">
        <f>J140*100/D140</f>
        <v>#DIV/0!</v>
      </c>
      <c r="M140" s="71" t="e">
        <f>J140*100/C140</f>
        <v>#DIV/0!</v>
      </c>
    </row>
    <row r="141" spans="1:13" ht="18.75" customHeight="1" hidden="1">
      <c r="A141" s="35" t="s">
        <v>18</v>
      </c>
      <c r="B141" s="24" t="s">
        <v>15</v>
      </c>
      <c r="C141" s="51"/>
      <c r="D141" s="51">
        <f t="shared" si="66"/>
        <v>0</v>
      </c>
      <c r="E141" s="38">
        <f t="shared" si="65"/>
        <v>0</v>
      </c>
      <c r="F141" s="50"/>
      <c r="G141" s="50"/>
      <c r="H141" s="15"/>
      <c r="I141" s="16"/>
      <c r="J141" s="16"/>
      <c r="K141" s="18" t="e">
        <f>J141*100/E141</f>
        <v>#DIV/0!</v>
      </c>
      <c r="L141" s="16" t="e">
        <f>J141*100/D141</f>
        <v>#DIV/0!</v>
      </c>
      <c r="M141" s="71" t="e">
        <f>J141*100/C141</f>
        <v>#DIV/0!</v>
      </c>
    </row>
    <row r="142" spans="1:13" ht="15" customHeight="1" hidden="1">
      <c r="A142" s="31" t="s">
        <v>12</v>
      </c>
      <c r="B142" s="24" t="s">
        <v>7</v>
      </c>
      <c r="C142" s="51"/>
      <c r="D142" s="51">
        <f t="shared" si="66"/>
        <v>0</v>
      </c>
      <c r="E142" s="38">
        <f t="shared" si="65"/>
        <v>0</v>
      </c>
      <c r="F142" s="50"/>
      <c r="G142" s="50"/>
      <c r="H142" s="15"/>
      <c r="I142" s="16"/>
      <c r="J142" s="16"/>
      <c r="K142" s="18" t="e">
        <f>J142*100/E142</f>
        <v>#DIV/0!</v>
      </c>
      <c r="L142" s="16" t="e">
        <f>J142*100/D142</f>
        <v>#DIV/0!</v>
      </c>
      <c r="M142" s="71" t="e">
        <f>J142*100/C142</f>
        <v>#DIV/0!</v>
      </c>
    </row>
    <row r="143" spans="1:13" ht="18" customHeight="1">
      <c r="A143" s="35" t="s">
        <v>37</v>
      </c>
      <c r="B143" s="14" t="s">
        <v>38</v>
      </c>
      <c r="C143" s="51"/>
      <c r="D143" s="51">
        <f t="shared" si="66"/>
        <v>50</v>
      </c>
      <c r="E143" s="38">
        <f t="shared" si="65"/>
        <v>50</v>
      </c>
      <c r="F143" s="50"/>
      <c r="G143" s="50">
        <v>50</v>
      </c>
      <c r="H143" s="15"/>
      <c r="I143" s="16"/>
      <c r="J143" s="15">
        <v>215.5</v>
      </c>
      <c r="K143" s="18">
        <f>J143*100/E143</f>
        <v>431</v>
      </c>
      <c r="L143" s="16">
        <f>J143*100/D143</f>
        <v>431</v>
      </c>
      <c r="M143" s="71"/>
    </row>
    <row r="144" spans="1:13" ht="18" customHeight="1">
      <c r="A144" s="68" t="s">
        <v>1</v>
      </c>
      <c r="B144" s="25" t="s">
        <v>0</v>
      </c>
      <c r="C144" s="26">
        <f aca="true" t="shared" si="67" ref="C144:I144">C145+C146+C147</f>
        <v>45067.3</v>
      </c>
      <c r="D144" s="26">
        <f>D145+D146+D148</f>
        <v>60803.5</v>
      </c>
      <c r="E144" s="26">
        <f t="shared" si="67"/>
        <v>45401.3</v>
      </c>
      <c r="F144" s="26">
        <f>F145+F146+F147+F148</f>
        <v>12976.3</v>
      </c>
      <c r="G144" s="26">
        <f t="shared" si="67"/>
        <v>18719.5</v>
      </c>
      <c r="H144" s="26">
        <f t="shared" si="67"/>
        <v>13705.5</v>
      </c>
      <c r="I144" s="26">
        <f t="shared" si="67"/>
        <v>15402.2</v>
      </c>
      <c r="J144" s="26">
        <f>J145+J146+J147+J148</f>
        <v>41881.8</v>
      </c>
      <c r="K144" s="23">
        <f aca="true" t="shared" si="68" ref="K144:K149">J144*100/E144</f>
        <v>92.24801932984298</v>
      </c>
      <c r="L144" s="21">
        <f aca="true" t="shared" si="69" ref="L144:L149">J144*100/D144</f>
        <v>68.88057430904472</v>
      </c>
      <c r="M144" s="72">
        <f>J144*100/C144</f>
        <v>92.93168217310556</v>
      </c>
    </row>
    <row r="145" spans="1:13" ht="22.5">
      <c r="A145" s="69" t="s">
        <v>52</v>
      </c>
      <c r="B145" s="27" t="s">
        <v>20</v>
      </c>
      <c r="C145" s="50">
        <v>45067.3</v>
      </c>
      <c r="D145" s="51">
        <f>F145+G145+H145+I145</f>
        <v>60803.5</v>
      </c>
      <c r="E145" s="38">
        <f t="shared" si="65"/>
        <v>45401.3</v>
      </c>
      <c r="F145" s="50">
        <v>12976.3</v>
      </c>
      <c r="G145" s="50">
        <v>18719.5</v>
      </c>
      <c r="H145" s="15">
        <v>13705.5</v>
      </c>
      <c r="I145" s="16">
        <v>15402.2</v>
      </c>
      <c r="J145" s="16">
        <v>41881.8</v>
      </c>
      <c r="K145" s="18">
        <f t="shared" si="68"/>
        <v>92.24801932984298</v>
      </c>
      <c r="L145" s="16">
        <f t="shared" si="69"/>
        <v>68.88057430904472</v>
      </c>
      <c r="M145" s="71">
        <f>J145*100/C145</f>
        <v>92.93168217310556</v>
      </c>
    </row>
    <row r="146" spans="1:13" ht="12.75" customHeight="1" hidden="1">
      <c r="A146" s="67" t="s">
        <v>2</v>
      </c>
      <c r="B146" s="28" t="s">
        <v>19</v>
      </c>
      <c r="C146" s="28"/>
      <c r="D146" s="51">
        <f t="shared" si="66"/>
        <v>0</v>
      </c>
      <c r="E146" s="38">
        <f>F146</f>
        <v>0</v>
      </c>
      <c r="F146" s="55"/>
      <c r="G146" s="55"/>
      <c r="H146" s="15"/>
      <c r="I146" s="16"/>
      <c r="J146" s="16"/>
      <c r="K146" s="18" t="e">
        <f t="shared" si="68"/>
        <v>#DIV/0!</v>
      </c>
      <c r="L146" s="16" t="e">
        <f t="shared" si="69"/>
        <v>#DIV/0!</v>
      </c>
      <c r="M146" s="71" t="e">
        <f>J146*100/C146</f>
        <v>#DIV/0!</v>
      </c>
    </row>
    <row r="147" spans="1:13" ht="33" customHeight="1" hidden="1">
      <c r="A147" s="67" t="s">
        <v>51</v>
      </c>
      <c r="B147" s="17" t="s">
        <v>49</v>
      </c>
      <c r="C147" s="28"/>
      <c r="D147" s="51">
        <f t="shared" si="66"/>
        <v>0</v>
      </c>
      <c r="E147" s="38">
        <f>F147</f>
        <v>0</v>
      </c>
      <c r="F147" s="55"/>
      <c r="G147" s="55"/>
      <c r="H147" s="15"/>
      <c r="I147" s="16"/>
      <c r="J147" s="16"/>
      <c r="K147" s="18" t="e">
        <f t="shared" si="68"/>
        <v>#DIV/0!</v>
      </c>
      <c r="L147" s="16" t="e">
        <f t="shared" si="69"/>
        <v>#DIV/0!</v>
      </c>
      <c r="M147" s="71" t="e">
        <f>J147*100/C147</f>
        <v>#DIV/0!</v>
      </c>
    </row>
    <row r="148" spans="1:13" ht="16.5" customHeight="1" hidden="1">
      <c r="A148" s="67" t="s">
        <v>60</v>
      </c>
      <c r="B148" s="28" t="s">
        <v>19</v>
      </c>
      <c r="C148" s="28"/>
      <c r="D148" s="51">
        <f t="shared" si="66"/>
        <v>0</v>
      </c>
      <c r="E148" s="38">
        <f>F148</f>
        <v>0</v>
      </c>
      <c r="F148" s="55"/>
      <c r="G148" s="55"/>
      <c r="H148" s="15"/>
      <c r="I148" s="16"/>
      <c r="J148" s="16"/>
      <c r="K148" s="18"/>
      <c r="L148" s="16"/>
      <c r="M148" s="71"/>
    </row>
    <row r="149" spans="1:13" ht="12.75">
      <c r="A149" s="19"/>
      <c r="B149" s="20" t="s">
        <v>4</v>
      </c>
      <c r="C149" s="21">
        <f aca="true" t="shared" si="70" ref="C149:I149">C144+C134</f>
        <v>55933</v>
      </c>
      <c r="D149" s="21">
        <f t="shared" si="70"/>
        <v>71841.7</v>
      </c>
      <c r="E149" s="21">
        <f t="shared" si="70"/>
        <v>53942.700000000004</v>
      </c>
      <c r="F149" s="52">
        <f t="shared" si="70"/>
        <v>15837.8</v>
      </c>
      <c r="G149" s="52">
        <f t="shared" si="70"/>
        <v>21707</v>
      </c>
      <c r="H149" s="52">
        <f t="shared" si="70"/>
        <v>16397.9</v>
      </c>
      <c r="I149" s="21">
        <f t="shared" si="70"/>
        <v>17899</v>
      </c>
      <c r="J149" s="21">
        <f>J144+J134</f>
        <v>51305.700000000004</v>
      </c>
      <c r="K149" s="23">
        <f t="shared" si="68"/>
        <v>95.11147940314444</v>
      </c>
      <c r="L149" s="21">
        <f t="shared" si="69"/>
        <v>71.41493032598059</v>
      </c>
      <c r="M149" s="72">
        <f>J149*100/C149</f>
        <v>91.7270663114798</v>
      </c>
    </row>
    <row r="150" spans="1:13" ht="12.75">
      <c r="A150" s="85"/>
      <c r="B150" s="86"/>
      <c r="C150" s="86"/>
      <c r="D150" s="86"/>
      <c r="E150" s="86"/>
      <c r="F150" s="86"/>
      <c r="G150" s="86"/>
      <c r="H150" s="86"/>
      <c r="I150" s="86"/>
      <c r="J150" s="86"/>
      <c r="K150" s="23"/>
      <c r="L150" s="21"/>
      <c r="M150" s="71"/>
    </row>
    <row r="151" spans="1:13" ht="12.75">
      <c r="A151" s="75" t="s">
        <v>30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</row>
    <row r="152" spans="1:13" ht="12.75">
      <c r="A152" s="30" t="s">
        <v>3</v>
      </c>
      <c r="B152" s="22" t="s">
        <v>53</v>
      </c>
      <c r="C152" s="23">
        <f aca="true" t="shared" si="71" ref="C152:I152">C153+C156+C158+C160+C157+C161+C159+C162+C155+C154</f>
        <v>24879.8</v>
      </c>
      <c r="D152" s="23">
        <f t="shared" si="71"/>
        <v>27014.699999999997</v>
      </c>
      <c r="E152" s="23">
        <f t="shared" si="71"/>
        <v>20420.5</v>
      </c>
      <c r="F152" s="23">
        <f t="shared" si="71"/>
        <v>7356.8</v>
      </c>
      <c r="G152" s="23">
        <f t="shared" si="71"/>
        <v>6786.7</v>
      </c>
      <c r="H152" s="23">
        <f t="shared" si="71"/>
        <v>6277</v>
      </c>
      <c r="I152" s="23">
        <f t="shared" si="71"/>
        <v>6594.2</v>
      </c>
      <c r="J152" s="23">
        <f>J153+J156+J158+J160+J157+J161+J159+J162+J155+J154</f>
        <v>21759</v>
      </c>
      <c r="K152" s="23">
        <f aca="true" t="shared" si="72" ref="K152:K159">J152*100/E152</f>
        <v>106.55468769129061</v>
      </c>
      <c r="L152" s="21">
        <f aca="true" t="shared" si="73" ref="L152:L159">J152*100/D152</f>
        <v>80.54503659118924</v>
      </c>
      <c r="M152" s="72">
        <f aca="true" t="shared" si="74" ref="M152:M158">J152*100/C152</f>
        <v>87.45649080780392</v>
      </c>
    </row>
    <row r="153" spans="1:14" ht="12.75">
      <c r="A153" s="29" t="s">
        <v>63</v>
      </c>
      <c r="B153" s="47" t="s">
        <v>64</v>
      </c>
      <c r="C153" s="51">
        <v>14820</v>
      </c>
      <c r="D153" s="50">
        <f>F153+G153+H153+I153</f>
        <v>14820</v>
      </c>
      <c r="E153" s="38">
        <f aca="true" t="shared" si="75" ref="E153:E164">F153+G153+H153</f>
        <v>10950.6</v>
      </c>
      <c r="F153" s="50">
        <v>3350</v>
      </c>
      <c r="G153" s="50">
        <v>3550</v>
      </c>
      <c r="H153" s="15">
        <v>4050.6</v>
      </c>
      <c r="I153" s="16">
        <v>3869.4</v>
      </c>
      <c r="J153" s="16">
        <v>12885.1</v>
      </c>
      <c r="K153" s="18">
        <f t="shared" si="72"/>
        <v>117.66569868317717</v>
      </c>
      <c r="L153" s="16">
        <f t="shared" si="73"/>
        <v>86.94399460188934</v>
      </c>
      <c r="M153" s="71">
        <f t="shared" si="74"/>
        <v>86.94399460188934</v>
      </c>
      <c r="N153" s="2"/>
    </row>
    <row r="154" spans="1:13" ht="25.5" customHeight="1">
      <c r="A154" s="29" t="s">
        <v>62</v>
      </c>
      <c r="B154" s="24" t="s">
        <v>61</v>
      </c>
      <c r="C154" s="51">
        <v>7486.8</v>
      </c>
      <c r="D154" s="50">
        <f>F154+G154+H154+I154</f>
        <v>8103.5</v>
      </c>
      <c r="E154" s="38">
        <f t="shared" si="75"/>
        <v>6132.2</v>
      </c>
      <c r="F154" s="50">
        <v>2515.7</v>
      </c>
      <c r="G154" s="50">
        <v>1833.7</v>
      </c>
      <c r="H154" s="15">
        <v>1782.8</v>
      </c>
      <c r="I154" s="16">
        <v>1971.3</v>
      </c>
      <c r="J154" s="16">
        <v>6970.9</v>
      </c>
      <c r="K154" s="18">
        <f t="shared" si="72"/>
        <v>113.67698379048302</v>
      </c>
      <c r="L154" s="16">
        <f t="shared" si="73"/>
        <v>86.02332325538347</v>
      </c>
      <c r="M154" s="71">
        <f t="shared" si="74"/>
        <v>93.10920553507506</v>
      </c>
    </row>
    <row r="155" spans="1:13" ht="12.75" customHeight="1">
      <c r="A155" s="29" t="s">
        <v>8</v>
      </c>
      <c r="B155" s="24" t="s">
        <v>5</v>
      </c>
      <c r="C155" s="51">
        <v>5</v>
      </c>
      <c r="D155" s="50">
        <f aca="true" t="shared" si="76" ref="D155:D166">F155+G155+H155+I155</f>
        <v>5</v>
      </c>
      <c r="E155" s="38">
        <f t="shared" si="75"/>
        <v>3.8</v>
      </c>
      <c r="F155" s="50">
        <v>1.3</v>
      </c>
      <c r="G155" s="50">
        <v>1.5</v>
      </c>
      <c r="H155" s="15">
        <v>1</v>
      </c>
      <c r="I155" s="16">
        <v>1.2</v>
      </c>
      <c r="J155" s="16">
        <v>76.7</v>
      </c>
      <c r="K155" s="18">
        <f t="shared" si="72"/>
        <v>2018.421052631579</v>
      </c>
      <c r="L155" s="16">
        <f t="shared" si="73"/>
        <v>1534</v>
      </c>
      <c r="M155" s="71">
        <f t="shared" si="74"/>
        <v>1534</v>
      </c>
    </row>
    <row r="156" spans="1:13" ht="12.75">
      <c r="A156" s="29" t="s">
        <v>9</v>
      </c>
      <c r="B156" s="24" t="s">
        <v>6</v>
      </c>
      <c r="C156" s="51">
        <v>1695</v>
      </c>
      <c r="D156" s="50">
        <f t="shared" si="76"/>
        <v>1695</v>
      </c>
      <c r="E156" s="38">
        <f t="shared" si="75"/>
        <v>1032.9</v>
      </c>
      <c r="F156" s="50">
        <v>362.6</v>
      </c>
      <c r="G156" s="50">
        <v>308.2</v>
      </c>
      <c r="H156" s="15">
        <v>362.1</v>
      </c>
      <c r="I156" s="16">
        <v>662.1</v>
      </c>
      <c r="J156" s="16">
        <v>756.7</v>
      </c>
      <c r="K156" s="18">
        <f t="shared" si="72"/>
        <v>73.259754090425</v>
      </c>
      <c r="L156" s="16">
        <f t="shared" si="73"/>
        <v>44.64306784660767</v>
      </c>
      <c r="M156" s="71">
        <f t="shared" si="74"/>
        <v>44.64306784660767</v>
      </c>
    </row>
    <row r="157" spans="1:13" ht="12.75">
      <c r="A157" s="29" t="s">
        <v>10</v>
      </c>
      <c r="B157" s="24" t="s">
        <v>21</v>
      </c>
      <c r="C157" s="51">
        <v>67.1</v>
      </c>
      <c r="D157" s="50">
        <f t="shared" si="76"/>
        <v>67.1</v>
      </c>
      <c r="E157" s="38">
        <f t="shared" si="75"/>
        <v>50.9</v>
      </c>
      <c r="F157" s="50">
        <v>18.3</v>
      </c>
      <c r="G157" s="50">
        <v>13.7</v>
      </c>
      <c r="H157" s="15">
        <v>18.9</v>
      </c>
      <c r="I157" s="16">
        <v>16.2</v>
      </c>
      <c r="J157" s="16">
        <v>57.3</v>
      </c>
      <c r="K157" s="18">
        <f t="shared" si="72"/>
        <v>112.57367387033399</v>
      </c>
      <c r="L157" s="16">
        <f t="shared" si="73"/>
        <v>85.39493293591654</v>
      </c>
      <c r="M157" s="71">
        <f t="shared" si="74"/>
        <v>85.39493293591654</v>
      </c>
    </row>
    <row r="158" spans="1:13" ht="22.5">
      <c r="A158" s="33" t="s">
        <v>11</v>
      </c>
      <c r="B158" s="24" t="s">
        <v>17</v>
      </c>
      <c r="C158" s="51">
        <v>805.9</v>
      </c>
      <c r="D158" s="50">
        <f t="shared" si="76"/>
        <v>1324.1</v>
      </c>
      <c r="E158" s="38">
        <f t="shared" si="75"/>
        <v>1250.1</v>
      </c>
      <c r="F158" s="50">
        <v>608.9</v>
      </c>
      <c r="G158" s="50">
        <v>579.6</v>
      </c>
      <c r="H158" s="15">
        <v>61.6</v>
      </c>
      <c r="I158" s="16">
        <v>74</v>
      </c>
      <c r="J158" s="16">
        <v>99.3</v>
      </c>
      <c r="K158" s="18">
        <f t="shared" si="72"/>
        <v>7.943364530837534</v>
      </c>
      <c r="L158" s="16">
        <f t="shared" si="73"/>
        <v>7.499433577524357</v>
      </c>
      <c r="M158" s="71">
        <f t="shared" si="74"/>
        <v>12.321627993547587</v>
      </c>
    </row>
    <row r="159" spans="1:13" ht="24" customHeight="1">
      <c r="A159" s="35" t="s">
        <v>40</v>
      </c>
      <c r="B159" s="24" t="s">
        <v>41</v>
      </c>
      <c r="C159" s="51"/>
      <c r="D159" s="50">
        <f t="shared" si="76"/>
        <v>1000</v>
      </c>
      <c r="E159" s="38">
        <f t="shared" si="75"/>
        <v>1000</v>
      </c>
      <c r="F159" s="50">
        <v>500</v>
      </c>
      <c r="G159" s="50">
        <v>500</v>
      </c>
      <c r="H159" s="15"/>
      <c r="I159" s="16"/>
      <c r="J159" s="16">
        <v>909.8</v>
      </c>
      <c r="K159" s="18">
        <f t="shared" si="72"/>
        <v>90.98</v>
      </c>
      <c r="L159" s="16">
        <f t="shared" si="73"/>
        <v>90.98</v>
      </c>
      <c r="M159" s="71"/>
    </row>
    <row r="160" spans="1:13" ht="18" customHeight="1" hidden="1">
      <c r="A160" s="34" t="s">
        <v>18</v>
      </c>
      <c r="B160" s="24" t="s">
        <v>15</v>
      </c>
      <c r="C160" s="51"/>
      <c r="D160" s="50">
        <f t="shared" si="76"/>
        <v>0</v>
      </c>
      <c r="E160" s="38">
        <f t="shared" si="75"/>
        <v>0</v>
      </c>
      <c r="F160" s="50"/>
      <c r="G160" s="50"/>
      <c r="H160" s="15"/>
      <c r="I160" s="16"/>
      <c r="J160" s="16"/>
      <c r="K160" s="18"/>
      <c r="L160" s="16"/>
      <c r="M160" s="71"/>
    </row>
    <row r="161" spans="1:13" ht="21" customHeight="1">
      <c r="A161" s="31" t="s">
        <v>12</v>
      </c>
      <c r="B161" s="24" t="s">
        <v>7</v>
      </c>
      <c r="C161" s="51"/>
      <c r="D161" s="50">
        <f t="shared" si="76"/>
        <v>0</v>
      </c>
      <c r="E161" s="38">
        <f t="shared" si="75"/>
        <v>0</v>
      </c>
      <c r="F161" s="50"/>
      <c r="G161" s="50"/>
      <c r="H161" s="15"/>
      <c r="I161" s="16"/>
      <c r="J161" s="16">
        <v>3.2</v>
      </c>
      <c r="K161" s="18"/>
      <c r="L161" s="16"/>
      <c r="M161" s="71"/>
    </row>
    <row r="162" spans="1:13" ht="16.5" customHeight="1">
      <c r="A162" s="34" t="s">
        <v>37</v>
      </c>
      <c r="B162" s="14" t="s">
        <v>38</v>
      </c>
      <c r="C162" s="51"/>
      <c r="D162" s="50">
        <f t="shared" si="76"/>
        <v>0</v>
      </c>
      <c r="E162" s="38">
        <f t="shared" si="75"/>
        <v>0</v>
      </c>
      <c r="F162" s="50"/>
      <c r="G162" s="50"/>
      <c r="H162" s="15"/>
      <c r="I162" s="16"/>
      <c r="J162" s="16"/>
      <c r="K162" s="23"/>
      <c r="L162" s="21"/>
      <c r="M162" s="71"/>
    </row>
    <row r="163" spans="1:13" ht="12.75">
      <c r="A163" s="30" t="s">
        <v>1</v>
      </c>
      <c r="B163" s="25" t="s">
        <v>0</v>
      </c>
      <c r="C163" s="26">
        <f>C164+C165+C166</f>
        <v>41406.8</v>
      </c>
      <c r="D163" s="26">
        <f aca="true" t="shared" si="77" ref="D163:I163">D164+D165+D166</f>
        <v>59199.5</v>
      </c>
      <c r="E163" s="26">
        <f t="shared" si="77"/>
        <v>48743.3</v>
      </c>
      <c r="F163" s="26">
        <f t="shared" si="77"/>
        <v>14341</v>
      </c>
      <c r="G163" s="26">
        <f t="shared" si="77"/>
        <v>15866.1</v>
      </c>
      <c r="H163" s="26">
        <f t="shared" si="77"/>
        <v>18536.2</v>
      </c>
      <c r="I163" s="26">
        <f t="shared" si="77"/>
        <v>10456.2</v>
      </c>
      <c r="J163" s="26">
        <f>J164+J165+J166</f>
        <v>40203.9</v>
      </c>
      <c r="K163" s="23">
        <f>J163*100/E163</f>
        <v>82.48087429451842</v>
      </c>
      <c r="L163" s="21">
        <f>J163*100/D163</f>
        <v>67.91256682911174</v>
      </c>
      <c r="M163" s="72">
        <f>J163*100/C163</f>
        <v>97.09492160707903</v>
      </c>
    </row>
    <row r="164" spans="1:13" ht="22.5">
      <c r="A164" s="69" t="s">
        <v>52</v>
      </c>
      <c r="B164" s="27" t="s">
        <v>20</v>
      </c>
      <c r="C164" s="50">
        <v>41406.8</v>
      </c>
      <c r="D164" s="50">
        <f t="shared" si="76"/>
        <v>59199.5</v>
      </c>
      <c r="E164" s="38">
        <f t="shared" si="75"/>
        <v>48743.3</v>
      </c>
      <c r="F164" s="50">
        <v>14341</v>
      </c>
      <c r="G164" s="50">
        <v>15866.1</v>
      </c>
      <c r="H164" s="15">
        <v>18536.2</v>
      </c>
      <c r="I164" s="16">
        <v>10456.2</v>
      </c>
      <c r="J164" s="16">
        <v>40203.9</v>
      </c>
      <c r="K164" s="18">
        <f>J164*100/E164</f>
        <v>82.48087429451842</v>
      </c>
      <c r="L164" s="16">
        <f>J164*100/D164</f>
        <v>67.91256682911174</v>
      </c>
      <c r="M164" s="71">
        <f>J164*100/C164</f>
        <v>97.09492160707903</v>
      </c>
    </row>
    <row r="165" spans="1:13" ht="30.75" customHeight="1" hidden="1">
      <c r="A165" s="67" t="s">
        <v>60</v>
      </c>
      <c r="B165" s="28" t="s">
        <v>19</v>
      </c>
      <c r="C165" s="28"/>
      <c r="D165" s="50">
        <f t="shared" si="76"/>
        <v>0</v>
      </c>
      <c r="E165" s="38">
        <f>F165</f>
        <v>0</v>
      </c>
      <c r="F165" s="50"/>
      <c r="G165" s="50"/>
      <c r="H165" s="15"/>
      <c r="I165" s="16"/>
      <c r="J165" s="16"/>
      <c r="K165" s="18" t="e">
        <f>J165*100/E165</f>
        <v>#DIV/0!</v>
      </c>
      <c r="L165" s="16" t="e">
        <f>J165*100/D165</f>
        <v>#DIV/0!</v>
      </c>
      <c r="M165" s="71"/>
    </row>
    <row r="166" spans="1:13" ht="24" customHeight="1">
      <c r="A166" s="67" t="s">
        <v>51</v>
      </c>
      <c r="B166" s="17" t="s">
        <v>49</v>
      </c>
      <c r="C166" s="28"/>
      <c r="D166" s="50">
        <f t="shared" si="76"/>
        <v>0</v>
      </c>
      <c r="E166" s="38">
        <f>F166</f>
        <v>0</v>
      </c>
      <c r="F166" s="50"/>
      <c r="G166" s="50"/>
      <c r="H166" s="15"/>
      <c r="I166" s="16"/>
      <c r="J166" s="16"/>
      <c r="K166" s="18"/>
      <c r="L166" s="16"/>
      <c r="M166" s="71"/>
    </row>
    <row r="167" spans="1:13" ht="12.75">
      <c r="A167" s="19"/>
      <c r="B167" s="20" t="s">
        <v>4</v>
      </c>
      <c r="C167" s="21">
        <f aca="true" t="shared" si="78" ref="C167:I167">C163+C152</f>
        <v>66286.6</v>
      </c>
      <c r="D167" s="21">
        <f>D163+D152</f>
        <v>86214.2</v>
      </c>
      <c r="E167" s="21">
        <f t="shared" si="78"/>
        <v>69163.8</v>
      </c>
      <c r="F167" s="21">
        <f t="shared" si="78"/>
        <v>21697.8</v>
      </c>
      <c r="G167" s="21">
        <f t="shared" si="78"/>
        <v>22652.8</v>
      </c>
      <c r="H167" s="21">
        <f t="shared" si="78"/>
        <v>24813.2</v>
      </c>
      <c r="I167" s="21">
        <f t="shared" si="78"/>
        <v>17050.4</v>
      </c>
      <c r="J167" s="21">
        <f>J163+J152</f>
        <v>61962.9</v>
      </c>
      <c r="K167" s="23">
        <f>J167*100/E167</f>
        <v>89.58862873352822</v>
      </c>
      <c r="L167" s="21">
        <f>J167*100/D167</f>
        <v>71.87087509946157</v>
      </c>
      <c r="M167" s="72">
        <f>J167*100/C167</f>
        <v>93.47726388138778</v>
      </c>
    </row>
    <row r="168" spans="1:13" ht="12.75">
      <c r="A168" s="73"/>
      <c r="B168" s="74"/>
      <c r="C168" s="74"/>
      <c r="D168" s="74"/>
      <c r="E168" s="74"/>
      <c r="F168" s="74"/>
      <c r="G168" s="74"/>
      <c r="H168" s="74"/>
      <c r="I168" s="74"/>
      <c r="J168" s="74"/>
      <c r="K168" s="23"/>
      <c r="L168" s="21"/>
      <c r="M168" s="71"/>
    </row>
    <row r="169" spans="1:13" ht="12.75">
      <c r="A169" s="75" t="s">
        <v>31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</row>
    <row r="170" spans="1:13" ht="12.75">
      <c r="A170" s="30" t="s">
        <v>3</v>
      </c>
      <c r="B170" s="22" t="s">
        <v>53</v>
      </c>
      <c r="C170" s="23">
        <f aca="true" t="shared" si="79" ref="C170:I170">C171+C174+C175+C176+C178+C179+C180+C177+C172+C173</f>
        <v>7324.9</v>
      </c>
      <c r="D170" s="23">
        <f t="shared" si="79"/>
        <v>7629.9</v>
      </c>
      <c r="E170" s="23">
        <f t="shared" si="79"/>
        <v>5372.099999999999</v>
      </c>
      <c r="F170" s="23">
        <f t="shared" si="79"/>
        <v>1574.8</v>
      </c>
      <c r="G170" s="23">
        <f t="shared" si="79"/>
        <v>1949.3</v>
      </c>
      <c r="H170" s="23">
        <f t="shared" si="79"/>
        <v>1848.0000000000002</v>
      </c>
      <c r="I170" s="23">
        <f t="shared" si="79"/>
        <v>2257.8</v>
      </c>
      <c r="J170" s="23">
        <f>J171+J174+J175+J176+J178+J179+J180+J177+J172+J173</f>
        <v>5920.2</v>
      </c>
      <c r="K170" s="23">
        <f aca="true" t="shared" si="80" ref="K170:K178">J170*100/E170</f>
        <v>110.20271402244933</v>
      </c>
      <c r="L170" s="21">
        <f aca="true" t="shared" si="81" ref="L170:L178">J170*100/D170</f>
        <v>77.5921047458027</v>
      </c>
      <c r="M170" s="72">
        <f aca="true" t="shared" si="82" ref="M170:M177">J170*100/C170</f>
        <v>80.82294638834661</v>
      </c>
    </row>
    <row r="171" spans="1:14" ht="12.75">
      <c r="A171" s="29" t="s">
        <v>63</v>
      </c>
      <c r="B171" s="47" t="s">
        <v>64</v>
      </c>
      <c r="C171" s="51">
        <v>2750</v>
      </c>
      <c r="D171" s="50">
        <f>F171+G171+H171+I171</f>
        <v>2765.4</v>
      </c>
      <c r="E171" s="38">
        <f aca="true" t="shared" si="83" ref="E171:E182">F171+G171+H171</f>
        <v>2077.9</v>
      </c>
      <c r="F171" s="51">
        <v>687.5</v>
      </c>
      <c r="G171" s="51">
        <v>687.5</v>
      </c>
      <c r="H171" s="15">
        <v>702.9</v>
      </c>
      <c r="I171" s="16">
        <v>687.5</v>
      </c>
      <c r="J171" s="16">
        <v>2223.8</v>
      </c>
      <c r="K171" s="18">
        <f t="shared" si="80"/>
        <v>107.02151210356611</v>
      </c>
      <c r="L171" s="16">
        <f t="shared" si="81"/>
        <v>80.41512981847112</v>
      </c>
      <c r="M171" s="71">
        <f t="shared" si="82"/>
        <v>80.86545454545455</v>
      </c>
      <c r="N171" s="2"/>
    </row>
    <row r="172" spans="1:13" ht="26.25" customHeight="1">
      <c r="A172" s="29" t="s">
        <v>62</v>
      </c>
      <c r="B172" s="24" t="s">
        <v>61</v>
      </c>
      <c r="C172" s="51">
        <v>3083.2</v>
      </c>
      <c r="D172" s="50">
        <f>F172+G172+H172+I172</f>
        <v>3383.2</v>
      </c>
      <c r="E172" s="38">
        <f t="shared" si="83"/>
        <v>2612.3999999999996</v>
      </c>
      <c r="F172" s="51">
        <v>770.8</v>
      </c>
      <c r="G172" s="51">
        <v>1070.8</v>
      </c>
      <c r="H172" s="15">
        <v>770.8</v>
      </c>
      <c r="I172" s="16">
        <v>770.8</v>
      </c>
      <c r="J172" s="16">
        <v>2870.7</v>
      </c>
      <c r="K172" s="18">
        <f t="shared" si="80"/>
        <v>109.88745980707397</v>
      </c>
      <c r="L172" s="16">
        <f t="shared" si="81"/>
        <v>84.85161976826673</v>
      </c>
      <c r="M172" s="71">
        <f t="shared" si="82"/>
        <v>93.10781006746238</v>
      </c>
    </row>
    <row r="173" spans="1:13" ht="17.25" customHeight="1">
      <c r="A173" s="29" t="s">
        <v>8</v>
      </c>
      <c r="B173" s="24" t="s">
        <v>5</v>
      </c>
      <c r="C173" s="51">
        <v>2</v>
      </c>
      <c r="D173" s="50">
        <f>F173+G173+H173+I173</f>
        <v>6.4</v>
      </c>
      <c r="E173" s="38">
        <f t="shared" si="83"/>
        <v>6.4</v>
      </c>
      <c r="F173" s="51"/>
      <c r="G173" s="51">
        <v>2</v>
      </c>
      <c r="H173" s="15">
        <v>4.4</v>
      </c>
      <c r="I173" s="16"/>
      <c r="J173" s="16">
        <v>6.4</v>
      </c>
      <c r="K173" s="18">
        <f t="shared" si="80"/>
        <v>100</v>
      </c>
      <c r="L173" s="16">
        <f t="shared" si="81"/>
        <v>100</v>
      </c>
      <c r="M173" s="71">
        <f t="shared" si="82"/>
        <v>320</v>
      </c>
    </row>
    <row r="174" spans="1:13" ht="12.75">
      <c r="A174" s="29" t="s">
        <v>9</v>
      </c>
      <c r="B174" s="24" t="s">
        <v>6</v>
      </c>
      <c r="C174" s="51">
        <v>685</v>
      </c>
      <c r="D174" s="50">
        <f>F174+G174+H174+I174</f>
        <v>685</v>
      </c>
      <c r="E174" s="38">
        <f t="shared" si="83"/>
        <v>171.3</v>
      </c>
      <c r="F174" s="51"/>
      <c r="G174" s="51"/>
      <c r="H174" s="15">
        <v>171.3</v>
      </c>
      <c r="I174" s="16">
        <v>513.7</v>
      </c>
      <c r="J174" s="16">
        <v>322.9</v>
      </c>
      <c r="K174" s="18">
        <f t="shared" si="80"/>
        <v>188.49970811441912</v>
      </c>
      <c r="L174" s="16">
        <f t="shared" si="81"/>
        <v>47.138686131386855</v>
      </c>
      <c r="M174" s="71">
        <f t="shared" si="82"/>
        <v>47.138686131386855</v>
      </c>
    </row>
    <row r="175" spans="1:13" ht="12.75">
      <c r="A175" s="29" t="s">
        <v>10</v>
      </c>
      <c r="B175" s="24" t="s">
        <v>21</v>
      </c>
      <c r="C175" s="51">
        <v>24</v>
      </c>
      <c r="D175" s="50">
        <f aca="true" t="shared" si="84" ref="D175:D182">F175+G175+H175+I175</f>
        <v>19.6</v>
      </c>
      <c r="E175" s="38">
        <f t="shared" si="83"/>
        <v>13.6</v>
      </c>
      <c r="F175" s="51">
        <v>6</v>
      </c>
      <c r="G175" s="51">
        <v>6</v>
      </c>
      <c r="H175" s="15">
        <v>1.6</v>
      </c>
      <c r="I175" s="16">
        <v>6</v>
      </c>
      <c r="J175" s="16">
        <v>4.7</v>
      </c>
      <c r="K175" s="18">
        <f t="shared" si="80"/>
        <v>34.55882352941177</v>
      </c>
      <c r="L175" s="16">
        <f t="shared" si="81"/>
        <v>23.97959183673469</v>
      </c>
      <c r="M175" s="71">
        <f t="shared" si="82"/>
        <v>19.583333333333332</v>
      </c>
    </row>
    <row r="176" spans="1:13" ht="22.5">
      <c r="A176" s="33" t="s">
        <v>11</v>
      </c>
      <c r="B176" s="24" t="s">
        <v>17</v>
      </c>
      <c r="C176" s="51">
        <v>761.2</v>
      </c>
      <c r="D176" s="50">
        <f t="shared" si="84"/>
        <v>763.5</v>
      </c>
      <c r="E176" s="38">
        <f t="shared" si="83"/>
        <v>488.5</v>
      </c>
      <c r="F176" s="51">
        <v>105.6</v>
      </c>
      <c r="G176" s="51">
        <v>192.6</v>
      </c>
      <c r="H176" s="15">
        <v>190.3</v>
      </c>
      <c r="I176" s="16">
        <v>275</v>
      </c>
      <c r="J176" s="16">
        <v>484.9</v>
      </c>
      <c r="K176" s="18">
        <f t="shared" si="80"/>
        <v>99.26305015353122</v>
      </c>
      <c r="L176" s="16">
        <f t="shared" si="81"/>
        <v>63.51015062213491</v>
      </c>
      <c r="M176" s="71">
        <f t="shared" si="82"/>
        <v>63.70204939569101</v>
      </c>
    </row>
    <row r="177" spans="1:13" ht="13.5" customHeight="1">
      <c r="A177" s="35" t="s">
        <v>40</v>
      </c>
      <c r="B177" s="24" t="s">
        <v>41</v>
      </c>
      <c r="C177" s="51">
        <v>19.5</v>
      </c>
      <c r="D177" s="50">
        <f t="shared" si="84"/>
        <v>0</v>
      </c>
      <c r="E177" s="38">
        <f t="shared" si="83"/>
        <v>-4.799999999999999</v>
      </c>
      <c r="F177" s="51">
        <v>4.9</v>
      </c>
      <c r="G177" s="51">
        <v>-14.6</v>
      </c>
      <c r="H177" s="15">
        <v>4.9</v>
      </c>
      <c r="I177" s="16">
        <v>4.8</v>
      </c>
      <c r="J177" s="16"/>
      <c r="K177" s="18">
        <f t="shared" si="80"/>
        <v>0</v>
      </c>
      <c r="L177" s="16" t="e">
        <f t="shared" si="81"/>
        <v>#DIV/0!</v>
      </c>
      <c r="M177" s="71">
        <f t="shared" si="82"/>
        <v>0</v>
      </c>
    </row>
    <row r="178" spans="1:13" ht="13.5" customHeight="1" hidden="1">
      <c r="A178" s="34" t="s">
        <v>18</v>
      </c>
      <c r="B178" s="24" t="s">
        <v>15</v>
      </c>
      <c r="C178" s="51"/>
      <c r="D178" s="50">
        <f t="shared" si="84"/>
        <v>0</v>
      </c>
      <c r="E178" s="38">
        <f t="shared" si="83"/>
        <v>0</v>
      </c>
      <c r="F178" s="51"/>
      <c r="G178" s="51"/>
      <c r="H178" s="15"/>
      <c r="I178" s="16"/>
      <c r="J178" s="16"/>
      <c r="K178" s="18" t="e">
        <f t="shared" si="80"/>
        <v>#DIV/0!</v>
      </c>
      <c r="L178" s="16" t="e">
        <f t="shared" si="81"/>
        <v>#DIV/0!</v>
      </c>
      <c r="M178" s="71"/>
    </row>
    <row r="179" spans="1:13" ht="16.5" customHeight="1">
      <c r="A179" s="31" t="s">
        <v>12</v>
      </c>
      <c r="B179" s="24" t="s">
        <v>7</v>
      </c>
      <c r="C179" s="51"/>
      <c r="D179" s="50">
        <f t="shared" si="84"/>
        <v>6.8</v>
      </c>
      <c r="E179" s="38">
        <f t="shared" si="83"/>
        <v>6.8</v>
      </c>
      <c r="F179" s="51"/>
      <c r="G179" s="51">
        <v>5</v>
      </c>
      <c r="H179" s="15">
        <v>1.8</v>
      </c>
      <c r="I179" s="16"/>
      <c r="J179" s="16">
        <v>6.9</v>
      </c>
      <c r="K179" s="18"/>
      <c r="L179" s="16"/>
      <c r="M179" s="71"/>
    </row>
    <row r="180" spans="1:13" ht="14.25" customHeight="1">
      <c r="A180" s="70" t="s">
        <v>37</v>
      </c>
      <c r="B180" s="14" t="s">
        <v>38</v>
      </c>
      <c r="C180" s="51"/>
      <c r="D180" s="50">
        <f t="shared" si="84"/>
        <v>0</v>
      </c>
      <c r="E180" s="38">
        <f t="shared" si="83"/>
        <v>0</v>
      </c>
      <c r="F180" s="51"/>
      <c r="G180" s="51"/>
      <c r="H180" s="15"/>
      <c r="I180" s="16"/>
      <c r="J180" s="16">
        <v>-0.1</v>
      </c>
      <c r="K180" s="23"/>
      <c r="L180" s="21"/>
      <c r="M180" s="71"/>
    </row>
    <row r="181" spans="1:13" ht="12.75">
      <c r="A181" s="30" t="s">
        <v>1</v>
      </c>
      <c r="B181" s="25" t="s">
        <v>0</v>
      </c>
      <c r="C181" s="26">
        <f aca="true" t="shared" si="85" ref="C181:J181">C182+C183</f>
        <v>28412.1</v>
      </c>
      <c r="D181" s="26">
        <f t="shared" si="85"/>
        <v>32511.8</v>
      </c>
      <c r="E181" s="53">
        <f t="shared" si="85"/>
        <v>25408.8</v>
      </c>
      <c r="F181" s="53">
        <f t="shared" si="85"/>
        <v>6010.9</v>
      </c>
      <c r="G181" s="53">
        <f t="shared" si="85"/>
        <v>8026.5</v>
      </c>
      <c r="H181" s="26">
        <f t="shared" si="85"/>
        <v>11371.4</v>
      </c>
      <c r="I181" s="26">
        <f t="shared" si="85"/>
        <v>7103</v>
      </c>
      <c r="J181" s="26">
        <f t="shared" si="85"/>
        <v>23045.1</v>
      </c>
      <c r="K181" s="23">
        <f>J181*100/E181</f>
        <v>90.69731746481534</v>
      </c>
      <c r="L181" s="21">
        <f>J181*100/D181</f>
        <v>70.88226428558247</v>
      </c>
      <c r="M181" s="72">
        <f>J181*100/C181</f>
        <v>81.11016081176682</v>
      </c>
    </row>
    <row r="182" spans="1:13" ht="23.25" customHeight="1">
      <c r="A182" s="69" t="s">
        <v>52</v>
      </c>
      <c r="B182" s="27" t="s">
        <v>20</v>
      </c>
      <c r="C182" s="50">
        <v>28412.1</v>
      </c>
      <c r="D182" s="50">
        <f t="shared" si="84"/>
        <v>32511.8</v>
      </c>
      <c r="E182" s="38">
        <f t="shared" si="83"/>
        <v>25408.8</v>
      </c>
      <c r="F182" s="51">
        <v>6010.9</v>
      </c>
      <c r="G182" s="51">
        <v>8026.5</v>
      </c>
      <c r="H182" s="15">
        <v>11371.4</v>
      </c>
      <c r="I182" s="16">
        <v>7103</v>
      </c>
      <c r="J182" s="16">
        <v>23045.1</v>
      </c>
      <c r="K182" s="18">
        <f>J182*100/E182</f>
        <v>90.69731746481534</v>
      </c>
      <c r="L182" s="16">
        <f>J182*100/D182</f>
        <v>70.88226428558247</v>
      </c>
      <c r="M182" s="71">
        <f>J182*100/C182</f>
        <v>81.11016081176682</v>
      </c>
    </row>
    <row r="183" spans="1:13" ht="18" customHeight="1" hidden="1">
      <c r="A183" s="13" t="s">
        <v>2</v>
      </c>
      <c r="B183" s="28" t="s">
        <v>19</v>
      </c>
      <c r="C183" s="54"/>
      <c r="D183" s="50">
        <f>F183+G183+H183+I183</f>
        <v>0</v>
      </c>
      <c r="E183" s="38">
        <f>F183+G183</f>
        <v>0</v>
      </c>
      <c r="F183" s="54"/>
      <c r="G183" s="54"/>
      <c r="H183" s="15"/>
      <c r="I183" s="16"/>
      <c r="J183" s="16"/>
      <c r="K183" s="18"/>
      <c r="L183" s="16"/>
      <c r="M183" s="71"/>
    </row>
    <row r="184" spans="1:13" ht="12.75">
      <c r="A184" s="19"/>
      <c r="B184" s="20" t="s">
        <v>4</v>
      </c>
      <c r="C184" s="21">
        <f aca="true" t="shared" si="86" ref="C184:J184">C181+C170</f>
        <v>35737</v>
      </c>
      <c r="D184" s="21">
        <f t="shared" si="86"/>
        <v>40141.7</v>
      </c>
      <c r="E184" s="21">
        <f t="shared" si="86"/>
        <v>30780.899999999998</v>
      </c>
      <c r="F184" s="21">
        <f t="shared" si="86"/>
        <v>7585.7</v>
      </c>
      <c r="G184" s="21">
        <f t="shared" si="86"/>
        <v>9975.8</v>
      </c>
      <c r="H184" s="21">
        <f t="shared" si="86"/>
        <v>13219.4</v>
      </c>
      <c r="I184" s="21">
        <f t="shared" si="86"/>
        <v>9360.8</v>
      </c>
      <c r="J184" s="21">
        <f t="shared" si="86"/>
        <v>28965.3</v>
      </c>
      <c r="K184" s="23">
        <f>J184*100/E184</f>
        <v>94.10153699209576</v>
      </c>
      <c r="L184" s="21">
        <f>J184*100/D184</f>
        <v>72.15763159009211</v>
      </c>
      <c r="M184" s="72">
        <f>J184*100/C184</f>
        <v>81.05129137868316</v>
      </c>
    </row>
    <row r="185" spans="1:13" ht="12.75">
      <c r="A185" s="73"/>
      <c r="B185" s="74"/>
      <c r="C185" s="74"/>
      <c r="D185" s="74"/>
      <c r="E185" s="74"/>
      <c r="F185" s="74"/>
      <c r="G185" s="74"/>
      <c r="H185" s="74"/>
      <c r="I185" s="74"/>
      <c r="J185" s="74"/>
      <c r="K185" s="23"/>
      <c r="L185" s="21"/>
      <c r="M185" s="71"/>
    </row>
    <row r="186" spans="1:13" ht="12.75">
      <c r="A186" s="75" t="s">
        <v>32</v>
      </c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</row>
    <row r="187" spans="1:13" ht="12.75">
      <c r="A187" s="30" t="s">
        <v>3</v>
      </c>
      <c r="B187" s="22" t="s">
        <v>53</v>
      </c>
      <c r="C187" s="23">
        <f aca="true" t="shared" si="87" ref="C187:I187">C188+C190+C191+C192+C193+C195+C197+C196+C194+C189</f>
        <v>27020</v>
      </c>
      <c r="D187" s="23">
        <f>D188+D190+D191+D192+D193+D195+D197+D196+D194+D189-0.1</f>
        <v>32205.500000000004</v>
      </c>
      <c r="E187" s="23">
        <f t="shared" si="87"/>
        <v>24144.2</v>
      </c>
      <c r="F187" s="23">
        <f t="shared" si="87"/>
        <v>6401.099999999999</v>
      </c>
      <c r="G187" s="23">
        <f t="shared" si="87"/>
        <v>6510.299999999999</v>
      </c>
      <c r="H187" s="23">
        <f t="shared" si="87"/>
        <v>11232.8</v>
      </c>
      <c r="I187" s="23">
        <f t="shared" si="87"/>
        <v>8061.400000000001</v>
      </c>
      <c r="J187" s="23">
        <f>J188+J190+J191+J192+J193+J195+J197+J196+J194+J189</f>
        <v>27604.200000000004</v>
      </c>
      <c r="K187" s="23">
        <f aca="true" t="shared" si="88" ref="K187:K195">J187*100/E187</f>
        <v>114.3305638621284</v>
      </c>
      <c r="L187" s="21">
        <f aca="true" t="shared" si="89" ref="L187:L195">J187*100/D187</f>
        <v>85.71268882644269</v>
      </c>
      <c r="M187" s="72">
        <f aca="true" t="shared" si="90" ref="M187:M193">J187*100/C187</f>
        <v>102.16210214655813</v>
      </c>
    </row>
    <row r="188" spans="1:14" ht="12.75">
      <c r="A188" s="29" t="s">
        <v>63</v>
      </c>
      <c r="B188" s="47" t="s">
        <v>64</v>
      </c>
      <c r="C188" s="51">
        <v>18700</v>
      </c>
      <c r="D188" s="50">
        <f>F188+G188+H188+I188</f>
        <v>18754.3</v>
      </c>
      <c r="E188" s="38">
        <f aca="true" t="shared" si="91" ref="E188:E200">F188+G188+H188</f>
        <v>14079.3</v>
      </c>
      <c r="F188" s="50">
        <v>4675</v>
      </c>
      <c r="G188" s="50">
        <v>4729.3</v>
      </c>
      <c r="H188" s="15">
        <v>4675</v>
      </c>
      <c r="I188" s="16">
        <v>4675</v>
      </c>
      <c r="J188" s="16">
        <v>17194.7</v>
      </c>
      <c r="K188" s="18">
        <f t="shared" si="88"/>
        <v>122.12752054434524</v>
      </c>
      <c r="L188" s="16">
        <f t="shared" si="89"/>
        <v>91.6840404600545</v>
      </c>
      <c r="M188" s="71">
        <f t="shared" si="90"/>
        <v>91.95026737967915</v>
      </c>
      <c r="N188" s="2"/>
    </row>
    <row r="189" spans="1:13" ht="23.25" customHeight="1">
      <c r="A189" s="29" t="s">
        <v>62</v>
      </c>
      <c r="B189" s="24" t="s">
        <v>61</v>
      </c>
      <c r="C189" s="51">
        <v>5011</v>
      </c>
      <c r="D189" s="50">
        <f>F189+G189+H189+I189</f>
        <v>5011</v>
      </c>
      <c r="E189" s="38">
        <f t="shared" si="91"/>
        <v>3757.5</v>
      </c>
      <c r="F189" s="50">
        <v>1252.5</v>
      </c>
      <c r="G189" s="50">
        <v>1252.5</v>
      </c>
      <c r="H189" s="15">
        <v>1252.5</v>
      </c>
      <c r="I189" s="16">
        <v>1253.5</v>
      </c>
      <c r="J189" s="16">
        <v>4665.7</v>
      </c>
      <c r="K189" s="18">
        <f t="shared" si="88"/>
        <v>124.1703260146374</v>
      </c>
      <c r="L189" s="16">
        <f t="shared" si="89"/>
        <v>93.10915984833366</v>
      </c>
      <c r="M189" s="71">
        <f t="shared" si="90"/>
        <v>93.10915984833366</v>
      </c>
    </row>
    <row r="190" spans="1:13" ht="14.25" customHeight="1">
      <c r="A190" s="29" t="s">
        <v>8</v>
      </c>
      <c r="B190" s="24" t="s">
        <v>5</v>
      </c>
      <c r="C190" s="51"/>
      <c r="D190" s="50">
        <f aca="true" t="shared" si="92" ref="D190:D200">F190+G190+H190+I190</f>
        <v>34.9</v>
      </c>
      <c r="E190" s="38">
        <f t="shared" si="91"/>
        <v>34.9</v>
      </c>
      <c r="F190" s="50"/>
      <c r="G190" s="50">
        <v>34.9</v>
      </c>
      <c r="H190" s="15"/>
      <c r="I190" s="16"/>
      <c r="J190" s="16">
        <v>34.9</v>
      </c>
      <c r="K190" s="18">
        <f t="shared" si="88"/>
        <v>100</v>
      </c>
      <c r="L190" s="16">
        <f>J190*100/D190</f>
        <v>100</v>
      </c>
      <c r="M190" s="71"/>
    </row>
    <row r="191" spans="1:13" ht="13.5" customHeight="1">
      <c r="A191" s="29" t="s">
        <v>9</v>
      </c>
      <c r="B191" s="24" t="s">
        <v>6</v>
      </c>
      <c r="C191" s="51">
        <v>2795</v>
      </c>
      <c r="D191" s="50">
        <f t="shared" si="92"/>
        <v>2795</v>
      </c>
      <c r="E191" s="38">
        <f t="shared" si="91"/>
        <v>841.5</v>
      </c>
      <c r="F191" s="50">
        <v>280.5</v>
      </c>
      <c r="G191" s="50">
        <v>280.5</v>
      </c>
      <c r="H191" s="15">
        <v>280.5</v>
      </c>
      <c r="I191" s="16">
        <v>1953.5</v>
      </c>
      <c r="J191" s="16">
        <v>1556.8</v>
      </c>
      <c r="K191" s="18">
        <f t="shared" si="88"/>
        <v>185.00297088532383</v>
      </c>
      <c r="L191" s="16">
        <f t="shared" si="89"/>
        <v>55.6994633273703</v>
      </c>
      <c r="M191" s="71">
        <f t="shared" si="90"/>
        <v>55.6994633273703</v>
      </c>
    </row>
    <row r="192" spans="1:13" ht="12.75">
      <c r="A192" s="29" t="s">
        <v>10</v>
      </c>
      <c r="B192" s="24" t="s">
        <v>21</v>
      </c>
      <c r="C192" s="51">
        <v>132</v>
      </c>
      <c r="D192" s="50">
        <f t="shared" si="92"/>
        <v>132</v>
      </c>
      <c r="E192" s="38">
        <f t="shared" si="91"/>
        <v>101.19999999999999</v>
      </c>
      <c r="F192" s="50">
        <v>44.4</v>
      </c>
      <c r="G192" s="50">
        <v>28.4</v>
      </c>
      <c r="H192" s="15">
        <v>28.4</v>
      </c>
      <c r="I192" s="16">
        <v>30.8</v>
      </c>
      <c r="J192" s="16">
        <v>58.5</v>
      </c>
      <c r="K192" s="18">
        <f t="shared" si="88"/>
        <v>57.806324110671945</v>
      </c>
      <c r="L192" s="16">
        <f t="shared" si="89"/>
        <v>44.31818181818182</v>
      </c>
      <c r="M192" s="71">
        <f t="shared" si="90"/>
        <v>44.31818181818182</v>
      </c>
    </row>
    <row r="193" spans="1:13" ht="22.5">
      <c r="A193" s="33" t="s">
        <v>11</v>
      </c>
      <c r="B193" s="24" t="s">
        <v>17</v>
      </c>
      <c r="C193" s="51">
        <v>382</v>
      </c>
      <c r="D193" s="50">
        <f t="shared" si="92"/>
        <v>594.6999999999999</v>
      </c>
      <c r="E193" s="38">
        <f t="shared" si="91"/>
        <v>446.09999999999997</v>
      </c>
      <c r="F193" s="50">
        <v>148.7</v>
      </c>
      <c r="G193" s="50">
        <v>148.7</v>
      </c>
      <c r="H193" s="15">
        <v>148.7</v>
      </c>
      <c r="I193" s="16">
        <v>148.6</v>
      </c>
      <c r="J193" s="16">
        <v>371.8</v>
      </c>
      <c r="K193" s="18">
        <f t="shared" si="88"/>
        <v>83.3445415826048</v>
      </c>
      <c r="L193" s="16">
        <f t="shared" si="89"/>
        <v>62.518917101059365</v>
      </c>
      <c r="M193" s="71">
        <f t="shared" si="90"/>
        <v>97.32984293193718</v>
      </c>
    </row>
    <row r="194" spans="1:13" ht="24" customHeight="1">
      <c r="A194" s="34" t="s">
        <v>40</v>
      </c>
      <c r="B194" s="24" t="s">
        <v>41</v>
      </c>
      <c r="C194" s="51"/>
      <c r="D194" s="50">
        <f t="shared" si="92"/>
        <v>280</v>
      </c>
      <c r="E194" s="38">
        <f t="shared" si="91"/>
        <v>280</v>
      </c>
      <c r="F194" s="50"/>
      <c r="G194" s="50"/>
      <c r="H194" s="15">
        <v>280</v>
      </c>
      <c r="I194" s="16"/>
      <c r="J194" s="16">
        <v>278.9</v>
      </c>
      <c r="K194" s="18">
        <f t="shared" si="88"/>
        <v>99.60714285714285</v>
      </c>
      <c r="L194" s="16">
        <f t="shared" si="89"/>
        <v>99.60714285714285</v>
      </c>
      <c r="M194" s="71"/>
    </row>
    <row r="195" spans="1:13" ht="23.25" customHeight="1">
      <c r="A195" s="34" t="s">
        <v>18</v>
      </c>
      <c r="B195" s="24" t="s">
        <v>15</v>
      </c>
      <c r="C195" s="51"/>
      <c r="D195" s="50">
        <f t="shared" si="92"/>
        <v>4603.7</v>
      </c>
      <c r="E195" s="38">
        <f t="shared" si="91"/>
        <v>4603.7</v>
      </c>
      <c r="F195" s="50"/>
      <c r="G195" s="50">
        <v>36</v>
      </c>
      <c r="H195" s="15">
        <v>4567.7</v>
      </c>
      <c r="I195" s="16"/>
      <c r="J195" s="16">
        <v>3442.9</v>
      </c>
      <c r="K195" s="18">
        <f t="shared" si="88"/>
        <v>74.78549862067467</v>
      </c>
      <c r="L195" s="16">
        <f t="shared" si="89"/>
        <v>74.78549862067467</v>
      </c>
      <c r="M195" s="71"/>
    </row>
    <row r="196" spans="1:13" ht="17.25" customHeight="1" hidden="1">
      <c r="A196" s="31" t="s">
        <v>12</v>
      </c>
      <c r="B196" s="24" t="s">
        <v>7</v>
      </c>
      <c r="C196" s="51"/>
      <c r="D196" s="50">
        <f t="shared" si="92"/>
        <v>0</v>
      </c>
      <c r="E196" s="38">
        <f t="shared" si="91"/>
        <v>0</v>
      </c>
      <c r="F196" s="50"/>
      <c r="G196" s="50"/>
      <c r="H196" s="15"/>
      <c r="I196" s="16"/>
      <c r="J196" s="16"/>
      <c r="K196" s="18"/>
      <c r="L196" s="16"/>
      <c r="M196" s="71"/>
    </row>
    <row r="197" spans="1:13" ht="15" customHeight="1">
      <c r="A197" s="70" t="s">
        <v>37</v>
      </c>
      <c r="B197" s="14" t="s">
        <v>38</v>
      </c>
      <c r="C197" s="51"/>
      <c r="D197" s="50">
        <f t="shared" si="92"/>
        <v>0</v>
      </c>
      <c r="E197" s="38">
        <f t="shared" si="91"/>
        <v>0</v>
      </c>
      <c r="F197" s="50"/>
      <c r="G197" s="50"/>
      <c r="H197" s="15"/>
      <c r="I197" s="16"/>
      <c r="J197" s="16"/>
      <c r="K197" s="23"/>
      <c r="L197" s="21"/>
      <c r="M197" s="71"/>
    </row>
    <row r="198" spans="1:13" ht="12.75">
      <c r="A198" s="68" t="s">
        <v>1</v>
      </c>
      <c r="B198" s="25" t="s">
        <v>0</v>
      </c>
      <c r="C198" s="52">
        <f aca="true" t="shared" si="93" ref="C198:I198">C199</f>
        <v>33359.5</v>
      </c>
      <c r="D198" s="52">
        <f>D199+D200</f>
        <v>42794.600000000006</v>
      </c>
      <c r="E198" s="52">
        <f>E199</f>
        <v>34260.3</v>
      </c>
      <c r="F198" s="52">
        <f t="shared" si="93"/>
        <v>10619.1</v>
      </c>
      <c r="G198" s="52">
        <f t="shared" si="93"/>
        <v>11739</v>
      </c>
      <c r="H198" s="52">
        <f t="shared" si="93"/>
        <v>11902.2</v>
      </c>
      <c r="I198" s="52">
        <f t="shared" si="93"/>
        <v>8369.3</v>
      </c>
      <c r="J198" s="52">
        <f>J199+J200</f>
        <v>36839.8</v>
      </c>
      <c r="K198" s="23">
        <f>J198*100/E198</f>
        <v>107.52912262881529</v>
      </c>
      <c r="L198" s="21">
        <f>J198*100/D198</f>
        <v>86.08516027723124</v>
      </c>
      <c r="M198" s="72">
        <f>J198*100/C198</f>
        <v>110.43271032239693</v>
      </c>
    </row>
    <row r="199" spans="1:13" ht="22.5">
      <c r="A199" s="70" t="s">
        <v>52</v>
      </c>
      <c r="B199" s="27" t="s">
        <v>20</v>
      </c>
      <c r="C199" s="50">
        <v>33359.5</v>
      </c>
      <c r="D199" s="50">
        <f t="shared" si="92"/>
        <v>42629.600000000006</v>
      </c>
      <c r="E199" s="38">
        <f t="shared" si="91"/>
        <v>34260.3</v>
      </c>
      <c r="F199" s="50">
        <v>10619.1</v>
      </c>
      <c r="G199" s="50">
        <v>11739</v>
      </c>
      <c r="H199" s="15">
        <v>11902.2</v>
      </c>
      <c r="I199" s="16">
        <v>8369.3</v>
      </c>
      <c r="J199" s="16">
        <v>36674.8</v>
      </c>
      <c r="K199" s="18">
        <f>J199*100/E199</f>
        <v>107.04751563763307</v>
      </c>
      <c r="L199" s="16">
        <f>J199*100/D199</f>
        <v>86.03130219378085</v>
      </c>
      <c r="M199" s="71">
        <f>J199*100/C199</f>
        <v>109.93809859260482</v>
      </c>
    </row>
    <row r="200" spans="1:13" ht="24" customHeight="1">
      <c r="A200" s="69" t="s">
        <v>69</v>
      </c>
      <c r="B200" s="24" t="s">
        <v>70</v>
      </c>
      <c r="C200" s="50"/>
      <c r="D200" s="50">
        <f t="shared" si="92"/>
        <v>165</v>
      </c>
      <c r="E200" s="38">
        <f t="shared" si="91"/>
        <v>165</v>
      </c>
      <c r="F200" s="50">
        <v>165</v>
      </c>
      <c r="G200" s="50"/>
      <c r="H200" s="15"/>
      <c r="I200" s="16"/>
      <c r="J200" s="16">
        <v>165</v>
      </c>
      <c r="K200" s="18">
        <f>J200*100/E200</f>
        <v>100</v>
      </c>
      <c r="L200" s="16">
        <f>J200*100/D200</f>
        <v>100</v>
      </c>
      <c r="M200" s="71"/>
    </row>
    <row r="201" spans="1:13" ht="12.75">
      <c r="A201" s="19"/>
      <c r="B201" s="20" t="s">
        <v>4</v>
      </c>
      <c r="C201" s="21">
        <f aca="true" t="shared" si="94" ref="C201:J201">C198+C187</f>
        <v>60379.5</v>
      </c>
      <c r="D201" s="21">
        <f t="shared" si="94"/>
        <v>75000.1</v>
      </c>
      <c r="E201" s="21">
        <f t="shared" si="94"/>
        <v>58404.5</v>
      </c>
      <c r="F201" s="21">
        <f t="shared" si="94"/>
        <v>17020.2</v>
      </c>
      <c r="G201" s="21">
        <f t="shared" si="94"/>
        <v>18249.3</v>
      </c>
      <c r="H201" s="21">
        <f t="shared" si="94"/>
        <v>23135</v>
      </c>
      <c r="I201" s="21">
        <f t="shared" si="94"/>
        <v>16430.7</v>
      </c>
      <c r="J201" s="21">
        <f t="shared" si="94"/>
        <v>64444.00000000001</v>
      </c>
      <c r="K201" s="23">
        <f>J201*100/E201</f>
        <v>110.34081277983718</v>
      </c>
      <c r="L201" s="21">
        <f>J201*100/D201</f>
        <v>85.92521876637498</v>
      </c>
      <c r="M201" s="72">
        <f>J201*100/C201</f>
        <v>106.73158936393976</v>
      </c>
    </row>
    <row r="202" spans="1:13" ht="12.75">
      <c r="A202" s="73"/>
      <c r="B202" s="74"/>
      <c r="C202" s="74"/>
      <c r="D202" s="74"/>
      <c r="E202" s="74"/>
      <c r="F202" s="74"/>
      <c r="G202" s="74"/>
      <c r="H202" s="74"/>
      <c r="I202" s="74"/>
      <c r="J202" s="74"/>
      <c r="K202" s="23"/>
      <c r="L202" s="21"/>
      <c r="M202" s="71"/>
    </row>
    <row r="203" spans="1:13" ht="12.75">
      <c r="A203" s="75" t="s">
        <v>33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</row>
    <row r="204" spans="1:13" ht="12.75">
      <c r="A204" s="30" t="s">
        <v>3</v>
      </c>
      <c r="B204" s="22" t="s">
        <v>53</v>
      </c>
      <c r="C204" s="23">
        <f aca="true" t="shared" si="95" ref="C204:I204">C205+C208+C210+C211+C209+C212+C213+C207+C206</f>
        <v>5671.1</v>
      </c>
      <c r="D204" s="23">
        <f t="shared" si="95"/>
        <v>5854.3</v>
      </c>
      <c r="E204" s="23">
        <f t="shared" si="95"/>
        <v>4312.200000000001</v>
      </c>
      <c r="F204" s="23">
        <f t="shared" si="95"/>
        <v>1375.5</v>
      </c>
      <c r="G204" s="23">
        <f t="shared" si="95"/>
        <v>1467.4</v>
      </c>
      <c r="H204" s="23">
        <f t="shared" si="95"/>
        <v>1469.3</v>
      </c>
      <c r="I204" s="23">
        <f t="shared" si="95"/>
        <v>1542.1</v>
      </c>
      <c r="J204" s="23">
        <f>J205+J208+J210+J211+J209+J212+J213+J207+J206-0.1</f>
        <v>4955.599999999999</v>
      </c>
      <c r="K204" s="23">
        <f>J204*100/E204</f>
        <v>114.92045823477572</v>
      </c>
      <c r="L204" s="21">
        <f aca="true" t="shared" si="96" ref="L204:L210">J204*100/D204</f>
        <v>84.64889055907622</v>
      </c>
      <c r="M204" s="72">
        <f aca="true" t="shared" si="97" ref="M204:M210">J204*100/C204</f>
        <v>87.38340004584647</v>
      </c>
    </row>
    <row r="205" spans="1:14" ht="12.75">
      <c r="A205" s="29" t="s">
        <v>63</v>
      </c>
      <c r="B205" s="47" t="s">
        <v>64</v>
      </c>
      <c r="C205" s="51">
        <v>1400</v>
      </c>
      <c r="D205" s="50">
        <f>F205+G205+H205+I205</f>
        <v>1400</v>
      </c>
      <c r="E205" s="38">
        <f aca="true" t="shared" si="98" ref="E205:E215">F205+G205+H205</f>
        <v>1050</v>
      </c>
      <c r="F205" s="50">
        <v>350</v>
      </c>
      <c r="G205" s="50">
        <v>350</v>
      </c>
      <c r="H205" s="15">
        <v>350</v>
      </c>
      <c r="I205" s="15">
        <v>350</v>
      </c>
      <c r="J205" s="16">
        <v>967.6</v>
      </c>
      <c r="K205" s="18">
        <f>J205*100/E205</f>
        <v>92.15238095238095</v>
      </c>
      <c r="L205" s="16">
        <f t="shared" si="96"/>
        <v>69.11428571428571</v>
      </c>
      <c r="M205" s="71">
        <f t="shared" si="97"/>
        <v>69.11428571428571</v>
      </c>
      <c r="N205" s="2"/>
    </row>
    <row r="206" spans="1:13" ht="24" customHeight="1">
      <c r="A206" s="29" t="s">
        <v>62</v>
      </c>
      <c r="B206" s="24" t="s">
        <v>61</v>
      </c>
      <c r="C206" s="51">
        <v>3835.8</v>
      </c>
      <c r="D206" s="50">
        <f>F206+G206+H206+I206</f>
        <v>3835.8</v>
      </c>
      <c r="E206" s="38">
        <f t="shared" si="98"/>
        <v>2876.8</v>
      </c>
      <c r="F206" s="50">
        <v>958.9</v>
      </c>
      <c r="G206" s="50">
        <v>958.9</v>
      </c>
      <c r="H206" s="15">
        <v>959</v>
      </c>
      <c r="I206" s="15">
        <v>959</v>
      </c>
      <c r="J206" s="16">
        <v>3571.5</v>
      </c>
      <c r="K206" s="18">
        <f>J206*100/E206</f>
        <v>124.14835928809788</v>
      </c>
      <c r="L206" s="16">
        <f t="shared" si="96"/>
        <v>93.10965118097918</v>
      </c>
      <c r="M206" s="71">
        <f t="shared" si="97"/>
        <v>93.10965118097918</v>
      </c>
    </row>
    <row r="207" spans="1:13" ht="12.75">
      <c r="A207" s="29" t="s">
        <v>8</v>
      </c>
      <c r="B207" s="24" t="s">
        <v>5</v>
      </c>
      <c r="C207" s="51">
        <v>2</v>
      </c>
      <c r="D207" s="50">
        <f aca="true" t="shared" si="99" ref="D207:D216">F207+G207+H207+I207</f>
        <v>2</v>
      </c>
      <c r="E207" s="38">
        <f t="shared" si="98"/>
        <v>2</v>
      </c>
      <c r="F207" s="50"/>
      <c r="G207" s="50">
        <v>2</v>
      </c>
      <c r="H207" s="15"/>
      <c r="I207" s="15"/>
      <c r="J207" s="16"/>
      <c r="K207" s="18"/>
      <c r="L207" s="16">
        <f t="shared" si="96"/>
        <v>0</v>
      </c>
      <c r="M207" s="71">
        <f t="shared" si="97"/>
        <v>0</v>
      </c>
    </row>
    <row r="208" spans="1:13" ht="12.75">
      <c r="A208" s="29" t="s">
        <v>9</v>
      </c>
      <c r="B208" s="24" t="s">
        <v>6</v>
      </c>
      <c r="C208" s="51">
        <v>271</v>
      </c>
      <c r="D208" s="50">
        <f t="shared" si="99"/>
        <v>271</v>
      </c>
      <c r="E208" s="38">
        <f t="shared" si="98"/>
        <v>125</v>
      </c>
      <c r="F208" s="50">
        <v>17</v>
      </c>
      <c r="G208" s="50">
        <v>28.5</v>
      </c>
      <c r="H208" s="15">
        <v>79.5</v>
      </c>
      <c r="I208" s="15">
        <v>146</v>
      </c>
      <c r="J208" s="16">
        <v>119.9</v>
      </c>
      <c r="K208" s="18">
        <f>J208*100/E208</f>
        <v>95.92</v>
      </c>
      <c r="L208" s="16">
        <f t="shared" si="96"/>
        <v>44.24354243542435</v>
      </c>
      <c r="M208" s="71">
        <f t="shared" si="97"/>
        <v>44.24354243542435</v>
      </c>
    </row>
    <row r="209" spans="1:13" ht="12.75">
      <c r="A209" s="29" t="s">
        <v>10</v>
      </c>
      <c r="B209" s="24" t="s">
        <v>21</v>
      </c>
      <c r="C209" s="51">
        <v>19</v>
      </c>
      <c r="D209" s="50">
        <f t="shared" si="99"/>
        <v>19</v>
      </c>
      <c r="E209" s="38">
        <f t="shared" si="98"/>
        <v>8.7</v>
      </c>
      <c r="F209" s="50">
        <v>1.7</v>
      </c>
      <c r="G209" s="50">
        <v>3</v>
      </c>
      <c r="H209" s="15">
        <v>4</v>
      </c>
      <c r="I209" s="15">
        <v>10.3</v>
      </c>
      <c r="J209" s="16">
        <v>6</v>
      </c>
      <c r="K209" s="18">
        <f>J209*100/E209</f>
        <v>68.96551724137932</v>
      </c>
      <c r="L209" s="16">
        <f t="shared" si="96"/>
        <v>31.57894736842105</v>
      </c>
      <c r="M209" s="71">
        <f t="shared" si="97"/>
        <v>31.57894736842105</v>
      </c>
    </row>
    <row r="210" spans="1:13" ht="22.5">
      <c r="A210" s="33" t="s">
        <v>11</v>
      </c>
      <c r="B210" s="24" t="s">
        <v>17</v>
      </c>
      <c r="C210" s="51">
        <v>143.3</v>
      </c>
      <c r="D210" s="50">
        <f t="shared" si="99"/>
        <v>254</v>
      </c>
      <c r="E210" s="38">
        <f t="shared" si="98"/>
        <v>177.2</v>
      </c>
      <c r="F210" s="50">
        <v>47.9</v>
      </c>
      <c r="G210" s="50">
        <v>52.5</v>
      </c>
      <c r="H210" s="15">
        <v>76.8</v>
      </c>
      <c r="I210" s="15">
        <v>76.8</v>
      </c>
      <c r="J210" s="16">
        <v>214.7</v>
      </c>
      <c r="K210" s="18">
        <f>J210*100/E210</f>
        <v>121.1625282167043</v>
      </c>
      <c r="L210" s="16">
        <f t="shared" si="96"/>
        <v>84.5275590551181</v>
      </c>
      <c r="M210" s="71">
        <f t="shared" si="97"/>
        <v>149.8255408234473</v>
      </c>
    </row>
    <row r="211" spans="1:13" ht="22.5" hidden="1">
      <c r="A211" s="34" t="s">
        <v>18</v>
      </c>
      <c r="B211" s="24" t="s">
        <v>15</v>
      </c>
      <c r="C211" s="51"/>
      <c r="D211" s="50">
        <f t="shared" si="99"/>
        <v>0</v>
      </c>
      <c r="E211" s="38">
        <f t="shared" si="98"/>
        <v>0</v>
      </c>
      <c r="F211" s="50"/>
      <c r="G211" s="50"/>
      <c r="H211" s="15"/>
      <c r="I211" s="15"/>
      <c r="J211" s="16"/>
      <c r="K211" s="18" t="e">
        <f>J211*100/E211</f>
        <v>#DIV/0!</v>
      </c>
      <c r="L211" s="16" t="e">
        <f>J211*100/D211</f>
        <v>#DIV/0!</v>
      </c>
      <c r="M211" s="71" t="e">
        <f>J211*100/C211</f>
        <v>#DIV/0!</v>
      </c>
    </row>
    <row r="212" spans="1:13" ht="16.5" customHeight="1">
      <c r="A212" s="34" t="s">
        <v>12</v>
      </c>
      <c r="B212" s="24" t="s">
        <v>7</v>
      </c>
      <c r="C212" s="51"/>
      <c r="D212" s="50">
        <f t="shared" si="99"/>
        <v>0</v>
      </c>
      <c r="E212" s="38">
        <f t="shared" si="98"/>
        <v>0</v>
      </c>
      <c r="F212" s="50"/>
      <c r="G212" s="50"/>
      <c r="H212" s="15"/>
      <c r="I212" s="15"/>
      <c r="J212" s="16"/>
      <c r="K212" s="18"/>
      <c r="L212" s="16"/>
      <c r="M212" s="71"/>
    </row>
    <row r="213" spans="1:13" ht="13.5" customHeight="1">
      <c r="A213" s="70" t="s">
        <v>37</v>
      </c>
      <c r="B213" s="14" t="s">
        <v>38</v>
      </c>
      <c r="C213" s="51"/>
      <c r="D213" s="50">
        <f t="shared" si="99"/>
        <v>72.5</v>
      </c>
      <c r="E213" s="38">
        <f t="shared" si="98"/>
        <v>72.5</v>
      </c>
      <c r="F213" s="50"/>
      <c r="G213" s="50">
        <v>72.5</v>
      </c>
      <c r="H213" s="15"/>
      <c r="I213" s="15"/>
      <c r="J213" s="16">
        <v>76</v>
      </c>
      <c r="K213" s="18">
        <f>J213*100/E213</f>
        <v>104.82758620689656</v>
      </c>
      <c r="L213" s="16">
        <f>J213*100/D213</f>
        <v>104.82758620689656</v>
      </c>
      <c r="M213" s="71"/>
    </row>
    <row r="214" spans="1:13" ht="12.75">
      <c r="A214" s="30" t="s">
        <v>1</v>
      </c>
      <c r="B214" s="25" t="s">
        <v>0</v>
      </c>
      <c r="C214" s="26">
        <f aca="true" t="shared" si="100" ref="C214:I214">C215</f>
        <v>23464.5</v>
      </c>
      <c r="D214" s="26">
        <f>D215+D216</f>
        <v>44772.100000000006</v>
      </c>
      <c r="E214" s="26">
        <f t="shared" si="100"/>
        <v>38917.3</v>
      </c>
      <c r="F214" s="26">
        <f t="shared" si="100"/>
        <v>3949.2</v>
      </c>
      <c r="G214" s="26">
        <f t="shared" si="100"/>
        <v>23490.3</v>
      </c>
      <c r="H214" s="26">
        <f t="shared" si="100"/>
        <v>11477.8</v>
      </c>
      <c r="I214" s="26">
        <f t="shared" si="100"/>
        <v>5854.8</v>
      </c>
      <c r="J214" s="26">
        <f>J215+J216</f>
        <v>22161.8</v>
      </c>
      <c r="K214" s="23">
        <f>J214*100/E214</f>
        <v>56.94588267942534</v>
      </c>
      <c r="L214" s="21">
        <f>J214*100/D214</f>
        <v>49.49913003857312</v>
      </c>
      <c r="M214" s="72">
        <f>J214*100/C214</f>
        <v>94.44820899656929</v>
      </c>
    </row>
    <row r="215" spans="1:13" ht="22.5">
      <c r="A215" s="69" t="s">
        <v>52</v>
      </c>
      <c r="B215" s="27" t="s">
        <v>20</v>
      </c>
      <c r="C215" s="50">
        <v>23464.5</v>
      </c>
      <c r="D215" s="50">
        <f t="shared" si="99"/>
        <v>44772.100000000006</v>
      </c>
      <c r="E215" s="38">
        <f t="shared" si="98"/>
        <v>38917.3</v>
      </c>
      <c r="F215" s="50">
        <v>3949.2</v>
      </c>
      <c r="G215" s="50">
        <v>23490.3</v>
      </c>
      <c r="H215" s="15">
        <v>11477.8</v>
      </c>
      <c r="I215" s="15">
        <v>5854.8</v>
      </c>
      <c r="J215" s="16">
        <v>22043</v>
      </c>
      <c r="K215" s="18">
        <f>J215*100/E215</f>
        <v>56.640619981345054</v>
      </c>
      <c r="L215" s="16">
        <f>J215*100/D215</f>
        <v>49.23378621954297</v>
      </c>
      <c r="M215" s="71">
        <f>J215*100/C215</f>
        <v>93.94191225042084</v>
      </c>
    </row>
    <row r="216" spans="1:13" ht="16.5" customHeight="1">
      <c r="A216" s="67" t="s">
        <v>60</v>
      </c>
      <c r="B216" s="28" t="s">
        <v>19</v>
      </c>
      <c r="C216" s="50"/>
      <c r="D216" s="50">
        <f t="shared" si="99"/>
        <v>0</v>
      </c>
      <c r="E216" s="38">
        <f>F216</f>
        <v>0</v>
      </c>
      <c r="F216" s="50"/>
      <c r="G216" s="50"/>
      <c r="H216" s="15"/>
      <c r="I216" s="15"/>
      <c r="J216" s="16">
        <v>118.8</v>
      </c>
      <c r="K216" s="18"/>
      <c r="L216" s="16"/>
      <c r="M216" s="71"/>
    </row>
    <row r="217" spans="1:13" ht="12.75">
      <c r="A217" s="19"/>
      <c r="B217" s="20" t="s">
        <v>4</v>
      </c>
      <c r="C217" s="21">
        <f aca="true" t="shared" si="101" ref="C217:I217">C214+C204</f>
        <v>29135.6</v>
      </c>
      <c r="D217" s="21">
        <f>D214+D204-0.1</f>
        <v>50626.30000000001</v>
      </c>
      <c r="E217" s="21">
        <f t="shared" si="101"/>
        <v>43229.5</v>
      </c>
      <c r="F217" s="52">
        <f t="shared" si="101"/>
        <v>5324.7</v>
      </c>
      <c r="G217" s="52">
        <f t="shared" si="101"/>
        <v>24957.7</v>
      </c>
      <c r="H217" s="52">
        <f t="shared" si="101"/>
        <v>12947.099999999999</v>
      </c>
      <c r="I217" s="52">
        <f t="shared" si="101"/>
        <v>7396.9</v>
      </c>
      <c r="J217" s="21">
        <f>J214+J204</f>
        <v>27117.399999999998</v>
      </c>
      <c r="K217" s="23">
        <f>J217*100/E217</f>
        <v>62.72892353601129</v>
      </c>
      <c r="L217" s="21">
        <f>J217*100/D217</f>
        <v>53.56385910090209</v>
      </c>
      <c r="M217" s="72">
        <f>J217*100/C217</f>
        <v>93.07307898241328</v>
      </c>
    </row>
    <row r="218" spans="1:13" ht="12.75">
      <c r="A218" s="73"/>
      <c r="B218" s="74"/>
      <c r="C218" s="74"/>
      <c r="D218" s="74"/>
      <c r="E218" s="74"/>
      <c r="F218" s="74"/>
      <c r="G218" s="74"/>
      <c r="H218" s="74"/>
      <c r="I218" s="74"/>
      <c r="J218" s="74"/>
      <c r="K218" s="23"/>
      <c r="L218" s="21"/>
      <c r="M218" s="71"/>
    </row>
    <row r="219" spans="1:13" ht="12.75">
      <c r="A219" s="75" t="s">
        <v>34</v>
      </c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</row>
    <row r="220" spans="1:13" ht="12.75">
      <c r="A220" s="30" t="s">
        <v>3</v>
      </c>
      <c r="B220" s="22" t="s">
        <v>53</v>
      </c>
      <c r="C220" s="23">
        <f aca="true" t="shared" si="102" ref="C220:I220">C221+C223+C224+C225+C227+C228+C230+C232+C229+C226+C233+C231+C222</f>
        <v>1018265.9000000001</v>
      </c>
      <c r="D220" s="23">
        <f t="shared" si="102"/>
        <v>1114830.5999999999</v>
      </c>
      <c r="E220" s="23">
        <f t="shared" si="102"/>
        <v>881938.6000000001</v>
      </c>
      <c r="F220" s="23">
        <f t="shared" si="102"/>
        <v>272928.9</v>
      </c>
      <c r="G220" s="23">
        <f t="shared" si="102"/>
        <v>313610.8</v>
      </c>
      <c r="H220" s="23">
        <f t="shared" si="102"/>
        <v>295398.9</v>
      </c>
      <c r="I220" s="23">
        <f t="shared" si="102"/>
        <v>232892.1</v>
      </c>
      <c r="J220" s="23">
        <f>J221+J223+J224+J225+J227+J228+J230+J232+J229+J226+J233+J231+J222-0.1</f>
        <v>926950.1999999998</v>
      </c>
      <c r="K220" s="23">
        <f aca="true" t="shared" si="103" ref="K220:K225">J220*100/E220</f>
        <v>105.1037113014443</v>
      </c>
      <c r="L220" s="21">
        <f aca="true" t="shared" si="104" ref="L220:L225">J220*100/D220</f>
        <v>83.14717949076747</v>
      </c>
      <c r="M220" s="72">
        <f aca="true" t="shared" si="105" ref="M220:M233">J220*100/C220</f>
        <v>91.03223431129332</v>
      </c>
    </row>
    <row r="221" spans="1:13" ht="12.75">
      <c r="A221" s="29" t="s">
        <v>63</v>
      </c>
      <c r="B221" s="47" t="s">
        <v>64</v>
      </c>
      <c r="C221" s="16">
        <f>C9+C32+C48+C66+C83+C101+C117+C135+C153+C171+C188+C205</f>
        <v>723175.5</v>
      </c>
      <c r="D221" s="50">
        <f>F221+G221+H221+I221</f>
        <v>760606.7999999999</v>
      </c>
      <c r="E221" s="38">
        <f aca="true" t="shared" si="106" ref="E221:E239">F221+G221+H221</f>
        <v>611574.7</v>
      </c>
      <c r="F221" s="16">
        <f>F9+F32+F48+F66+F83+F101+F117+F135+F153+F171+F188+F205</f>
        <v>192768.9</v>
      </c>
      <c r="G221" s="16">
        <f>G9+G32+G48+G66+G83+G101+G117+G135+G153+G171+G188+G205</f>
        <v>207288.8</v>
      </c>
      <c r="H221" s="16">
        <f>H9+H32+H48+H66+H83+H101+H117+H135+H153+H171+H188+H205</f>
        <v>211517</v>
      </c>
      <c r="I221" s="16">
        <f>I9+I32+I48+I66+I83+I101+I117+I135+I153+I171+I188+I205</f>
        <v>149032.1</v>
      </c>
      <c r="J221" s="16">
        <f>J9+J32+J48+J66+J83+J101+J117+J135+J153+J171+J188+J205+0.2</f>
        <v>635215.5999999999</v>
      </c>
      <c r="K221" s="18">
        <f t="shared" si="103"/>
        <v>103.86557848125501</v>
      </c>
      <c r="L221" s="16">
        <f t="shared" si="104"/>
        <v>83.51432040838971</v>
      </c>
      <c r="M221" s="71">
        <f t="shared" si="105"/>
        <v>87.83699115913079</v>
      </c>
    </row>
    <row r="222" spans="1:13" ht="22.5">
      <c r="A222" s="29" t="s">
        <v>62</v>
      </c>
      <c r="B222" s="24" t="s">
        <v>61</v>
      </c>
      <c r="C222" s="16">
        <f>C10+C33+C49+C67+C84+C102+C119+C136+C154+C172+C189+C206</f>
        <v>53068</v>
      </c>
      <c r="D222" s="50">
        <f aca="true" t="shared" si="107" ref="D222:D235">F222+G222+H222+I222</f>
        <v>56053.7</v>
      </c>
      <c r="E222" s="38">
        <f t="shared" si="106"/>
        <v>42779.399999999994</v>
      </c>
      <c r="F222" s="16">
        <f>F10+F33+F49+F67+F84+F102+F119+F136+F154+F172+F189+F206</f>
        <v>14669.999999999998</v>
      </c>
      <c r="G222" s="16">
        <f>G10+G33+G49+G67+G84+G102+G119+G136+G154+G172+G189+G206</f>
        <v>14209.4</v>
      </c>
      <c r="H222" s="16">
        <f>H10+H33+H49+H67+H84+H102+H119+H136+H154+H172+H189+H206</f>
        <v>13900</v>
      </c>
      <c r="I222" s="16">
        <f>I10+I33+I49+I67+I84+I102+I119+I136+I154+I172+I189+I206</f>
        <v>13274.3</v>
      </c>
      <c r="J222" s="16">
        <f>J10+J33+J49+J67+J84+J102+J119+J136+J154+J172+J189+J206-0.1</f>
        <v>49410.7</v>
      </c>
      <c r="K222" s="18">
        <f t="shared" si="103"/>
        <v>115.50115242383018</v>
      </c>
      <c r="L222" s="16">
        <f t="shared" si="104"/>
        <v>88.14886439253787</v>
      </c>
      <c r="M222" s="71">
        <f t="shared" si="105"/>
        <v>93.10827617396548</v>
      </c>
    </row>
    <row r="223" spans="1:13" ht="12.75">
      <c r="A223" s="29" t="s">
        <v>8</v>
      </c>
      <c r="B223" s="24" t="s">
        <v>5</v>
      </c>
      <c r="C223" s="16">
        <f>C11+C50+C68+C207+C155+C118+C190+C85+C103+C173+C120</f>
        <v>53414.5</v>
      </c>
      <c r="D223" s="50">
        <f>F223+G223+H223+I223</f>
        <v>68273.40000000001</v>
      </c>
      <c r="E223" s="38">
        <f t="shared" si="106"/>
        <v>60717.40000000001</v>
      </c>
      <c r="F223" s="16">
        <f>F11+F50+F68+F207+F155+F190+F85+F103+F173+F120</f>
        <v>13497.7</v>
      </c>
      <c r="G223" s="16">
        <f>G11+G50+G68+G207+G155+G190+G85+G103+G173+G120</f>
        <v>36536.4</v>
      </c>
      <c r="H223" s="16">
        <f>H11+H50+H68+H207+H155+H190+H85+H103+H173+H120</f>
        <v>10683.300000000001</v>
      </c>
      <c r="I223" s="16">
        <f>I11+I50+I68+I207+I155+I190+I85+I103+I173+I120</f>
        <v>7556</v>
      </c>
      <c r="J223" s="16">
        <f>J11+J50+J68+J207+J155+J118+J190+J85+J103+J173+J120</f>
        <v>61188.6</v>
      </c>
      <c r="K223" s="18">
        <f t="shared" si="103"/>
        <v>100.77605431062594</v>
      </c>
      <c r="L223" s="16">
        <f t="shared" si="104"/>
        <v>89.62289852270429</v>
      </c>
      <c r="M223" s="71">
        <f t="shared" si="105"/>
        <v>114.55428769341658</v>
      </c>
    </row>
    <row r="224" spans="1:13" ht="12.75">
      <c r="A224" s="29" t="s">
        <v>9</v>
      </c>
      <c r="B224" s="24" t="s">
        <v>6</v>
      </c>
      <c r="C224" s="16">
        <f>C12+C34+C51+C69+C86+C104+C121+C137+C156+C174+C191+C208</f>
        <v>30805</v>
      </c>
      <c r="D224" s="50">
        <f t="shared" si="107"/>
        <v>35805</v>
      </c>
      <c r="E224" s="38">
        <f t="shared" si="106"/>
        <v>18799.6</v>
      </c>
      <c r="F224" s="16">
        <f>F12+F34+F51+F69+F86+F104+F121+F137+F156+F174+F191+F208</f>
        <v>7423.3</v>
      </c>
      <c r="G224" s="16">
        <f>G12+G34+G51+G69+G86+G104+G121+G137+G156+G174+G191+G208</f>
        <v>3346.7</v>
      </c>
      <c r="H224" s="16">
        <f>H12+H34+H51+H69+H86+H104+H121+H137+H156+H174+H191+H208</f>
        <v>8029.6</v>
      </c>
      <c r="I224" s="16">
        <f>I12+I34+I51+I69+I86+I104+I121+I137+I156+I174+I191+I208</f>
        <v>17005.4</v>
      </c>
      <c r="J224" s="16">
        <f>J12+J34+J51+J69+J86+J104+J121+J137+J156+J174+J191+J208-0.1</f>
        <v>19524.200000000004</v>
      </c>
      <c r="K224" s="18">
        <f t="shared" si="103"/>
        <v>103.85433732632613</v>
      </c>
      <c r="L224" s="16">
        <f t="shared" si="104"/>
        <v>54.52925569054602</v>
      </c>
      <c r="M224" s="71">
        <f t="shared" si="105"/>
        <v>63.37997078396366</v>
      </c>
    </row>
    <row r="225" spans="1:13" ht="12.75">
      <c r="A225" s="29" t="s">
        <v>10</v>
      </c>
      <c r="B225" s="24" t="s">
        <v>21</v>
      </c>
      <c r="C225" s="16">
        <f>C13+C35+C52+C70+C87+C105+C122+C138+C157+C175+C192+C209</f>
        <v>4147.8</v>
      </c>
      <c r="D225" s="50">
        <f t="shared" si="107"/>
        <v>4641.4</v>
      </c>
      <c r="E225" s="38">
        <f t="shared" si="106"/>
        <v>3920.8</v>
      </c>
      <c r="F225" s="16">
        <f>F13+F35+F70+F87+F105+F122+F138+F157+F175+F192+F209+F52</f>
        <v>1265.2</v>
      </c>
      <c r="G225" s="16">
        <f>G13+G35+G70+G87+G105+G122+G138+G157+G175+G192+G209+G52</f>
        <v>1349.4</v>
      </c>
      <c r="H225" s="16">
        <f>H13+H35+H70+H87+H105+H122+H138+H157+H175+H192+H209+H52</f>
        <v>1306.2</v>
      </c>
      <c r="I225" s="16">
        <f>I13+I35+I70+I87+I105+I122+I138+I157+I175+I192+I209+I52</f>
        <v>720.5999999999999</v>
      </c>
      <c r="J225" s="16">
        <f>J13+J35+J70+J87+J105+J122+J138+J157+J175+J192+J209+J52+0.1</f>
        <v>4035.8999999999996</v>
      </c>
      <c r="K225" s="18">
        <f t="shared" si="103"/>
        <v>102.93562538257497</v>
      </c>
      <c r="L225" s="16">
        <f t="shared" si="104"/>
        <v>86.95436721678803</v>
      </c>
      <c r="M225" s="71">
        <f t="shared" si="105"/>
        <v>97.30218429046722</v>
      </c>
    </row>
    <row r="226" spans="1:13" ht="22.5" hidden="1">
      <c r="A226" s="29" t="s">
        <v>35</v>
      </c>
      <c r="B226" s="24" t="s">
        <v>36</v>
      </c>
      <c r="C226" s="32">
        <f>C14</f>
        <v>0</v>
      </c>
      <c r="D226" s="50">
        <f t="shared" si="107"/>
        <v>0</v>
      </c>
      <c r="E226" s="38">
        <f t="shared" si="106"/>
        <v>0</v>
      </c>
      <c r="F226" s="32">
        <f>F14</f>
        <v>0</v>
      </c>
      <c r="G226" s="32">
        <f>G14</f>
        <v>0</v>
      </c>
      <c r="H226" s="32">
        <f>H14</f>
        <v>0</v>
      </c>
      <c r="I226" s="32">
        <f>I14</f>
        <v>0</v>
      </c>
      <c r="J226" s="32">
        <f>J14</f>
        <v>0</v>
      </c>
      <c r="K226" s="18"/>
      <c r="L226" s="16"/>
      <c r="M226" s="71" t="e">
        <f t="shared" si="105"/>
        <v>#DIV/0!</v>
      </c>
    </row>
    <row r="227" spans="1:13" ht="22.5">
      <c r="A227" s="33" t="s">
        <v>11</v>
      </c>
      <c r="B227" s="24" t="s">
        <v>17</v>
      </c>
      <c r="C227" s="16">
        <f>C15+C36+C53+C71+C88+C106+C123+C139+C158+C176+C193+C210</f>
        <v>121510.4</v>
      </c>
      <c r="D227" s="50">
        <f>F227+G227+H227+I227-0.1</f>
        <v>137065.1</v>
      </c>
      <c r="E227" s="38">
        <f t="shared" si="106"/>
        <v>101502</v>
      </c>
      <c r="F227" s="16">
        <f>F15+F36+F53+F71+F88+F106+F123+F139+F158+F176+F193+F210</f>
        <v>29359.600000000002</v>
      </c>
      <c r="G227" s="16">
        <f>G15+G36+G53+G71+G88+G106+G123+G139+G158+G176+G193+G210</f>
        <v>38035.7</v>
      </c>
      <c r="H227" s="16">
        <f>H15+H36+H53+H71+H88+H106+H123+H139+H158+H176+H193+H210</f>
        <v>34106.700000000004</v>
      </c>
      <c r="I227" s="16">
        <f>I15+I36+I53+I71+I88+I106+I123+I139+I158+I176+I193+I210</f>
        <v>35563.200000000004</v>
      </c>
      <c r="J227" s="16">
        <f>J15+J36+J53+J71+J88+J106+J123+J139+J158+J176+J193+J210</f>
        <v>103638.3</v>
      </c>
      <c r="K227" s="18">
        <f aca="true" t="shared" si="108" ref="K227:K232">J227*100/E227</f>
        <v>102.10468759236271</v>
      </c>
      <c r="L227" s="16">
        <f aca="true" t="shared" si="109" ref="L227:L232">J227*100/D227</f>
        <v>75.61246444207897</v>
      </c>
      <c r="M227" s="71">
        <f t="shared" si="105"/>
        <v>85.29171165595703</v>
      </c>
    </row>
    <row r="228" spans="1:13" ht="12.75">
      <c r="A228" s="34" t="s">
        <v>14</v>
      </c>
      <c r="B228" s="24" t="s">
        <v>13</v>
      </c>
      <c r="C228" s="16">
        <f>C16</f>
        <v>18177.1</v>
      </c>
      <c r="D228" s="50">
        <f t="shared" si="107"/>
        <v>14022.2</v>
      </c>
      <c r="E228" s="38">
        <f t="shared" si="106"/>
        <v>10633</v>
      </c>
      <c r="F228" s="16">
        <f>F16</f>
        <v>4412.7</v>
      </c>
      <c r="G228" s="16">
        <f>G16</f>
        <v>2762.3</v>
      </c>
      <c r="H228" s="16">
        <f>H16</f>
        <v>3458</v>
      </c>
      <c r="I228" s="16">
        <f>I16</f>
        <v>3389.2</v>
      </c>
      <c r="J228" s="16">
        <f>J16</f>
        <v>11469.5</v>
      </c>
      <c r="K228" s="18">
        <f t="shared" si="108"/>
        <v>107.86701777485187</v>
      </c>
      <c r="L228" s="16">
        <f t="shared" si="109"/>
        <v>81.79529603058008</v>
      </c>
      <c r="M228" s="71">
        <f t="shared" si="105"/>
        <v>63.09862409295213</v>
      </c>
    </row>
    <row r="229" spans="1:13" ht="22.5">
      <c r="A229" s="35" t="s">
        <v>40</v>
      </c>
      <c r="B229" s="24" t="s">
        <v>41</v>
      </c>
      <c r="C229" s="36">
        <f>C17+C89+C54+C107+C140+C159+C177+C194+C124+C72+C37</f>
        <v>809.8</v>
      </c>
      <c r="D229" s="50">
        <f>F229+G229+H229+I229</f>
        <v>1842.7</v>
      </c>
      <c r="E229" s="38">
        <f t="shared" si="106"/>
        <v>1770</v>
      </c>
      <c r="F229" s="36">
        <f>F17+F89+F54+F107+F140+F159+F177+F194+F124+F72+F37</f>
        <v>1799.5</v>
      </c>
      <c r="G229" s="36">
        <f>G17+G89+G54+G107+G140+G159+G177+G194+G124+G72+G37</f>
        <v>-445.4999999999999</v>
      </c>
      <c r="H229" s="36">
        <f>H17+H89+H54+H107+H140+H159+H177+H194+H124+H72+H37</f>
        <v>416</v>
      </c>
      <c r="I229" s="36">
        <f>I17+I89+I54+I107+I140+I159+I177+I194+I124+I72+I37</f>
        <v>72.7</v>
      </c>
      <c r="J229" s="36">
        <f>J17+J89+J54+J107+J140+J159+J177+J194+J124+J72+J37</f>
        <v>1821.8</v>
      </c>
      <c r="K229" s="18">
        <f t="shared" si="108"/>
        <v>102.92655367231639</v>
      </c>
      <c r="L229" s="16">
        <f t="shared" si="109"/>
        <v>98.86579475769251</v>
      </c>
      <c r="M229" s="71">
        <f t="shared" si="105"/>
        <v>224.96912817979748</v>
      </c>
    </row>
    <row r="230" spans="1:13" ht="22.5">
      <c r="A230" s="35" t="s">
        <v>18</v>
      </c>
      <c r="B230" s="24" t="s">
        <v>15</v>
      </c>
      <c r="C230" s="16">
        <f>C18+C38+C55+C73+C90+C125+C160+C178+C195+C211+C141</f>
        <v>9073</v>
      </c>
      <c r="D230" s="50">
        <f>F230+G230+H230+I230</f>
        <v>26478.899999999998</v>
      </c>
      <c r="E230" s="38">
        <f t="shared" si="106"/>
        <v>20555.6</v>
      </c>
      <c r="F230" s="16">
        <f>F18+F38+F55+F73+F90+F108+F125+F160+F178+F195+F211+F141</f>
        <v>4524.099999999999</v>
      </c>
      <c r="G230" s="16">
        <f>G18+G38+G55+G73+G90+G108+G125+G160+G178+G195+G211+G141</f>
        <v>5598.299999999999</v>
      </c>
      <c r="H230" s="16">
        <f>H18+H38+H55+H73+H90+H108+H125+H160+H178+H195+H211+H141</f>
        <v>10433.2</v>
      </c>
      <c r="I230" s="16">
        <f>I18+I38+I55+I73+I90+I108+I125+I160+I178+I195+I211+I141</f>
        <v>5923.3</v>
      </c>
      <c r="J230" s="16">
        <f>J18+J38+J55+J73+J90+J125+J160+J178+J195+J211+J141+0.1</f>
        <v>19721</v>
      </c>
      <c r="K230" s="18">
        <f t="shared" si="108"/>
        <v>95.93979256261068</v>
      </c>
      <c r="L230" s="16">
        <f t="shared" si="109"/>
        <v>74.4781694103607</v>
      </c>
      <c r="M230" s="71">
        <f t="shared" si="105"/>
        <v>217.35919761931004</v>
      </c>
    </row>
    <row r="231" spans="1:13" ht="12.75">
      <c r="A231" s="35" t="s">
        <v>46</v>
      </c>
      <c r="B231" s="24" t="s">
        <v>47</v>
      </c>
      <c r="C231" s="16">
        <f>C19</f>
        <v>11</v>
      </c>
      <c r="D231" s="50">
        <f t="shared" si="107"/>
        <v>45</v>
      </c>
      <c r="E231" s="38">
        <f t="shared" si="106"/>
        <v>45</v>
      </c>
      <c r="F231" s="16">
        <f>F19</f>
        <v>16</v>
      </c>
      <c r="G231" s="16">
        <f>G19</f>
        <v>28</v>
      </c>
      <c r="H231" s="16">
        <f>H19</f>
        <v>1</v>
      </c>
      <c r="I231" s="16">
        <f>I19</f>
        <v>0</v>
      </c>
      <c r="J231" s="16">
        <f>J19</f>
        <v>45</v>
      </c>
      <c r="K231" s="18">
        <f t="shared" si="108"/>
        <v>100</v>
      </c>
      <c r="L231" s="16">
        <f t="shared" si="109"/>
        <v>100</v>
      </c>
      <c r="M231" s="71">
        <f t="shared" si="105"/>
        <v>409.09090909090907</v>
      </c>
    </row>
    <row r="232" spans="1:13" ht="12.75">
      <c r="A232" s="31" t="s">
        <v>12</v>
      </c>
      <c r="B232" s="24" t="s">
        <v>7</v>
      </c>
      <c r="C232" s="16">
        <f>C20+C196+C212+C74+C142+C56+C161+C91+C179+C108</f>
        <v>4028.8</v>
      </c>
      <c r="D232" s="16">
        <f aca="true" t="shared" si="110" ref="D232:I232">D20+D196+D212+D74+D142+D56+D161+D91+D179+D108+D39+D126</f>
        <v>9229.599999999999</v>
      </c>
      <c r="E232" s="16">
        <f t="shared" si="110"/>
        <v>8874.3</v>
      </c>
      <c r="F232" s="16">
        <f t="shared" si="110"/>
        <v>3191.9</v>
      </c>
      <c r="G232" s="16">
        <f t="shared" si="110"/>
        <v>4134.5</v>
      </c>
      <c r="H232" s="16">
        <f t="shared" si="110"/>
        <v>1547.8999999999999</v>
      </c>
      <c r="I232" s="16">
        <f t="shared" si="110"/>
        <v>355.3</v>
      </c>
      <c r="J232" s="16">
        <f>J20+J196+J212+J74+J142+J56+J161+J91+J179+J108+J39+J126+0.1</f>
        <v>19937.5</v>
      </c>
      <c r="K232" s="18">
        <f t="shared" si="108"/>
        <v>224.66560742819155</v>
      </c>
      <c r="L232" s="16">
        <f t="shared" si="109"/>
        <v>216.0169454797608</v>
      </c>
      <c r="M232" s="71">
        <f t="shared" si="105"/>
        <v>494.87440428911833</v>
      </c>
    </row>
    <row r="233" spans="1:13" ht="12.75">
      <c r="A233" s="69" t="s">
        <v>37</v>
      </c>
      <c r="B233" s="14" t="s">
        <v>38</v>
      </c>
      <c r="C233" s="16">
        <f>C21+C40+C57+C75+C92+C109+C127+C143+C162+C180+C197+C213</f>
        <v>45</v>
      </c>
      <c r="D233" s="50">
        <f t="shared" si="107"/>
        <v>766.8</v>
      </c>
      <c r="E233" s="38">
        <f t="shared" si="106"/>
        <v>766.8</v>
      </c>
      <c r="F233" s="16">
        <v>0</v>
      </c>
      <c r="G233" s="16">
        <f>G21+G40+G57+G75+G92+G109+G127+G143+G162+G180+G197+G213</f>
        <v>766.8</v>
      </c>
      <c r="H233" s="16">
        <f>H21+H40+H57+H75+H92+H109+H127+H143+H162+H180+H197+H213</f>
        <v>0</v>
      </c>
      <c r="I233" s="16">
        <f>I21+I40+I57+I75+I92+I109+I127+I143+I162+I180+I197+I213</f>
        <v>0</v>
      </c>
      <c r="J233" s="16">
        <f>J21+J40+J57+J75+J92+J109+J127+J143+J162+J180+J197+J213+0.1</f>
        <v>942.2</v>
      </c>
      <c r="K233" s="18">
        <f>J233*100/E233</f>
        <v>122.87428273343767</v>
      </c>
      <c r="L233" s="16">
        <f>J233*100/D233</f>
        <v>122.87428273343767</v>
      </c>
      <c r="M233" s="71">
        <f t="shared" si="105"/>
        <v>2093.777777777778</v>
      </c>
    </row>
    <row r="234" spans="1:13" ht="12.75">
      <c r="A234" s="30" t="s">
        <v>1</v>
      </c>
      <c r="B234" s="25" t="s">
        <v>0</v>
      </c>
      <c r="C234" s="26">
        <f>C235+C237+C239+C238+C236</f>
        <v>3665297.5</v>
      </c>
      <c r="D234" s="26">
        <f aca="true" t="shared" si="111" ref="D234:I234">D235+D237+D239+D238+D236</f>
        <v>3681217.9</v>
      </c>
      <c r="E234" s="26">
        <f t="shared" si="111"/>
        <v>2482924.6999999997</v>
      </c>
      <c r="F234" s="26">
        <f t="shared" si="111"/>
        <v>677589.1</v>
      </c>
      <c r="G234" s="26">
        <f t="shared" si="111"/>
        <v>1030232.8999999999</v>
      </c>
      <c r="H234" s="26">
        <f t="shared" si="111"/>
        <v>775102.7000000001</v>
      </c>
      <c r="I234" s="26">
        <f t="shared" si="111"/>
        <v>1198293.2</v>
      </c>
      <c r="J234" s="26">
        <f>J235+J237+J239+J238+J236</f>
        <v>2578380.4</v>
      </c>
      <c r="K234" s="23">
        <f aca="true" t="shared" si="112" ref="K234:K240">J234*100/E234</f>
        <v>103.8444863027864</v>
      </c>
      <c r="L234" s="21">
        <f aca="true" t="shared" si="113" ref="L234:L240">J234*100/D234</f>
        <v>70.0415044705721</v>
      </c>
      <c r="M234" s="72">
        <f>J234*100/C234</f>
        <v>70.34573319082557</v>
      </c>
    </row>
    <row r="235" spans="1:13" ht="22.5">
      <c r="A235" s="69" t="s">
        <v>52</v>
      </c>
      <c r="B235" s="27" t="s">
        <v>20</v>
      </c>
      <c r="C235" s="15">
        <f>C23-33523.2</f>
        <v>3665297.5</v>
      </c>
      <c r="D235" s="50">
        <f t="shared" si="107"/>
        <v>3647369.1999999997</v>
      </c>
      <c r="E235" s="38">
        <f t="shared" si="106"/>
        <v>2451563.1999999997</v>
      </c>
      <c r="F235" s="15">
        <f>F23-8380.7</f>
        <v>676502.9</v>
      </c>
      <c r="G235" s="15">
        <f>G23-8420.8</f>
        <v>1024540.3999999999</v>
      </c>
      <c r="H235" s="15">
        <f>H23-8532.4</f>
        <v>750519.9</v>
      </c>
      <c r="I235" s="15">
        <f>I23-8650.5</f>
        <v>1195806</v>
      </c>
      <c r="J235" s="15">
        <f>J23-17369.7</f>
        <v>2550103.1999999997</v>
      </c>
      <c r="K235" s="18">
        <f t="shared" si="112"/>
        <v>104.01947622643381</v>
      </c>
      <c r="L235" s="16">
        <f t="shared" si="113"/>
        <v>69.91623441904373</v>
      </c>
      <c r="M235" s="71">
        <f>J235*100/C235</f>
        <v>69.57424874788471</v>
      </c>
    </row>
    <row r="236" spans="1:13" ht="22.5">
      <c r="A236" s="69" t="s">
        <v>69</v>
      </c>
      <c r="B236" s="24" t="s">
        <v>70</v>
      </c>
      <c r="C236" s="16">
        <v>0</v>
      </c>
      <c r="D236" s="50">
        <f>F236+G236+H236+I236</f>
        <v>1818.4</v>
      </c>
      <c r="E236" s="38">
        <f t="shared" si="106"/>
        <v>1818.4</v>
      </c>
      <c r="F236" s="15">
        <f>F200+F130+F24</f>
        <v>165</v>
      </c>
      <c r="G236" s="15">
        <f>G200+G130+G24</f>
        <v>853.4</v>
      </c>
      <c r="H236" s="15">
        <f>H200+H130+H24</f>
        <v>800</v>
      </c>
      <c r="I236" s="15">
        <f>I200+I130+I24</f>
        <v>0</v>
      </c>
      <c r="J236" s="15">
        <f>J200+J130+J24</f>
        <v>1818.4</v>
      </c>
      <c r="K236" s="18">
        <f t="shared" si="112"/>
        <v>100</v>
      </c>
      <c r="L236" s="16">
        <f t="shared" si="113"/>
        <v>100</v>
      </c>
      <c r="M236" s="71"/>
    </row>
    <row r="237" spans="1:13" ht="12.75" customHeight="1">
      <c r="A237" s="69" t="s">
        <v>60</v>
      </c>
      <c r="B237" s="28" t="s">
        <v>19</v>
      </c>
      <c r="C237" s="16">
        <f>C25+C96+C183+C78</f>
        <v>0</v>
      </c>
      <c r="D237" s="50">
        <f>F237+G237+H237+I237</f>
        <v>38409.1</v>
      </c>
      <c r="E237" s="38">
        <f t="shared" si="106"/>
        <v>35921.9</v>
      </c>
      <c r="F237" s="16">
        <f>F25+F96+F165+F216+F148+F78+F112</f>
        <v>7300</v>
      </c>
      <c r="G237" s="16">
        <f>G25+G96+G165+G216+G148+G78+G112</f>
        <v>4839.1</v>
      </c>
      <c r="H237" s="16">
        <f>H25+H96+H165+H216+H148+H78+H112</f>
        <v>23782.8</v>
      </c>
      <c r="I237" s="16">
        <f>I25+I96+I165+I216+I148+I78+I112</f>
        <v>2487.2</v>
      </c>
      <c r="J237" s="16">
        <f>J25+J96+J165+J216+J148+J78+J112</f>
        <v>32837.6</v>
      </c>
      <c r="K237" s="18">
        <f t="shared" si="112"/>
        <v>91.41387287420766</v>
      </c>
      <c r="L237" s="16">
        <f t="shared" si="113"/>
        <v>85.49432295992357</v>
      </c>
      <c r="M237" s="71"/>
    </row>
    <row r="238" spans="1:13" ht="63" customHeight="1" hidden="1">
      <c r="A238" s="69" t="s">
        <v>59</v>
      </c>
      <c r="B238" s="14" t="s">
        <v>50</v>
      </c>
      <c r="C238" s="16"/>
      <c r="D238" s="50">
        <f>470.7-470.7</f>
        <v>0</v>
      </c>
      <c r="E238" s="38">
        <f t="shared" si="106"/>
        <v>0</v>
      </c>
      <c r="F238" s="16">
        <f>-470.7+470.7</f>
        <v>0</v>
      </c>
      <c r="G238" s="16"/>
      <c r="H238" s="16"/>
      <c r="I238" s="16"/>
      <c r="J238" s="16"/>
      <c r="K238" s="18" t="e">
        <f t="shared" si="112"/>
        <v>#DIV/0!</v>
      </c>
      <c r="L238" s="16" t="e">
        <f t="shared" si="113"/>
        <v>#DIV/0!</v>
      </c>
      <c r="M238" s="71"/>
    </row>
    <row r="239" spans="1:13" ht="33.75">
      <c r="A239" s="69" t="s">
        <v>51</v>
      </c>
      <c r="B239" s="17" t="s">
        <v>49</v>
      </c>
      <c r="C239" s="16">
        <f>C27</f>
        <v>0</v>
      </c>
      <c r="D239" s="50">
        <f>F239+G239+H239+I239</f>
        <v>-6378.8</v>
      </c>
      <c r="E239" s="38">
        <f t="shared" si="106"/>
        <v>-6378.8</v>
      </c>
      <c r="F239" s="16">
        <f>F27</f>
        <v>-6378.8</v>
      </c>
      <c r="G239" s="16">
        <f>G27</f>
        <v>0</v>
      </c>
      <c r="H239" s="16">
        <f>H27</f>
        <v>0</v>
      </c>
      <c r="I239" s="16">
        <f>I27</f>
        <v>0</v>
      </c>
      <c r="J239" s="16">
        <f>J27</f>
        <v>-6378.8</v>
      </c>
      <c r="K239" s="18">
        <f t="shared" si="112"/>
        <v>100</v>
      </c>
      <c r="L239" s="16">
        <f t="shared" si="113"/>
        <v>100</v>
      </c>
      <c r="M239" s="71"/>
    </row>
    <row r="240" spans="1:13" ht="12.75">
      <c r="A240" s="19"/>
      <c r="B240" s="20" t="s">
        <v>4</v>
      </c>
      <c r="C240" s="21">
        <f aca="true" t="shared" si="114" ref="C240:I240">C234+C220</f>
        <v>4683563.4</v>
      </c>
      <c r="D240" s="21">
        <f>D234+D220</f>
        <v>4796048.5</v>
      </c>
      <c r="E240" s="21">
        <f t="shared" si="114"/>
        <v>3364863.3</v>
      </c>
      <c r="F240" s="21">
        <f t="shared" si="114"/>
        <v>950518</v>
      </c>
      <c r="G240" s="21">
        <f t="shared" si="114"/>
        <v>1343843.7</v>
      </c>
      <c r="H240" s="21">
        <f t="shared" si="114"/>
        <v>1070501.6</v>
      </c>
      <c r="I240" s="21">
        <f t="shared" si="114"/>
        <v>1431185.3</v>
      </c>
      <c r="J240" s="21">
        <f>J234+J220</f>
        <v>3505330.5999999996</v>
      </c>
      <c r="K240" s="23">
        <f t="shared" si="112"/>
        <v>104.17453214221213</v>
      </c>
      <c r="L240" s="21">
        <f t="shared" si="113"/>
        <v>73.08788891521843</v>
      </c>
      <c r="M240" s="72">
        <f>J240*100/C240</f>
        <v>74.8432400851027</v>
      </c>
    </row>
    <row r="241" spans="2:8" ht="12.75">
      <c r="B241" s="8"/>
      <c r="C241" s="8"/>
      <c r="D241" s="8"/>
      <c r="E241" s="8"/>
      <c r="F241" s="8"/>
      <c r="G241" s="8"/>
      <c r="H241" s="2"/>
    </row>
    <row r="242" spans="2:10" ht="12.75">
      <c r="B242" s="9" t="s">
        <v>45</v>
      </c>
      <c r="C242" s="9"/>
      <c r="D242" s="49" t="e">
        <f>#REF!=D234-D235</f>
        <v>#REF!</v>
      </c>
      <c r="E242" s="9"/>
      <c r="F242" s="9"/>
      <c r="G242" s="9"/>
      <c r="H242" s="3"/>
      <c r="I242" s="3"/>
      <c r="J242" s="5"/>
    </row>
    <row r="243" spans="2:10" ht="12.75" hidden="1">
      <c r="B243" s="9"/>
      <c r="C243" s="9"/>
      <c r="D243" s="9"/>
      <c r="E243" s="9"/>
      <c r="F243" s="9"/>
      <c r="G243" s="9"/>
      <c r="H243" s="3" t="s">
        <v>48</v>
      </c>
      <c r="I243" s="3">
        <f>I242-I220</f>
        <v>-232892.1</v>
      </c>
      <c r="J243" s="4"/>
    </row>
    <row r="244" spans="1:10" ht="12.75" hidden="1">
      <c r="A244" s="2"/>
      <c r="B244" s="9"/>
      <c r="C244" s="9"/>
      <c r="D244" s="9"/>
      <c r="E244" s="9"/>
      <c r="F244" s="9"/>
      <c r="G244" s="9"/>
      <c r="H244" s="6"/>
      <c r="I244" s="3"/>
      <c r="J244" s="5"/>
    </row>
    <row r="245" spans="2:10" ht="12.75" hidden="1">
      <c r="B245" s="10"/>
      <c r="C245" s="10"/>
      <c r="D245" s="10"/>
      <c r="E245" s="10"/>
      <c r="F245" s="10"/>
      <c r="G245" s="10"/>
      <c r="H245" s="3"/>
      <c r="I245" s="3">
        <f>I244-I234</f>
        <v>-1198293.2</v>
      </c>
      <c r="J245" s="5"/>
    </row>
    <row r="246" spans="2:10" ht="12.75" hidden="1">
      <c r="B246" s="10"/>
      <c r="C246" s="10"/>
      <c r="D246" s="10"/>
      <c r="E246" s="10"/>
      <c r="F246" s="10"/>
      <c r="G246" s="10"/>
      <c r="H246" s="6"/>
      <c r="I246" s="3" t="e">
        <f>#REF!+#REF!+#REF!+#REF!+#REF!+#REF!+#REF!+#REF!+#REF!+#REF!</f>
        <v>#REF!</v>
      </c>
      <c r="J246" s="5"/>
    </row>
    <row r="247" spans="1:10" ht="12.75" hidden="1">
      <c r="A247" s="2">
        <f>I220+I234</f>
        <v>1431185.3</v>
      </c>
      <c r="B247" s="11"/>
      <c r="C247" s="11"/>
      <c r="D247" s="11"/>
      <c r="E247" s="11"/>
      <c r="F247" s="11"/>
      <c r="G247" s="11"/>
      <c r="H247" s="6"/>
      <c r="I247" s="3" t="e">
        <f>I246-#REF!</f>
        <v>#REF!</v>
      </c>
      <c r="J247" s="5"/>
    </row>
    <row r="248" spans="1:10" ht="12.75" hidden="1">
      <c r="A248" s="2" t="e">
        <f>#REF!+#REF!</f>
        <v>#REF!</v>
      </c>
      <c r="B248" s="10"/>
      <c r="C248" s="10"/>
      <c r="D248" s="10"/>
      <c r="E248" s="10"/>
      <c r="F248" s="10"/>
      <c r="G248" s="10"/>
      <c r="H248" s="6"/>
      <c r="I248" s="3" t="e">
        <f>I242+I244+I246</f>
        <v>#REF!</v>
      </c>
      <c r="J248" s="5"/>
    </row>
    <row r="249" spans="1:10" ht="12.75" hidden="1">
      <c r="A249" s="2" t="e">
        <f>I220+#REF!</f>
        <v>#REF!</v>
      </c>
      <c r="B249" s="9"/>
      <c r="C249" s="9"/>
      <c r="D249" s="9"/>
      <c r="E249" s="9"/>
      <c r="F249" s="9"/>
      <c r="G249" s="9"/>
      <c r="H249" s="6"/>
      <c r="I249" s="3">
        <f>I28+I44+I62+I79+I97+I113+I131+I149+I167+I184+I201+I217-I214-I198-I181-I163-I144-I128-I110-I94-I76-I41-I58</f>
        <v>1439835.7999999996</v>
      </c>
      <c r="J249" s="5"/>
    </row>
    <row r="250" spans="1:10" ht="12.75" hidden="1">
      <c r="A250" s="2" t="e">
        <f>I234+#REF!</f>
        <v>#REF!</v>
      </c>
      <c r="B250" s="9"/>
      <c r="C250" s="9"/>
      <c r="D250" s="9"/>
      <c r="E250" s="9"/>
      <c r="F250" s="9"/>
      <c r="G250" s="9"/>
      <c r="H250" s="6"/>
      <c r="I250" s="3">
        <f>I249-I240</f>
        <v>8650.499999999534</v>
      </c>
      <c r="J250" s="5"/>
    </row>
    <row r="251" spans="2:10" ht="12.75" hidden="1">
      <c r="B251" s="9"/>
      <c r="C251" s="9"/>
      <c r="D251" s="9"/>
      <c r="E251" s="9"/>
      <c r="F251" s="9"/>
      <c r="G251" s="9"/>
      <c r="H251" s="6"/>
      <c r="I251" s="3"/>
      <c r="J251" s="5"/>
    </row>
    <row r="252" spans="2:10" ht="12.75" hidden="1">
      <c r="B252" s="8"/>
      <c r="C252" s="8"/>
      <c r="D252" s="8"/>
      <c r="E252" s="8"/>
      <c r="F252" s="8"/>
      <c r="G252" s="8"/>
      <c r="H252" s="5"/>
      <c r="I252" s="4"/>
      <c r="J252" s="5"/>
    </row>
    <row r="253" spans="2:10" ht="12.75">
      <c r="B253" s="8"/>
      <c r="C253" s="8"/>
      <c r="D253" s="8"/>
      <c r="E253" s="37"/>
      <c r="F253" s="37"/>
      <c r="G253" s="37"/>
      <c r="H253" s="37"/>
      <c r="I253" s="37"/>
      <c r="J253" s="37"/>
    </row>
    <row r="254" spans="2:10" ht="12.75">
      <c r="B254" s="8"/>
      <c r="C254" s="8"/>
      <c r="D254" s="8"/>
      <c r="E254" s="8"/>
      <c r="F254" s="8"/>
      <c r="G254" s="8"/>
      <c r="H254" s="5"/>
      <c r="I254" s="4"/>
      <c r="J254" s="5"/>
    </row>
    <row r="255" spans="2:10" ht="12.75">
      <c r="B255" s="8"/>
      <c r="C255" s="37"/>
      <c r="D255" s="37"/>
      <c r="E255" s="8"/>
      <c r="F255" s="37"/>
      <c r="G255" s="37"/>
      <c r="H255" s="37"/>
      <c r="I255" s="37"/>
      <c r="J255" s="37"/>
    </row>
    <row r="256" spans="3:10" ht="12.75">
      <c r="C256" s="2"/>
      <c r="D256" s="2"/>
      <c r="E256" s="2"/>
      <c r="F256" s="2"/>
      <c r="G256" s="2"/>
      <c r="H256" s="2"/>
      <c r="I256" s="2"/>
      <c r="J256" s="2"/>
    </row>
    <row r="257" spans="8:10" ht="12.75">
      <c r="H257" s="5"/>
      <c r="I257" s="4"/>
      <c r="J257" s="5"/>
    </row>
    <row r="258" spans="8:10" ht="12.75">
      <c r="H258" s="5"/>
      <c r="I258" s="4"/>
      <c r="J258" s="5"/>
    </row>
    <row r="259" spans="2:10" ht="12.75">
      <c r="B259" s="8"/>
      <c r="C259" s="8"/>
      <c r="D259" s="8"/>
      <c r="E259" s="8"/>
      <c r="F259" s="8"/>
      <c r="G259" s="8"/>
      <c r="H259" s="5"/>
      <c r="I259" s="4"/>
      <c r="J259" s="5"/>
    </row>
    <row r="260" spans="2:10" ht="12.75">
      <c r="B260" s="8"/>
      <c r="C260" s="8"/>
      <c r="D260" s="8"/>
      <c r="E260" s="8"/>
      <c r="F260" s="8"/>
      <c r="G260" s="8"/>
      <c r="H260" s="5"/>
      <c r="I260" s="4"/>
      <c r="J260" s="5"/>
    </row>
    <row r="261" spans="2:10" ht="12.75">
      <c r="B261" s="8"/>
      <c r="C261" s="8"/>
      <c r="D261" s="8"/>
      <c r="E261" s="8"/>
      <c r="F261" s="8"/>
      <c r="G261" s="8"/>
      <c r="H261" s="5"/>
      <c r="I261" s="4"/>
      <c r="J261" s="5"/>
    </row>
    <row r="262" spans="2:10" ht="12.75">
      <c r="B262" s="8"/>
      <c r="C262" s="8"/>
      <c r="D262" s="8"/>
      <c r="E262" s="8"/>
      <c r="F262" s="8"/>
      <c r="G262" s="8"/>
      <c r="H262" s="5"/>
      <c r="I262" s="4"/>
      <c r="J262" s="5"/>
    </row>
    <row r="263" spans="2:10" ht="12.75">
      <c r="B263" s="8"/>
      <c r="C263" s="8"/>
      <c r="D263" s="8"/>
      <c r="E263" s="8"/>
      <c r="F263" s="8"/>
      <c r="G263" s="8"/>
      <c r="H263" s="4"/>
      <c r="I263" s="4"/>
      <c r="J263" s="4"/>
    </row>
    <row r="264" spans="2:10" ht="12.75">
      <c r="B264" s="8"/>
      <c r="C264" s="8"/>
      <c r="D264" s="8"/>
      <c r="E264" s="8"/>
      <c r="F264" s="8"/>
      <c r="G264" s="8"/>
      <c r="H264" s="5"/>
      <c r="I264" s="5"/>
      <c r="J264" s="5"/>
    </row>
    <row r="265" spans="2:10" ht="12.75">
      <c r="B265" s="8"/>
      <c r="C265" s="8"/>
      <c r="D265" s="8"/>
      <c r="E265" s="8"/>
      <c r="F265" s="8"/>
      <c r="G265" s="8"/>
      <c r="H265" s="7"/>
      <c r="I265" s="4"/>
      <c r="J265" s="5"/>
    </row>
  </sheetData>
  <sheetProtection password="CF7A" sheet="1"/>
  <mergeCells count="38">
    <mergeCell ref="A99:M99"/>
    <mergeCell ref="J4:J6"/>
    <mergeCell ref="K4:K6"/>
    <mergeCell ref="A80:J80"/>
    <mergeCell ref="A46:M46"/>
    <mergeCell ref="A30:M30"/>
    <mergeCell ref="C4:C6"/>
    <mergeCell ref="G4:G6"/>
    <mergeCell ref="A132:J132"/>
    <mergeCell ref="M4:M6"/>
    <mergeCell ref="A98:J98"/>
    <mergeCell ref="A64:M64"/>
    <mergeCell ref="A7:M7"/>
    <mergeCell ref="A81:M81"/>
    <mergeCell ref="E4:E6"/>
    <mergeCell ref="A29:J29"/>
    <mergeCell ref="A114:J114"/>
    <mergeCell ref="B45:J45"/>
    <mergeCell ref="A185:J185"/>
    <mergeCell ref="A218:J218"/>
    <mergeCell ref="A1:M1"/>
    <mergeCell ref="L4:L6"/>
    <mergeCell ref="A2:J2"/>
    <mergeCell ref="D4:D6"/>
    <mergeCell ref="H4:H6"/>
    <mergeCell ref="A150:J150"/>
    <mergeCell ref="I4:I6"/>
    <mergeCell ref="F4:F6"/>
    <mergeCell ref="A202:J202"/>
    <mergeCell ref="A168:J168"/>
    <mergeCell ref="A115:M115"/>
    <mergeCell ref="A63:J63"/>
    <mergeCell ref="A219:M219"/>
    <mergeCell ref="A203:M203"/>
    <mergeCell ref="A186:M186"/>
    <mergeCell ref="A169:M169"/>
    <mergeCell ref="A151:M151"/>
    <mergeCell ref="A133:M133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1" max="1" width="5.50390625" style="0" customWidth="1"/>
    <col min="2" max="2" width="56.75390625" style="0" customWidth="1"/>
    <col min="3" max="3" width="13.125" style="0" customWidth="1"/>
    <col min="4" max="4" width="13.625" style="0" customWidth="1"/>
    <col min="5" max="5" width="10.50390625" style="0" customWidth="1"/>
    <col min="6" max="7" width="13.00390625" style="0" customWidth="1"/>
    <col min="9" max="9" width="12.625" style="0" hidden="1" customWidth="1"/>
    <col min="10" max="10" width="12.00390625" style="0" hidden="1" customWidth="1"/>
    <col min="11" max="11" width="13.875" style="0" customWidth="1"/>
    <col min="12" max="12" width="12.875" style="0" hidden="1" customWidth="1"/>
    <col min="13" max="13" width="11.25390625" style="0" hidden="1" customWidth="1"/>
    <col min="14" max="14" width="13.50390625" style="0" customWidth="1"/>
  </cols>
  <sheetData>
    <row r="1" spans="1:15" ht="15">
      <c r="A1" s="88" t="s">
        <v>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3.5" thickBot="1">
      <c r="A2" s="89"/>
      <c r="B2" s="90"/>
      <c r="C2" s="91"/>
      <c r="D2" s="92"/>
      <c r="E2" s="93"/>
      <c r="F2" s="94"/>
      <c r="G2" s="94"/>
      <c r="H2" s="95"/>
      <c r="I2" s="95"/>
      <c r="J2" s="95"/>
      <c r="K2" s="96"/>
      <c r="L2" s="95"/>
      <c r="M2" s="96"/>
      <c r="N2" s="97"/>
      <c r="O2" s="96"/>
    </row>
    <row r="3" spans="1:15" ht="13.5">
      <c r="A3" s="98" t="s">
        <v>76</v>
      </c>
      <c r="B3" s="99" t="s">
        <v>77</v>
      </c>
      <c r="C3" s="100" t="s">
        <v>78</v>
      </c>
      <c r="D3" s="100"/>
      <c r="E3" s="100"/>
      <c r="F3" s="101" t="s">
        <v>79</v>
      </c>
      <c r="G3" s="101"/>
      <c r="H3" s="101"/>
      <c r="I3" s="102" t="s">
        <v>80</v>
      </c>
      <c r="J3" s="103"/>
      <c r="K3" s="103"/>
      <c r="L3" s="103"/>
      <c r="M3" s="103"/>
      <c r="N3" s="103"/>
      <c r="O3" s="104"/>
    </row>
    <row r="4" spans="1:15" ht="12.75">
      <c r="A4" s="105"/>
      <c r="B4" s="106"/>
      <c r="C4" s="107" t="s">
        <v>81</v>
      </c>
      <c r="D4" s="107" t="s">
        <v>82</v>
      </c>
      <c r="E4" s="108" t="s">
        <v>83</v>
      </c>
      <c r="F4" s="107" t="s">
        <v>81</v>
      </c>
      <c r="G4" s="107" t="s">
        <v>82</v>
      </c>
      <c r="H4" s="108" t="s">
        <v>83</v>
      </c>
      <c r="I4" s="109" t="s">
        <v>289</v>
      </c>
      <c r="J4" s="109" t="s">
        <v>84</v>
      </c>
      <c r="K4" s="110" t="s">
        <v>81</v>
      </c>
      <c r="L4" s="109" t="s">
        <v>290</v>
      </c>
      <c r="M4" s="109" t="s">
        <v>84</v>
      </c>
      <c r="N4" s="111" t="s">
        <v>85</v>
      </c>
      <c r="O4" s="112" t="s">
        <v>83</v>
      </c>
    </row>
    <row r="5" spans="1:15" ht="56.25" customHeight="1">
      <c r="A5" s="105"/>
      <c r="B5" s="106"/>
      <c r="C5" s="113"/>
      <c r="D5" s="107"/>
      <c r="E5" s="114"/>
      <c r="F5" s="113"/>
      <c r="G5" s="107"/>
      <c r="H5" s="115"/>
      <c r="I5" s="109"/>
      <c r="J5" s="109"/>
      <c r="K5" s="116"/>
      <c r="L5" s="109"/>
      <c r="M5" s="109"/>
      <c r="N5" s="111"/>
      <c r="O5" s="117"/>
    </row>
    <row r="6" spans="1:15" ht="12.75">
      <c r="A6" s="105"/>
      <c r="B6" s="118" t="s">
        <v>86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0.5" customHeight="1">
      <c r="A7" s="105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2.75" hidden="1">
      <c r="A8" s="105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3.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  <c r="M9" s="120"/>
      <c r="N9" s="120"/>
      <c r="O9" s="122"/>
    </row>
    <row r="10" spans="1:15" ht="13.5">
      <c r="A10" s="123" t="s">
        <v>87</v>
      </c>
      <c r="B10" s="124" t="s">
        <v>88</v>
      </c>
      <c r="C10" s="125">
        <f>SUM(C11:C18)</f>
        <v>496942.80000000005</v>
      </c>
      <c r="D10" s="125">
        <f>SUM(D11:D18)</f>
        <v>249145.9</v>
      </c>
      <c r="E10" s="125">
        <f>D10/C10*100</f>
        <v>50.135729906943006</v>
      </c>
      <c r="F10" s="125">
        <f>F11+F12+F13+F14+F15+F17+F18+F16</f>
        <v>228538.3</v>
      </c>
      <c r="G10" s="125">
        <f>SUM(G11:G18)</f>
        <v>171800.8</v>
      </c>
      <c r="H10" s="126">
        <f>G10/F10*100</f>
        <v>75.17374549473764</v>
      </c>
      <c r="I10" s="125">
        <f aca="true" t="shared" si="0" ref="I10:N10">SUM(I11:I18)</f>
        <v>725481.1</v>
      </c>
      <c r="J10" s="125">
        <f>SUM(J11:J18)</f>
        <v>9062.4</v>
      </c>
      <c r="K10" s="125">
        <f>SUM(K11:K18)</f>
        <v>716418.7</v>
      </c>
      <c r="L10" s="125">
        <f t="shared" si="0"/>
        <v>420946.69999999995</v>
      </c>
      <c r="M10" s="125">
        <f t="shared" si="0"/>
        <v>4186</v>
      </c>
      <c r="N10" s="125">
        <f t="shared" si="0"/>
        <v>416760.69999999995</v>
      </c>
      <c r="O10" s="127">
        <f>N10/K10*100</f>
        <v>58.17278359707807</v>
      </c>
    </row>
    <row r="11" spans="1:15" ht="21" customHeight="1">
      <c r="A11" s="128" t="s">
        <v>89</v>
      </c>
      <c r="B11" s="129" t="s">
        <v>90</v>
      </c>
      <c r="C11" s="130">
        <v>4882.3</v>
      </c>
      <c r="D11" s="130">
        <v>3906.5</v>
      </c>
      <c r="E11" s="131">
        <f>D11/C11*100</f>
        <v>80.01351821887225</v>
      </c>
      <c r="F11" s="132">
        <v>48185.7</v>
      </c>
      <c r="G11" s="132">
        <v>38582</v>
      </c>
      <c r="H11" s="133">
        <f>G11/F11*100</f>
        <v>80.06939818244832</v>
      </c>
      <c r="I11" s="134">
        <f>C11+F11</f>
        <v>53068</v>
      </c>
      <c r="J11" s="135"/>
      <c r="K11" s="136">
        <f>I11-J11</f>
        <v>53068</v>
      </c>
      <c r="L11" s="134">
        <f>D11+G11</f>
        <v>42488.5</v>
      </c>
      <c r="M11" s="135"/>
      <c r="N11" s="136">
        <f>L11-M11</f>
        <v>42488.5</v>
      </c>
      <c r="O11" s="137">
        <f aca="true" t="shared" si="1" ref="O11:O123">N11/K11*100</f>
        <v>80.06425717946786</v>
      </c>
    </row>
    <row r="12" spans="1:15" ht="27">
      <c r="A12" s="128" t="s">
        <v>91</v>
      </c>
      <c r="B12" s="129" t="s">
        <v>92</v>
      </c>
      <c r="C12" s="130">
        <v>10818.2</v>
      </c>
      <c r="D12" s="130">
        <v>8099.6</v>
      </c>
      <c r="E12" s="131">
        <f aca="true" t="shared" si="2" ref="E12:E20">D12/C12*100</f>
        <v>74.87012626869534</v>
      </c>
      <c r="F12" s="132">
        <v>0</v>
      </c>
      <c r="G12" s="132"/>
      <c r="H12" s="133">
        <v>0</v>
      </c>
      <c r="I12" s="134">
        <f aca="true" t="shared" si="3" ref="I12:I18">C12+F12</f>
        <v>10818.2</v>
      </c>
      <c r="J12" s="135"/>
      <c r="K12" s="136">
        <f aca="true" t="shared" si="4" ref="K12:K18">I12-J12</f>
        <v>10818.2</v>
      </c>
      <c r="L12" s="134">
        <f aca="true" t="shared" si="5" ref="L12:L91">D12+G12</f>
        <v>8099.6</v>
      </c>
      <c r="M12" s="135"/>
      <c r="N12" s="136">
        <f aca="true" t="shared" si="6" ref="N12:N91">L12-M12</f>
        <v>8099.6</v>
      </c>
      <c r="O12" s="137">
        <f t="shared" si="1"/>
        <v>74.87012626869534</v>
      </c>
    </row>
    <row r="13" spans="1:15" ht="21" customHeight="1">
      <c r="A13" s="128" t="s">
        <v>93</v>
      </c>
      <c r="B13" s="129" t="s">
        <v>94</v>
      </c>
      <c r="C13" s="130">
        <v>171345.5</v>
      </c>
      <c r="D13" s="130">
        <v>133451.1</v>
      </c>
      <c r="E13" s="131">
        <f t="shared" si="2"/>
        <v>77.88421639319387</v>
      </c>
      <c r="F13" s="132">
        <v>135717.8</v>
      </c>
      <c r="G13" s="132">
        <v>103943.8</v>
      </c>
      <c r="H13" s="133">
        <f>G13/F13*100</f>
        <v>76.58818519015192</v>
      </c>
      <c r="I13" s="134">
        <f t="shared" si="3"/>
        <v>307063.3</v>
      </c>
      <c r="J13" s="135">
        <v>6855.4</v>
      </c>
      <c r="K13" s="136">
        <f t="shared" si="4"/>
        <v>300207.89999999997</v>
      </c>
      <c r="L13" s="134">
        <f>D13+G13</f>
        <v>237394.90000000002</v>
      </c>
      <c r="M13" s="135">
        <v>3427.7</v>
      </c>
      <c r="N13" s="136">
        <f>L13-M13</f>
        <v>233967.2</v>
      </c>
      <c r="O13" s="137">
        <f t="shared" si="1"/>
        <v>77.93505767170019</v>
      </c>
    </row>
    <row r="14" spans="1:15" ht="13.5">
      <c r="A14" s="128" t="s">
        <v>95</v>
      </c>
      <c r="B14" s="129" t="s">
        <v>96</v>
      </c>
      <c r="C14" s="130">
        <v>6.1</v>
      </c>
      <c r="D14" s="130">
        <v>0</v>
      </c>
      <c r="E14" s="131">
        <f t="shared" si="2"/>
        <v>0</v>
      </c>
      <c r="F14" s="132">
        <v>0</v>
      </c>
      <c r="G14" s="132"/>
      <c r="H14" s="133">
        <v>0</v>
      </c>
      <c r="I14" s="134">
        <f t="shared" si="3"/>
        <v>6.1</v>
      </c>
      <c r="J14" s="135"/>
      <c r="K14" s="136">
        <f t="shared" si="4"/>
        <v>6.1</v>
      </c>
      <c r="L14" s="134">
        <f>D14+G14</f>
        <v>0</v>
      </c>
      <c r="M14" s="135"/>
      <c r="N14" s="136">
        <f>L14-M14</f>
        <v>0</v>
      </c>
      <c r="O14" s="137">
        <f t="shared" si="1"/>
        <v>0</v>
      </c>
    </row>
    <row r="15" spans="1:15" ht="13.5">
      <c r="A15" s="128" t="s">
        <v>97</v>
      </c>
      <c r="B15" s="129" t="s">
        <v>98</v>
      </c>
      <c r="C15" s="130">
        <v>39366.8</v>
      </c>
      <c r="D15" s="130">
        <v>29455.8</v>
      </c>
      <c r="E15" s="131">
        <f t="shared" si="2"/>
        <v>74.82396333966692</v>
      </c>
      <c r="F15" s="132">
        <v>0</v>
      </c>
      <c r="G15" s="132"/>
      <c r="H15" s="133">
        <v>0</v>
      </c>
      <c r="I15" s="134">
        <f t="shared" si="3"/>
        <v>39366.8</v>
      </c>
      <c r="J15" s="135"/>
      <c r="K15" s="136">
        <f t="shared" si="4"/>
        <v>39366.8</v>
      </c>
      <c r="L15" s="134">
        <f>D15+G15</f>
        <v>29455.8</v>
      </c>
      <c r="M15" s="135"/>
      <c r="N15" s="136">
        <f t="shared" si="6"/>
        <v>29455.8</v>
      </c>
      <c r="O15" s="137">
        <f t="shared" si="1"/>
        <v>74.82396333966692</v>
      </c>
    </row>
    <row r="16" spans="1:15" ht="27" hidden="1">
      <c r="A16" s="128" t="s">
        <v>99</v>
      </c>
      <c r="B16" s="129" t="s">
        <v>100</v>
      </c>
      <c r="C16" s="130"/>
      <c r="D16" s="130"/>
      <c r="E16" s="131"/>
      <c r="F16" s="132"/>
      <c r="G16" s="132"/>
      <c r="H16" s="133" t="e">
        <f>G16/F16*100</f>
        <v>#DIV/0!</v>
      </c>
      <c r="I16" s="134">
        <f t="shared" si="3"/>
        <v>0</v>
      </c>
      <c r="J16" s="135"/>
      <c r="K16" s="136">
        <f t="shared" si="4"/>
        <v>0</v>
      </c>
      <c r="L16" s="134">
        <f t="shared" si="5"/>
        <v>0</v>
      </c>
      <c r="M16" s="135"/>
      <c r="N16" s="136">
        <f t="shared" si="6"/>
        <v>0</v>
      </c>
      <c r="O16" s="137" t="e">
        <f t="shared" si="1"/>
        <v>#DIV/0!</v>
      </c>
    </row>
    <row r="17" spans="1:15" ht="13.5">
      <c r="A17" s="119" t="s">
        <v>101</v>
      </c>
      <c r="B17" s="129" t="s">
        <v>102</v>
      </c>
      <c r="C17" s="130">
        <v>14180</v>
      </c>
      <c r="D17" s="130">
        <v>0</v>
      </c>
      <c r="E17" s="131">
        <f t="shared" si="2"/>
        <v>0</v>
      </c>
      <c r="F17" s="132">
        <v>950</v>
      </c>
      <c r="G17" s="132">
        <v>52.3</v>
      </c>
      <c r="H17" s="133">
        <f>G17/F17*100</f>
        <v>5.505263157894737</v>
      </c>
      <c r="I17" s="134">
        <f t="shared" si="3"/>
        <v>15130</v>
      </c>
      <c r="J17" s="135"/>
      <c r="K17" s="136">
        <f t="shared" si="4"/>
        <v>15130</v>
      </c>
      <c r="L17" s="134">
        <f t="shared" si="5"/>
        <v>52.3</v>
      </c>
      <c r="M17" s="135"/>
      <c r="N17" s="136">
        <f t="shared" si="6"/>
        <v>52.3</v>
      </c>
      <c r="O17" s="137">
        <f t="shared" si="1"/>
        <v>0.3456708526107072</v>
      </c>
    </row>
    <row r="18" spans="1:15" ht="13.5">
      <c r="A18" s="128" t="s">
        <v>103</v>
      </c>
      <c r="B18" s="129" t="s">
        <v>104</v>
      </c>
      <c r="C18" s="130">
        <v>256343.9</v>
      </c>
      <c r="D18" s="130">
        <v>74232.9</v>
      </c>
      <c r="E18" s="131">
        <f t="shared" si="2"/>
        <v>28.95832512495909</v>
      </c>
      <c r="F18" s="132">
        <v>43684.8</v>
      </c>
      <c r="G18" s="132">
        <v>29222.7</v>
      </c>
      <c r="H18" s="133">
        <f>G18/F18*100</f>
        <v>66.89443467750796</v>
      </c>
      <c r="I18" s="134">
        <f t="shared" si="3"/>
        <v>300028.7</v>
      </c>
      <c r="J18" s="135">
        <v>2207</v>
      </c>
      <c r="K18" s="136">
        <f t="shared" si="4"/>
        <v>297821.7</v>
      </c>
      <c r="L18" s="134">
        <f>D18+G18</f>
        <v>103455.59999999999</v>
      </c>
      <c r="M18" s="138">
        <v>758.3</v>
      </c>
      <c r="N18" s="136">
        <f t="shared" si="6"/>
        <v>102697.29999999999</v>
      </c>
      <c r="O18" s="137">
        <f t="shared" si="1"/>
        <v>34.48281303880811</v>
      </c>
    </row>
    <row r="19" spans="1:15" ht="13.5">
      <c r="A19" s="123" t="s">
        <v>105</v>
      </c>
      <c r="B19" s="124" t="s">
        <v>106</v>
      </c>
      <c r="C19" s="125">
        <f aca="true" t="shared" si="7" ref="C19:N19">C20</f>
        <v>4976.7</v>
      </c>
      <c r="D19" s="125">
        <f t="shared" si="7"/>
        <v>2943.8</v>
      </c>
      <c r="E19" s="125">
        <f t="shared" si="7"/>
        <v>59.151646673498504</v>
      </c>
      <c r="F19" s="125">
        <f t="shared" si="7"/>
        <v>4411.8</v>
      </c>
      <c r="G19" s="125">
        <f t="shared" si="7"/>
        <v>2943.8</v>
      </c>
      <c r="H19" s="139">
        <f t="shared" si="7"/>
        <v>66.7255995285371</v>
      </c>
      <c r="I19" s="125">
        <f>I20</f>
        <v>9388.5</v>
      </c>
      <c r="J19" s="125">
        <f>J20</f>
        <v>4411.8</v>
      </c>
      <c r="K19" s="125">
        <f>K20</f>
        <v>4976.7</v>
      </c>
      <c r="L19" s="125">
        <f t="shared" si="7"/>
        <v>5887.6</v>
      </c>
      <c r="M19" s="125">
        <f>M20</f>
        <v>2943.8</v>
      </c>
      <c r="N19" s="125">
        <f t="shared" si="7"/>
        <v>2943.8</v>
      </c>
      <c r="O19" s="140">
        <f t="shared" si="1"/>
        <v>59.151646673498504</v>
      </c>
    </row>
    <row r="20" spans="1:15" ht="13.5">
      <c r="A20" s="141" t="s">
        <v>107</v>
      </c>
      <c r="B20" s="129" t="s">
        <v>108</v>
      </c>
      <c r="C20" s="130">
        <v>4976.7</v>
      </c>
      <c r="D20" s="130">
        <v>2943.8</v>
      </c>
      <c r="E20" s="131">
        <f t="shared" si="2"/>
        <v>59.151646673498504</v>
      </c>
      <c r="F20" s="132">
        <v>4411.8</v>
      </c>
      <c r="G20" s="132">
        <v>2943.8</v>
      </c>
      <c r="H20" s="133">
        <f aca="true" t="shared" si="8" ref="H20:H28">G20/F20*100</f>
        <v>66.7255995285371</v>
      </c>
      <c r="I20" s="134">
        <f aca="true" t="shared" si="9" ref="I20:I91">C20+F20</f>
        <v>9388.5</v>
      </c>
      <c r="J20" s="135">
        <v>4411.8</v>
      </c>
      <c r="K20" s="136">
        <f>I20-J20</f>
        <v>4976.7</v>
      </c>
      <c r="L20" s="134">
        <f>D20+G20</f>
        <v>5887.6</v>
      </c>
      <c r="M20" s="135">
        <v>2943.8</v>
      </c>
      <c r="N20" s="136">
        <f t="shared" si="6"/>
        <v>2943.8</v>
      </c>
      <c r="O20" s="137">
        <f t="shared" si="1"/>
        <v>59.151646673498504</v>
      </c>
    </row>
    <row r="21" spans="1:15" ht="27">
      <c r="A21" s="123" t="s">
        <v>109</v>
      </c>
      <c r="B21" s="142" t="s">
        <v>110</v>
      </c>
      <c r="C21" s="125">
        <f>C23+C25+C22+C24</f>
        <v>27297.899999999998</v>
      </c>
      <c r="D21" s="125">
        <f>D23+D25+D22+D24</f>
        <v>10270.5</v>
      </c>
      <c r="E21" s="143">
        <f>D21/C21*100</f>
        <v>37.62377325728353</v>
      </c>
      <c r="F21" s="143">
        <f>F23+F25+F22+F24</f>
        <v>7960.5</v>
      </c>
      <c r="G21" s="143">
        <f>G23+G25+G22+G24</f>
        <v>3793.2</v>
      </c>
      <c r="H21" s="143">
        <f t="shared" si="8"/>
        <v>47.650273224043715</v>
      </c>
      <c r="I21" s="143">
        <f>SUM(I22:I25)</f>
        <v>35258.4</v>
      </c>
      <c r="J21" s="143">
        <f>SUM(J22:J25)</f>
        <v>4594.1</v>
      </c>
      <c r="K21" s="143">
        <f>SUM(K22:K25)</f>
        <v>30664.3</v>
      </c>
      <c r="L21" s="143">
        <f>SUM(L22:L25)</f>
        <v>14063.7</v>
      </c>
      <c r="M21" s="143">
        <f>SUM(M22:M25)</f>
        <v>2157</v>
      </c>
      <c r="N21" s="143">
        <f>SUM(N22:N25)</f>
        <v>11906.700000000003</v>
      </c>
      <c r="O21" s="144">
        <f>N21/K21*100</f>
        <v>38.8291922528804</v>
      </c>
    </row>
    <row r="22" spans="1:15" ht="13.5">
      <c r="A22" s="119" t="s">
        <v>111</v>
      </c>
      <c r="B22" s="129" t="s">
        <v>112</v>
      </c>
      <c r="C22" s="130">
        <v>6191.8</v>
      </c>
      <c r="D22" s="130">
        <v>4608.6</v>
      </c>
      <c r="E22" s="131">
        <f aca="true" t="shared" si="10" ref="E22:E136">D22/C22*100</f>
        <v>74.43069866597759</v>
      </c>
      <c r="F22" s="132">
        <v>900.5</v>
      </c>
      <c r="G22" s="132">
        <v>480.6</v>
      </c>
      <c r="H22" s="133">
        <f t="shared" si="8"/>
        <v>53.37034980566352</v>
      </c>
      <c r="I22" s="134">
        <f>C22+F22</f>
        <v>7092.3</v>
      </c>
      <c r="J22" s="135">
        <v>900.5</v>
      </c>
      <c r="K22" s="136">
        <f>I22-J22</f>
        <v>6191.8</v>
      </c>
      <c r="L22" s="134">
        <f>D22+G22</f>
        <v>5089.200000000001</v>
      </c>
      <c r="M22" s="135">
        <v>592</v>
      </c>
      <c r="N22" s="136">
        <f t="shared" si="6"/>
        <v>4497.200000000001</v>
      </c>
      <c r="O22" s="137">
        <f>N22/K22*100</f>
        <v>72.63154494654222</v>
      </c>
    </row>
    <row r="23" spans="1:15" ht="15" customHeight="1">
      <c r="A23" s="141" t="s">
        <v>113</v>
      </c>
      <c r="B23" s="129" t="s">
        <v>114</v>
      </c>
      <c r="C23" s="130">
        <v>1942.2</v>
      </c>
      <c r="D23" s="130">
        <v>936.6</v>
      </c>
      <c r="E23" s="131">
        <f t="shared" si="10"/>
        <v>48.22366388631449</v>
      </c>
      <c r="F23" s="132">
        <v>186.8</v>
      </c>
      <c r="G23" s="132">
        <v>186.8</v>
      </c>
      <c r="H23" s="133">
        <f t="shared" si="8"/>
        <v>100</v>
      </c>
      <c r="I23" s="134">
        <f>C23+F23</f>
        <v>2129</v>
      </c>
      <c r="J23" s="135">
        <v>54.1</v>
      </c>
      <c r="K23" s="136">
        <f>I23-J23</f>
        <v>2074.9</v>
      </c>
      <c r="L23" s="134">
        <f>D23+G23</f>
        <v>1123.4</v>
      </c>
      <c r="M23" s="135">
        <v>54.1</v>
      </c>
      <c r="N23" s="136">
        <f t="shared" si="6"/>
        <v>1069.3000000000002</v>
      </c>
      <c r="O23" s="137">
        <f>N23/K23*100</f>
        <v>51.53501373560172</v>
      </c>
    </row>
    <row r="24" spans="1:15" ht="13.5">
      <c r="A24" s="141" t="s">
        <v>115</v>
      </c>
      <c r="B24" s="129" t="s">
        <v>116</v>
      </c>
      <c r="C24" s="130">
        <v>18862.6</v>
      </c>
      <c r="D24" s="130">
        <v>4589.8</v>
      </c>
      <c r="E24" s="131">
        <f t="shared" si="10"/>
        <v>24.33280671805584</v>
      </c>
      <c r="F24" s="132">
        <v>6539.2</v>
      </c>
      <c r="G24" s="132">
        <v>2960.7</v>
      </c>
      <c r="H24" s="133">
        <f t="shared" si="8"/>
        <v>45.2761805725471</v>
      </c>
      <c r="I24" s="134">
        <f>C24+F24</f>
        <v>25401.8</v>
      </c>
      <c r="J24" s="135">
        <v>3405.7</v>
      </c>
      <c r="K24" s="136">
        <f>I24-J24</f>
        <v>21996.1</v>
      </c>
      <c r="L24" s="134">
        <f>D24+G24</f>
        <v>7550.5</v>
      </c>
      <c r="M24" s="135">
        <v>1375.4</v>
      </c>
      <c r="N24" s="136">
        <f t="shared" si="6"/>
        <v>6175.1</v>
      </c>
      <c r="O24" s="137">
        <f>N24/K24*100</f>
        <v>28.073613049586065</v>
      </c>
    </row>
    <row r="25" spans="1:15" ht="27" customHeight="1">
      <c r="A25" s="119" t="s">
        <v>117</v>
      </c>
      <c r="B25" s="129" t="s">
        <v>118</v>
      </c>
      <c r="C25" s="130">
        <v>301.3</v>
      </c>
      <c r="D25" s="130">
        <v>135.5</v>
      </c>
      <c r="E25" s="131">
        <f t="shared" si="10"/>
        <v>44.971788914702955</v>
      </c>
      <c r="F25" s="132">
        <v>334</v>
      </c>
      <c r="G25" s="132">
        <v>165.1</v>
      </c>
      <c r="H25" s="133">
        <f t="shared" si="8"/>
        <v>49.431137724550894</v>
      </c>
      <c r="I25" s="134">
        <f>C25+F25</f>
        <v>635.3</v>
      </c>
      <c r="J25" s="135">
        <v>233.8</v>
      </c>
      <c r="K25" s="136">
        <f>I25-J25</f>
        <v>401.49999999999994</v>
      </c>
      <c r="L25" s="134">
        <f>D25+G25</f>
        <v>300.6</v>
      </c>
      <c r="M25" s="135">
        <v>135.5</v>
      </c>
      <c r="N25" s="136">
        <f t="shared" si="6"/>
        <v>165.10000000000002</v>
      </c>
      <c r="O25" s="137">
        <f>N25/K25*100</f>
        <v>41.12079701120798</v>
      </c>
    </row>
    <row r="26" spans="1:15" ht="13.5">
      <c r="A26" s="123" t="s">
        <v>119</v>
      </c>
      <c r="B26" s="124" t="s">
        <v>120</v>
      </c>
      <c r="C26" s="125">
        <f>SUM(C27:C58)</f>
        <v>190343.09999999998</v>
      </c>
      <c r="D26" s="125">
        <f>SUM(D27:D58)</f>
        <v>144972.99999999997</v>
      </c>
      <c r="E26" s="125">
        <f>D26/C26*100</f>
        <v>76.16404272075005</v>
      </c>
      <c r="F26" s="125">
        <f>SUM(F27:F58)</f>
        <v>155445.9</v>
      </c>
      <c r="G26" s="125">
        <f>SUM(G27:G58)</f>
        <v>91420.7</v>
      </c>
      <c r="H26" s="126">
        <f t="shared" si="8"/>
        <v>58.811908194426486</v>
      </c>
      <c r="I26" s="125">
        <f aca="true" t="shared" si="11" ref="I26:N26">SUM(I27:I58)</f>
        <v>345788.99999999994</v>
      </c>
      <c r="J26" s="125">
        <f t="shared" si="11"/>
        <v>62652.299999999996</v>
      </c>
      <c r="K26" s="125">
        <f>SUM(K27:K58)</f>
        <v>283136.69999999995</v>
      </c>
      <c r="L26" s="125">
        <f t="shared" si="11"/>
        <v>236393.7</v>
      </c>
      <c r="M26" s="125">
        <f t="shared" si="11"/>
        <v>37716.200000000004</v>
      </c>
      <c r="N26" s="125">
        <f t="shared" si="11"/>
        <v>198677.50000000003</v>
      </c>
      <c r="O26" s="127">
        <f t="shared" si="1"/>
        <v>70.17016868530291</v>
      </c>
    </row>
    <row r="27" spans="1:15" ht="47.25" customHeight="1">
      <c r="A27" s="145" t="s">
        <v>121</v>
      </c>
      <c r="B27" s="146" t="s">
        <v>122</v>
      </c>
      <c r="C27" s="130">
        <v>38133.5</v>
      </c>
      <c r="D27" s="130">
        <v>29640.9</v>
      </c>
      <c r="E27" s="131">
        <f t="shared" si="10"/>
        <v>77.72929314120131</v>
      </c>
      <c r="F27" s="130">
        <v>26375.2</v>
      </c>
      <c r="G27" s="132">
        <v>19254.8</v>
      </c>
      <c r="H27" s="133">
        <f t="shared" si="8"/>
        <v>73.00342746216143</v>
      </c>
      <c r="I27" s="134">
        <f t="shared" si="9"/>
        <v>64508.7</v>
      </c>
      <c r="J27" s="135">
        <v>26375.2</v>
      </c>
      <c r="K27" s="136">
        <f>I27-J27</f>
        <v>38133.5</v>
      </c>
      <c r="L27" s="134">
        <f>D27+G27</f>
        <v>48895.7</v>
      </c>
      <c r="M27" s="135">
        <v>20281.6</v>
      </c>
      <c r="N27" s="136">
        <f>L27-M27</f>
        <v>28614.1</v>
      </c>
      <c r="O27" s="137">
        <f t="shared" si="1"/>
        <v>75.03664756709979</v>
      </c>
    </row>
    <row r="28" spans="1:15" ht="13.5">
      <c r="A28" s="128" t="s">
        <v>123</v>
      </c>
      <c r="B28" s="129" t="s">
        <v>124</v>
      </c>
      <c r="C28" s="130">
        <v>46389.4</v>
      </c>
      <c r="D28" s="130">
        <v>42828.4</v>
      </c>
      <c r="E28" s="131">
        <f t="shared" si="10"/>
        <v>92.32367739181797</v>
      </c>
      <c r="F28" s="132">
        <v>2435.7</v>
      </c>
      <c r="G28" s="132">
        <v>1998</v>
      </c>
      <c r="H28" s="133">
        <f t="shared" si="8"/>
        <v>82.02980662643184</v>
      </c>
      <c r="I28" s="134">
        <f t="shared" si="9"/>
        <v>48825.1</v>
      </c>
      <c r="J28" s="135">
        <v>2412.3</v>
      </c>
      <c r="K28" s="136">
        <f aca="true" t="shared" si="12" ref="K28:K60">I28-J28</f>
        <v>46412.799999999996</v>
      </c>
      <c r="L28" s="134">
        <f t="shared" si="5"/>
        <v>44826.4</v>
      </c>
      <c r="M28" s="135">
        <v>1974.4</v>
      </c>
      <c r="N28" s="136">
        <f t="shared" si="6"/>
        <v>42852</v>
      </c>
      <c r="O28" s="137">
        <f t="shared" si="1"/>
        <v>92.32797848869279</v>
      </c>
    </row>
    <row r="29" spans="1:15" ht="13.5">
      <c r="A29" s="128" t="s">
        <v>125</v>
      </c>
      <c r="B29" s="129" t="s">
        <v>126</v>
      </c>
      <c r="C29" s="130">
        <v>6000</v>
      </c>
      <c r="D29" s="130">
        <v>3295.1</v>
      </c>
      <c r="E29" s="131">
        <f t="shared" si="10"/>
        <v>54.91833333333334</v>
      </c>
      <c r="F29" s="132"/>
      <c r="G29" s="132">
        <v>0</v>
      </c>
      <c r="H29" s="133">
        <v>0</v>
      </c>
      <c r="I29" s="134">
        <f t="shared" si="9"/>
        <v>6000</v>
      </c>
      <c r="J29" s="135"/>
      <c r="K29" s="136">
        <f t="shared" si="12"/>
        <v>6000</v>
      </c>
      <c r="L29" s="134">
        <f t="shared" si="5"/>
        <v>3295.1</v>
      </c>
      <c r="M29" s="135"/>
      <c r="N29" s="136">
        <f t="shared" si="6"/>
        <v>3295.1</v>
      </c>
      <c r="O29" s="137">
        <f t="shared" si="1"/>
        <v>54.91833333333334</v>
      </c>
    </row>
    <row r="30" spans="1:15" ht="33" customHeight="1">
      <c r="A30" s="128" t="s">
        <v>125</v>
      </c>
      <c r="B30" s="129" t="s">
        <v>127</v>
      </c>
      <c r="C30" s="130">
        <v>20812.5</v>
      </c>
      <c r="D30" s="130">
        <v>16304.3</v>
      </c>
      <c r="E30" s="131">
        <f t="shared" si="10"/>
        <v>78.33897897897899</v>
      </c>
      <c r="F30" s="132">
        <v>21730.7</v>
      </c>
      <c r="G30" s="132">
        <v>13872.2</v>
      </c>
      <c r="H30" s="133">
        <f>G30/F30*100</f>
        <v>63.836875940489726</v>
      </c>
      <c r="I30" s="134">
        <f t="shared" si="9"/>
        <v>42543.2</v>
      </c>
      <c r="J30" s="135">
        <v>3161.5</v>
      </c>
      <c r="K30" s="136">
        <f t="shared" si="12"/>
        <v>39381.7</v>
      </c>
      <c r="L30" s="134">
        <f t="shared" si="5"/>
        <v>30176.5</v>
      </c>
      <c r="M30" s="135">
        <v>1580.7</v>
      </c>
      <c r="N30" s="136">
        <f t="shared" si="6"/>
        <v>28595.8</v>
      </c>
      <c r="O30" s="137">
        <f t="shared" si="1"/>
        <v>72.61189841982444</v>
      </c>
    </row>
    <row r="31" spans="1:15" ht="13.5">
      <c r="A31" s="128" t="s">
        <v>125</v>
      </c>
      <c r="B31" s="129" t="s">
        <v>128</v>
      </c>
      <c r="C31" s="130">
        <v>31964</v>
      </c>
      <c r="D31" s="130">
        <v>26442.4</v>
      </c>
      <c r="E31" s="131">
        <f t="shared" si="10"/>
        <v>82.72556626204481</v>
      </c>
      <c r="F31" s="132">
        <v>0</v>
      </c>
      <c r="G31" s="132"/>
      <c r="H31" s="133">
        <v>0</v>
      </c>
      <c r="I31" s="134">
        <f t="shared" si="9"/>
        <v>31964</v>
      </c>
      <c r="J31" s="135"/>
      <c r="K31" s="136">
        <f t="shared" si="12"/>
        <v>31964</v>
      </c>
      <c r="L31" s="134">
        <f t="shared" si="5"/>
        <v>26442.4</v>
      </c>
      <c r="M31" s="135"/>
      <c r="N31" s="136">
        <f t="shared" si="6"/>
        <v>26442.4</v>
      </c>
      <c r="O31" s="137">
        <f t="shared" si="1"/>
        <v>82.72556626204481</v>
      </c>
    </row>
    <row r="32" spans="1:15" ht="40.5" customHeight="1" hidden="1">
      <c r="A32" s="128" t="s">
        <v>129</v>
      </c>
      <c r="B32" s="147" t="s">
        <v>130</v>
      </c>
      <c r="C32" s="130"/>
      <c r="D32" s="130"/>
      <c r="E32" s="131"/>
      <c r="F32" s="132">
        <v>0</v>
      </c>
      <c r="G32" s="132"/>
      <c r="H32" s="133"/>
      <c r="I32" s="134">
        <f t="shared" si="9"/>
        <v>0</v>
      </c>
      <c r="J32" s="135"/>
      <c r="K32" s="136">
        <f t="shared" si="12"/>
        <v>0</v>
      </c>
      <c r="L32" s="134">
        <f t="shared" si="5"/>
        <v>0</v>
      </c>
      <c r="M32" s="135"/>
      <c r="N32" s="136">
        <f t="shared" si="6"/>
        <v>0</v>
      </c>
      <c r="O32" s="137"/>
    </row>
    <row r="33" spans="1:15" ht="54.75" hidden="1">
      <c r="A33" s="119" t="s">
        <v>129</v>
      </c>
      <c r="B33" s="147" t="s">
        <v>131</v>
      </c>
      <c r="C33" s="130"/>
      <c r="D33" s="130"/>
      <c r="E33" s="131"/>
      <c r="F33" s="132">
        <v>0</v>
      </c>
      <c r="G33" s="132"/>
      <c r="H33" s="133"/>
      <c r="I33" s="134">
        <f t="shared" si="9"/>
        <v>0</v>
      </c>
      <c r="J33" s="135"/>
      <c r="K33" s="136">
        <f t="shared" si="12"/>
        <v>0</v>
      </c>
      <c r="L33" s="134">
        <f t="shared" si="5"/>
        <v>0</v>
      </c>
      <c r="M33" s="135"/>
      <c r="N33" s="136">
        <f t="shared" si="6"/>
        <v>0</v>
      </c>
      <c r="O33" s="137"/>
    </row>
    <row r="34" spans="1:15" ht="41.25" hidden="1">
      <c r="A34" s="119" t="s">
        <v>129</v>
      </c>
      <c r="B34" s="129" t="s">
        <v>132</v>
      </c>
      <c r="C34" s="130"/>
      <c r="D34" s="130"/>
      <c r="E34" s="131" t="e">
        <f t="shared" si="10"/>
        <v>#DIV/0!</v>
      </c>
      <c r="F34" s="132">
        <v>0</v>
      </c>
      <c r="G34" s="132"/>
      <c r="H34" s="133" t="e">
        <f>G34/F34*100</f>
        <v>#DIV/0!</v>
      </c>
      <c r="I34" s="134">
        <f t="shared" si="9"/>
        <v>0</v>
      </c>
      <c r="J34" s="135"/>
      <c r="K34" s="136">
        <f t="shared" si="12"/>
        <v>0</v>
      </c>
      <c r="L34" s="134">
        <f t="shared" si="5"/>
        <v>0</v>
      </c>
      <c r="M34" s="135"/>
      <c r="N34" s="136">
        <f t="shared" si="6"/>
        <v>0</v>
      </c>
      <c r="O34" s="137" t="e">
        <f t="shared" si="1"/>
        <v>#DIV/0!</v>
      </c>
    </row>
    <row r="35" spans="1:15" ht="96" hidden="1">
      <c r="A35" s="119" t="s">
        <v>129</v>
      </c>
      <c r="B35" s="129" t="s">
        <v>291</v>
      </c>
      <c r="C35" s="130"/>
      <c r="D35" s="130"/>
      <c r="E35" s="131" t="e">
        <f t="shared" si="10"/>
        <v>#DIV/0!</v>
      </c>
      <c r="F35" s="132"/>
      <c r="G35" s="132"/>
      <c r="H35" s="133" t="e">
        <f>G35/F35*100</f>
        <v>#DIV/0!</v>
      </c>
      <c r="I35" s="134">
        <f t="shared" si="9"/>
        <v>0</v>
      </c>
      <c r="J35" s="135"/>
      <c r="K35" s="136">
        <f t="shared" si="12"/>
        <v>0</v>
      </c>
      <c r="L35" s="134">
        <f t="shared" si="5"/>
        <v>0</v>
      </c>
      <c r="M35" s="135"/>
      <c r="N35" s="136">
        <f t="shared" si="6"/>
        <v>0</v>
      </c>
      <c r="O35" s="137" t="e">
        <f t="shared" si="1"/>
        <v>#DIV/0!</v>
      </c>
    </row>
    <row r="36" spans="1:15" ht="69" hidden="1">
      <c r="A36" s="119" t="s">
        <v>129</v>
      </c>
      <c r="B36" s="129" t="s">
        <v>133</v>
      </c>
      <c r="C36" s="130"/>
      <c r="D36" s="130"/>
      <c r="E36" s="131" t="e">
        <f t="shared" si="10"/>
        <v>#DIV/0!</v>
      </c>
      <c r="F36" s="132"/>
      <c r="G36" s="132"/>
      <c r="H36" s="133" t="e">
        <f aca="true" t="shared" si="13" ref="H36:H58">G36/F36*100</f>
        <v>#DIV/0!</v>
      </c>
      <c r="I36" s="134">
        <f t="shared" si="9"/>
        <v>0</v>
      </c>
      <c r="J36" s="135"/>
      <c r="K36" s="136">
        <f t="shared" si="12"/>
        <v>0</v>
      </c>
      <c r="L36" s="134">
        <f t="shared" si="5"/>
        <v>0</v>
      </c>
      <c r="M36" s="135"/>
      <c r="N36" s="136">
        <f t="shared" si="6"/>
        <v>0</v>
      </c>
      <c r="O36" s="137" t="e">
        <f t="shared" si="1"/>
        <v>#DIV/0!</v>
      </c>
    </row>
    <row r="37" spans="1:15" ht="27" hidden="1">
      <c r="A37" s="119" t="s">
        <v>129</v>
      </c>
      <c r="B37" s="129" t="s">
        <v>134</v>
      </c>
      <c r="C37" s="130"/>
      <c r="D37" s="130"/>
      <c r="E37" s="131" t="e">
        <f t="shared" si="10"/>
        <v>#DIV/0!</v>
      </c>
      <c r="F37" s="132"/>
      <c r="G37" s="132"/>
      <c r="H37" s="133" t="e">
        <f t="shared" si="13"/>
        <v>#DIV/0!</v>
      </c>
      <c r="I37" s="134">
        <f t="shared" si="9"/>
        <v>0</v>
      </c>
      <c r="J37" s="135"/>
      <c r="K37" s="136">
        <f t="shared" si="12"/>
        <v>0</v>
      </c>
      <c r="L37" s="134">
        <f t="shared" si="5"/>
        <v>0</v>
      </c>
      <c r="M37" s="135"/>
      <c r="N37" s="136">
        <f t="shared" si="6"/>
        <v>0</v>
      </c>
      <c r="O37" s="137" t="e">
        <f t="shared" si="1"/>
        <v>#DIV/0!</v>
      </c>
    </row>
    <row r="38" spans="1:15" ht="54.75">
      <c r="A38" s="145" t="s">
        <v>129</v>
      </c>
      <c r="B38" s="129" t="s">
        <v>292</v>
      </c>
      <c r="C38" s="130">
        <v>29889.1</v>
      </c>
      <c r="D38" s="130">
        <v>13625</v>
      </c>
      <c r="E38" s="131">
        <f t="shared" si="10"/>
        <v>45.58517988162909</v>
      </c>
      <c r="F38" s="132">
        <v>97833.2</v>
      </c>
      <c r="G38" s="132">
        <v>51773.8</v>
      </c>
      <c r="H38" s="133">
        <f t="shared" si="13"/>
        <v>52.920480981916164</v>
      </c>
      <c r="I38" s="134">
        <f t="shared" si="9"/>
        <v>127722.29999999999</v>
      </c>
      <c r="J38" s="135">
        <v>29367.6</v>
      </c>
      <c r="K38" s="136">
        <f t="shared" si="12"/>
        <v>98354.69999999998</v>
      </c>
      <c r="L38" s="134">
        <f t="shared" si="5"/>
        <v>65398.8</v>
      </c>
      <c r="M38" s="135">
        <v>13300.7</v>
      </c>
      <c r="N38" s="136">
        <f t="shared" si="6"/>
        <v>52098.100000000006</v>
      </c>
      <c r="O38" s="137">
        <f t="shared" si="1"/>
        <v>52.969608976490214</v>
      </c>
    </row>
    <row r="39" spans="1:15" ht="41.25" hidden="1">
      <c r="A39" s="145" t="s">
        <v>129</v>
      </c>
      <c r="B39" s="129" t="s">
        <v>135</v>
      </c>
      <c r="C39" s="130"/>
      <c r="D39" s="130"/>
      <c r="E39" s="131"/>
      <c r="F39" s="132"/>
      <c r="G39" s="132"/>
      <c r="H39" s="133" t="e">
        <f t="shared" si="13"/>
        <v>#DIV/0!</v>
      </c>
      <c r="I39" s="134">
        <f t="shared" si="9"/>
        <v>0</v>
      </c>
      <c r="J39" s="135"/>
      <c r="K39" s="136">
        <f t="shared" si="12"/>
        <v>0</v>
      </c>
      <c r="L39" s="134">
        <f t="shared" si="5"/>
        <v>0</v>
      </c>
      <c r="M39" s="135"/>
      <c r="N39" s="136">
        <f t="shared" si="6"/>
        <v>0</v>
      </c>
      <c r="O39" s="137" t="e">
        <f t="shared" si="1"/>
        <v>#DIV/0!</v>
      </c>
    </row>
    <row r="40" spans="1:15" ht="41.25" hidden="1">
      <c r="A40" s="119" t="s">
        <v>129</v>
      </c>
      <c r="B40" s="129" t="s">
        <v>136</v>
      </c>
      <c r="C40" s="130"/>
      <c r="D40" s="130"/>
      <c r="E40" s="131" t="e">
        <f t="shared" si="10"/>
        <v>#DIV/0!</v>
      </c>
      <c r="F40" s="132">
        <v>0</v>
      </c>
      <c r="G40" s="132"/>
      <c r="H40" s="133" t="e">
        <f t="shared" si="13"/>
        <v>#DIV/0!</v>
      </c>
      <c r="I40" s="134">
        <f t="shared" si="9"/>
        <v>0</v>
      </c>
      <c r="J40" s="135"/>
      <c r="K40" s="136">
        <f t="shared" si="12"/>
        <v>0</v>
      </c>
      <c r="L40" s="134">
        <f t="shared" si="5"/>
        <v>0</v>
      </c>
      <c r="M40" s="135"/>
      <c r="N40" s="136">
        <f t="shared" si="6"/>
        <v>0</v>
      </c>
      <c r="O40" s="137" t="e">
        <f t="shared" si="1"/>
        <v>#DIV/0!</v>
      </c>
    </row>
    <row r="41" spans="1:15" ht="27" hidden="1">
      <c r="A41" s="119" t="s">
        <v>129</v>
      </c>
      <c r="B41" s="129" t="s">
        <v>137</v>
      </c>
      <c r="C41" s="130"/>
      <c r="D41" s="130"/>
      <c r="E41" s="131"/>
      <c r="F41" s="132"/>
      <c r="G41" s="132"/>
      <c r="H41" s="133" t="e">
        <f t="shared" si="13"/>
        <v>#DIV/0!</v>
      </c>
      <c r="I41" s="134">
        <f t="shared" si="9"/>
        <v>0</v>
      </c>
      <c r="J41" s="135"/>
      <c r="K41" s="136">
        <f t="shared" si="12"/>
        <v>0</v>
      </c>
      <c r="L41" s="134">
        <f t="shared" si="5"/>
        <v>0</v>
      </c>
      <c r="M41" s="135"/>
      <c r="N41" s="136">
        <f t="shared" si="6"/>
        <v>0</v>
      </c>
      <c r="O41" s="137" t="e">
        <f t="shared" si="1"/>
        <v>#DIV/0!</v>
      </c>
    </row>
    <row r="42" spans="1:15" ht="41.25" hidden="1">
      <c r="A42" s="119" t="s">
        <v>129</v>
      </c>
      <c r="B42" s="129" t="s">
        <v>138</v>
      </c>
      <c r="C42" s="130"/>
      <c r="D42" s="130"/>
      <c r="E42" s="131"/>
      <c r="F42" s="132"/>
      <c r="G42" s="132"/>
      <c r="H42" s="133" t="e">
        <f t="shared" si="13"/>
        <v>#DIV/0!</v>
      </c>
      <c r="I42" s="134">
        <f t="shared" si="9"/>
        <v>0</v>
      </c>
      <c r="J42" s="135"/>
      <c r="K42" s="136">
        <f t="shared" si="12"/>
        <v>0</v>
      </c>
      <c r="L42" s="134">
        <f t="shared" si="5"/>
        <v>0</v>
      </c>
      <c r="M42" s="135"/>
      <c r="N42" s="136">
        <f t="shared" si="6"/>
        <v>0</v>
      </c>
      <c r="O42" s="137" t="e">
        <f t="shared" si="1"/>
        <v>#DIV/0!</v>
      </c>
    </row>
    <row r="43" spans="1:15" ht="54.75" hidden="1">
      <c r="A43" s="119" t="s">
        <v>129</v>
      </c>
      <c r="B43" s="129" t="s">
        <v>139</v>
      </c>
      <c r="C43" s="130">
        <v>0</v>
      </c>
      <c r="D43" s="130"/>
      <c r="E43" s="131"/>
      <c r="F43" s="132"/>
      <c r="G43" s="132"/>
      <c r="H43" s="133" t="e">
        <f t="shared" si="13"/>
        <v>#DIV/0!</v>
      </c>
      <c r="I43" s="134">
        <f t="shared" si="9"/>
        <v>0</v>
      </c>
      <c r="J43" s="135"/>
      <c r="K43" s="136">
        <f t="shared" si="12"/>
        <v>0</v>
      </c>
      <c r="L43" s="134">
        <f t="shared" si="5"/>
        <v>0</v>
      </c>
      <c r="M43" s="135"/>
      <c r="N43" s="136">
        <f t="shared" si="6"/>
        <v>0</v>
      </c>
      <c r="O43" s="137" t="e">
        <f t="shared" si="1"/>
        <v>#DIV/0!</v>
      </c>
    </row>
    <row r="44" spans="1:15" ht="27" hidden="1">
      <c r="A44" s="119" t="s">
        <v>129</v>
      </c>
      <c r="B44" s="129" t="s">
        <v>140</v>
      </c>
      <c r="C44" s="130"/>
      <c r="D44" s="130"/>
      <c r="E44" s="130"/>
      <c r="F44" s="132"/>
      <c r="G44" s="132"/>
      <c r="H44" s="133" t="e">
        <f t="shared" si="13"/>
        <v>#DIV/0!</v>
      </c>
      <c r="I44" s="134">
        <f t="shared" si="9"/>
        <v>0</v>
      </c>
      <c r="J44" s="135"/>
      <c r="K44" s="136">
        <f t="shared" si="12"/>
        <v>0</v>
      </c>
      <c r="L44" s="134">
        <f t="shared" si="5"/>
        <v>0</v>
      </c>
      <c r="M44" s="135"/>
      <c r="N44" s="136">
        <f t="shared" si="6"/>
        <v>0</v>
      </c>
      <c r="O44" s="137" t="e">
        <f t="shared" si="1"/>
        <v>#DIV/0!</v>
      </c>
    </row>
    <row r="45" spans="1:15" ht="41.25" hidden="1">
      <c r="A45" s="119" t="s">
        <v>129</v>
      </c>
      <c r="B45" s="129" t="s">
        <v>141</v>
      </c>
      <c r="C45" s="130"/>
      <c r="D45" s="130"/>
      <c r="E45" s="131"/>
      <c r="F45" s="132"/>
      <c r="G45" s="132"/>
      <c r="H45" s="133" t="e">
        <f t="shared" si="13"/>
        <v>#DIV/0!</v>
      </c>
      <c r="I45" s="134">
        <f t="shared" si="9"/>
        <v>0</v>
      </c>
      <c r="J45" s="135"/>
      <c r="K45" s="136">
        <f t="shared" si="12"/>
        <v>0</v>
      </c>
      <c r="L45" s="134">
        <f t="shared" si="5"/>
        <v>0</v>
      </c>
      <c r="M45" s="135"/>
      <c r="N45" s="136">
        <f t="shared" si="6"/>
        <v>0</v>
      </c>
      <c r="O45" s="137" t="e">
        <f t="shared" si="1"/>
        <v>#DIV/0!</v>
      </c>
    </row>
    <row r="46" spans="1:15" ht="13.5">
      <c r="A46" s="141" t="s">
        <v>142</v>
      </c>
      <c r="B46" s="129" t="s">
        <v>143</v>
      </c>
      <c r="C46" s="130">
        <v>4332</v>
      </c>
      <c r="D46" s="130">
        <v>2874.5</v>
      </c>
      <c r="E46" s="131">
        <f t="shared" si="10"/>
        <v>66.3550323176362</v>
      </c>
      <c r="F46" s="132">
        <v>5678.6</v>
      </c>
      <c r="G46" s="132">
        <v>3886.4</v>
      </c>
      <c r="H46" s="132">
        <f t="shared" si="13"/>
        <v>68.43940407847005</v>
      </c>
      <c r="I46" s="134">
        <f t="shared" si="9"/>
        <v>10010.6</v>
      </c>
      <c r="J46" s="135"/>
      <c r="K46" s="136">
        <f t="shared" si="12"/>
        <v>10010.6</v>
      </c>
      <c r="L46" s="134">
        <f t="shared" si="5"/>
        <v>6760.9</v>
      </c>
      <c r="M46" s="135"/>
      <c r="N46" s="136">
        <f t="shared" si="6"/>
        <v>6760.9</v>
      </c>
      <c r="O46" s="137">
        <f t="shared" si="1"/>
        <v>67.53741034503426</v>
      </c>
    </row>
    <row r="47" spans="1:15" ht="48" customHeight="1">
      <c r="A47" s="128" t="s">
        <v>144</v>
      </c>
      <c r="B47" s="147" t="s">
        <v>145</v>
      </c>
      <c r="C47" s="130">
        <v>3500</v>
      </c>
      <c r="D47" s="130">
        <v>2530.3</v>
      </c>
      <c r="E47" s="130">
        <f t="shared" si="10"/>
        <v>72.29428571428572</v>
      </c>
      <c r="F47" s="132">
        <v>1181</v>
      </c>
      <c r="G47" s="132">
        <v>424</v>
      </c>
      <c r="H47" s="132">
        <f t="shared" si="13"/>
        <v>35.90177815410669</v>
      </c>
      <c r="I47" s="134">
        <f t="shared" si="9"/>
        <v>4681</v>
      </c>
      <c r="J47" s="135">
        <v>1335.7</v>
      </c>
      <c r="K47" s="136">
        <f t="shared" si="12"/>
        <v>3345.3</v>
      </c>
      <c r="L47" s="134">
        <f t="shared" si="5"/>
        <v>2954.3</v>
      </c>
      <c r="M47" s="135">
        <v>578.8</v>
      </c>
      <c r="N47" s="136">
        <f t="shared" si="6"/>
        <v>2375.5</v>
      </c>
      <c r="O47" s="137">
        <f t="shared" si="1"/>
        <v>71.01007383493258</v>
      </c>
    </row>
    <row r="48" spans="1:15" ht="30.75" customHeight="1">
      <c r="A48" s="128" t="s">
        <v>144</v>
      </c>
      <c r="B48" s="147" t="s">
        <v>146</v>
      </c>
      <c r="C48" s="130">
        <v>634.8</v>
      </c>
      <c r="D48" s="130">
        <v>154.8</v>
      </c>
      <c r="E48" s="130">
        <f t="shared" si="10"/>
        <v>24.385633270321364</v>
      </c>
      <c r="F48" s="132">
        <v>154.8</v>
      </c>
      <c r="G48" s="132">
        <v>154.8</v>
      </c>
      <c r="H48" s="132">
        <f t="shared" si="13"/>
        <v>100</v>
      </c>
      <c r="I48" s="134">
        <f t="shared" si="9"/>
        <v>789.5999999999999</v>
      </c>
      <c r="J48" s="135"/>
      <c r="K48" s="136">
        <f t="shared" si="12"/>
        <v>789.5999999999999</v>
      </c>
      <c r="L48" s="134">
        <f t="shared" si="5"/>
        <v>309.6</v>
      </c>
      <c r="M48" s="135"/>
      <c r="N48" s="136">
        <f t="shared" si="6"/>
        <v>309.6</v>
      </c>
      <c r="O48" s="137">
        <f t="shared" si="1"/>
        <v>39.20972644376901</v>
      </c>
    </row>
    <row r="49" spans="1:15" ht="55.5" customHeight="1">
      <c r="A49" s="128" t="s">
        <v>144</v>
      </c>
      <c r="B49" s="147" t="s">
        <v>147</v>
      </c>
      <c r="C49" s="130">
        <v>6474.8</v>
      </c>
      <c r="D49" s="132">
        <v>5933.8</v>
      </c>
      <c r="E49" s="131">
        <f t="shared" si="10"/>
        <v>91.64452956075864</v>
      </c>
      <c r="F49" s="132">
        <v>0</v>
      </c>
      <c r="G49" s="132"/>
      <c r="H49" s="132" t="e">
        <f t="shared" si="13"/>
        <v>#DIV/0!</v>
      </c>
      <c r="I49" s="134">
        <f t="shared" si="9"/>
        <v>6474.8</v>
      </c>
      <c r="J49" s="135"/>
      <c r="K49" s="136">
        <f t="shared" si="12"/>
        <v>6474.8</v>
      </c>
      <c r="L49" s="134">
        <f t="shared" si="5"/>
        <v>5933.8</v>
      </c>
      <c r="M49" s="135"/>
      <c r="N49" s="136">
        <f t="shared" si="6"/>
        <v>5933.8</v>
      </c>
      <c r="O49" s="137">
        <f t="shared" si="1"/>
        <v>91.64452956075864</v>
      </c>
    </row>
    <row r="50" spans="1:15" ht="27.75" customHeight="1">
      <c r="A50" s="119" t="s">
        <v>144</v>
      </c>
      <c r="B50" s="147" t="s">
        <v>148</v>
      </c>
      <c r="C50" s="130">
        <v>216</v>
      </c>
      <c r="D50" s="132">
        <v>0</v>
      </c>
      <c r="E50" s="130">
        <f t="shared" si="10"/>
        <v>0</v>
      </c>
      <c r="F50" s="132"/>
      <c r="G50" s="132"/>
      <c r="H50" s="132" t="e">
        <f t="shared" si="13"/>
        <v>#DIV/0!</v>
      </c>
      <c r="I50" s="134">
        <f t="shared" si="9"/>
        <v>216</v>
      </c>
      <c r="J50" s="135"/>
      <c r="K50" s="136">
        <f t="shared" si="12"/>
        <v>216</v>
      </c>
      <c r="L50" s="134">
        <f t="shared" si="5"/>
        <v>0</v>
      </c>
      <c r="M50" s="135"/>
      <c r="N50" s="136">
        <f t="shared" si="6"/>
        <v>0</v>
      </c>
      <c r="O50" s="137">
        <f t="shared" si="1"/>
        <v>0</v>
      </c>
    </row>
    <row r="51" spans="1:15" ht="59.25" customHeight="1">
      <c r="A51" s="119" t="s">
        <v>144</v>
      </c>
      <c r="B51" s="147" t="s">
        <v>149</v>
      </c>
      <c r="C51" s="130">
        <v>263.2</v>
      </c>
      <c r="D51" s="132">
        <v>263.2</v>
      </c>
      <c r="E51" s="130">
        <f>D51/C51*100</f>
        <v>100</v>
      </c>
      <c r="F51" s="132"/>
      <c r="G51" s="132"/>
      <c r="H51" s="132" t="e">
        <f>G51/F51*100</f>
        <v>#DIV/0!</v>
      </c>
      <c r="I51" s="134">
        <f t="shared" si="9"/>
        <v>263.2</v>
      </c>
      <c r="J51" s="135"/>
      <c r="K51" s="136">
        <f t="shared" si="12"/>
        <v>263.2</v>
      </c>
      <c r="L51" s="134">
        <f t="shared" si="5"/>
        <v>263.2</v>
      </c>
      <c r="M51" s="135"/>
      <c r="N51" s="136">
        <f t="shared" si="6"/>
        <v>263.2</v>
      </c>
      <c r="O51" s="137">
        <f>N51/K51*100</f>
        <v>100</v>
      </c>
    </row>
    <row r="52" spans="1:15" ht="36" customHeight="1">
      <c r="A52" s="119" t="s">
        <v>144</v>
      </c>
      <c r="B52" s="147" t="s">
        <v>150</v>
      </c>
      <c r="C52" s="130">
        <v>1733.8</v>
      </c>
      <c r="D52" s="132">
        <v>1080.3</v>
      </c>
      <c r="E52" s="130">
        <f t="shared" si="10"/>
        <v>62.30822470873226</v>
      </c>
      <c r="F52" s="132">
        <v>0</v>
      </c>
      <c r="G52" s="132"/>
      <c r="H52" s="132" t="e">
        <f t="shared" si="13"/>
        <v>#DIV/0!</v>
      </c>
      <c r="I52" s="134">
        <f t="shared" si="9"/>
        <v>1733.8</v>
      </c>
      <c r="J52" s="135"/>
      <c r="K52" s="136">
        <f t="shared" si="12"/>
        <v>1733.8</v>
      </c>
      <c r="L52" s="134">
        <f>D52+G52</f>
        <v>1080.3</v>
      </c>
      <c r="M52" s="135"/>
      <c r="N52" s="136">
        <f t="shared" si="6"/>
        <v>1080.3</v>
      </c>
      <c r="O52" s="137">
        <f t="shared" si="1"/>
        <v>62.30822470873226</v>
      </c>
    </row>
    <row r="53" spans="1:15" ht="69" hidden="1">
      <c r="A53" s="119" t="s">
        <v>144</v>
      </c>
      <c r="B53" s="147" t="s">
        <v>151</v>
      </c>
      <c r="C53" s="130"/>
      <c r="D53" s="132"/>
      <c r="E53" s="130" t="e">
        <f t="shared" si="10"/>
        <v>#DIV/0!</v>
      </c>
      <c r="F53" s="132"/>
      <c r="G53" s="132"/>
      <c r="H53" s="132" t="e">
        <f t="shared" si="13"/>
        <v>#DIV/0!</v>
      </c>
      <c r="I53" s="134">
        <f t="shared" si="9"/>
        <v>0</v>
      </c>
      <c r="J53" s="135"/>
      <c r="K53" s="136">
        <f t="shared" si="12"/>
        <v>0</v>
      </c>
      <c r="L53" s="134">
        <f t="shared" si="5"/>
        <v>0</v>
      </c>
      <c r="M53" s="135"/>
      <c r="N53" s="136">
        <f t="shared" si="6"/>
        <v>0</v>
      </c>
      <c r="O53" s="137" t="e">
        <f t="shared" si="1"/>
        <v>#DIV/0!</v>
      </c>
    </row>
    <row r="54" spans="1:15" ht="41.25" hidden="1">
      <c r="A54" s="119" t="s">
        <v>144</v>
      </c>
      <c r="B54" s="147" t="s">
        <v>152</v>
      </c>
      <c r="C54" s="130"/>
      <c r="D54" s="132"/>
      <c r="E54" s="130" t="e">
        <f t="shared" si="10"/>
        <v>#DIV/0!</v>
      </c>
      <c r="F54" s="132"/>
      <c r="G54" s="132"/>
      <c r="H54" s="132" t="e">
        <f t="shared" si="13"/>
        <v>#DIV/0!</v>
      </c>
      <c r="I54" s="134">
        <f t="shared" si="9"/>
        <v>0</v>
      </c>
      <c r="J54" s="135"/>
      <c r="K54" s="136">
        <f t="shared" si="12"/>
        <v>0</v>
      </c>
      <c r="L54" s="134">
        <f t="shared" si="5"/>
        <v>0</v>
      </c>
      <c r="M54" s="135"/>
      <c r="N54" s="136">
        <f t="shared" si="6"/>
        <v>0</v>
      </c>
      <c r="O54" s="137" t="e">
        <f t="shared" si="1"/>
        <v>#DIV/0!</v>
      </c>
    </row>
    <row r="55" spans="1:15" ht="41.25" hidden="1">
      <c r="A55" s="119" t="s">
        <v>144</v>
      </c>
      <c r="B55" s="147" t="s">
        <v>153</v>
      </c>
      <c r="C55" s="130"/>
      <c r="D55" s="132"/>
      <c r="E55" s="130" t="e">
        <f>D55/C55*100</f>
        <v>#DIV/0!</v>
      </c>
      <c r="F55" s="132"/>
      <c r="G55" s="132"/>
      <c r="H55" s="132" t="e">
        <f t="shared" si="13"/>
        <v>#DIV/0!</v>
      </c>
      <c r="I55" s="134">
        <f t="shared" si="9"/>
        <v>0</v>
      </c>
      <c r="J55" s="135"/>
      <c r="K55" s="136">
        <f t="shared" si="12"/>
        <v>0</v>
      </c>
      <c r="L55" s="134">
        <f t="shared" si="5"/>
        <v>0</v>
      </c>
      <c r="M55" s="135"/>
      <c r="N55" s="136">
        <f t="shared" si="6"/>
        <v>0</v>
      </c>
      <c r="O55" s="137" t="e">
        <f t="shared" si="1"/>
        <v>#DIV/0!</v>
      </c>
    </row>
    <row r="56" spans="1:15" ht="82.5" hidden="1">
      <c r="A56" s="119" t="s">
        <v>144</v>
      </c>
      <c r="B56" s="147" t="s">
        <v>154</v>
      </c>
      <c r="C56" s="130"/>
      <c r="D56" s="132"/>
      <c r="E56" s="130" t="e">
        <f>D56/C56*100</f>
        <v>#DIV/0!</v>
      </c>
      <c r="F56" s="132"/>
      <c r="G56" s="132"/>
      <c r="H56" s="132"/>
      <c r="I56" s="134">
        <f t="shared" si="9"/>
        <v>0</v>
      </c>
      <c r="J56" s="135"/>
      <c r="K56" s="136">
        <f t="shared" si="12"/>
        <v>0</v>
      </c>
      <c r="L56" s="134">
        <f t="shared" si="5"/>
        <v>0</v>
      </c>
      <c r="M56" s="135"/>
      <c r="N56" s="136">
        <f t="shared" si="6"/>
        <v>0</v>
      </c>
      <c r="O56" s="137" t="e">
        <f t="shared" si="1"/>
        <v>#DIV/0!</v>
      </c>
    </row>
    <row r="57" spans="1:15" ht="27">
      <c r="A57" s="119" t="s">
        <v>144</v>
      </c>
      <c r="B57" s="147" t="s">
        <v>155</v>
      </c>
      <c r="C57" s="130">
        <v>0</v>
      </c>
      <c r="D57" s="132">
        <v>0</v>
      </c>
      <c r="E57" s="130"/>
      <c r="F57" s="132">
        <v>56.7</v>
      </c>
      <c r="G57" s="132">
        <v>56.7</v>
      </c>
      <c r="H57" s="132">
        <f>G57/F57*100</f>
        <v>100</v>
      </c>
      <c r="I57" s="134">
        <f t="shared" si="9"/>
        <v>56.7</v>
      </c>
      <c r="J57" s="135"/>
      <c r="K57" s="136">
        <f t="shared" si="12"/>
        <v>56.7</v>
      </c>
      <c r="L57" s="134">
        <f t="shared" si="5"/>
        <v>56.7</v>
      </c>
      <c r="M57" s="135"/>
      <c r="N57" s="136">
        <f t="shared" si="6"/>
        <v>56.7</v>
      </c>
      <c r="O57" s="137">
        <f t="shared" si="1"/>
        <v>100</v>
      </c>
    </row>
    <row r="58" spans="1:15" ht="41.25" hidden="1">
      <c r="A58" s="119" t="s">
        <v>144</v>
      </c>
      <c r="B58" s="147" t="s">
        <v>156</v>
      </c>
      <c r="C58" s="130">
        <v>0</v>
      </c>
      <c r="D58" s="132">
        <v>0</v>
      </c>
      <c r="E58" s="130"/>
      <c r="F58" s="132"/>
      <c r="G58" s="132"/>
      <c r="H58" s="132" t="e">
        <f t="shared" si="13"/>
        <v>#DIV/0!</v>
      </c>
      <c r="I58" s="134">
        <f t="shared" si="9"/>
        <v>0</v>
      </c>
      <c r="J58" s="135"/>
      <c r="K58" s="136">
        <f t="shared" si="12"/>
        <v>0</v>
      </c>
      <c r="L58" s="134">
        <f t="shared" si="5"/>
        <v>0</v>
      </c>
      <c r="M58" s="135"/>
      <c r="N58" s="136">
        <f t="shared" si="6"/>
        <v>0</v>
      </c>
      <c r="O58" s="137" t="e">
        <f t="shared" si="1"/>
        <v>#DIV/0!</v>
      </c>
    </row>
    <row r="59" spans="1:15" ht="13.5">
      <c r="A59" s="123" t="s">
        <v>157</v>
      </c>
      <c r="B59" s="124" t="s">
        <v>158</v>
      </c>
      <c r="C59" s="125">
        <f>SUM(C60:C108)</f>
        <v>564213.8999999999</v>
      </c>
      <c r="D59" s="125">
        <f>SUM(D60:D108)</f>
        <v>306259.6</v>
      </c>
      <c r="E59" s="125">
        <f t="shared" si="10"/>
        <v>54.28076125029887</v>
      </c>
      <c r="F59" s="148">
        <f>SUM(F60:F108)</f>
        <v>227279.59999999998</v>
      </c>
      <c r="G59" s="148">
        <f>SUM(G60:G108)</f>
        <v>151735</v>
      </c>
      <c r="H59" s="148">
        <f>G59/F59*100</f>
        <v>66.76138113583447</v>
      </c>
      <c r="I59" s="149">
        <f t="shared" si="9"/>
        <v>791493.4999999999</v>
      </c>
      <c r="J59" s="125">
        <f>SUM(J60:J108)</f>
        <v>86870.2</v>
      </c>
      <c r="K59" s="125">
        <f>SUM(K60:K108)</f>
        <v>704623.3</v>
      </c>
      <c r="L59" s="125">
        <f>SUM(L60:L108)</f>
        <v>457994.6</v>
      </c>
      <c r="M59" s="125">
        <f>SUM(M60:M108)</f>
        <v>63599.09999999999</v>
      </c>
      <c r="N59" s="125">
        <f>SUM(N60:N108)</f>
        <v>394395.49999999994</v>
      </c>
      <c r="O59" s="127">
        <f t="shared" si="1"/>
        <v>55.972531705948406</v>
      </c>
    </row>
    <row r="60" spans="1:15" ht="54.75">
      <c r="A60" s="128" t="s">
        <v>159</v>
      </c>
      <c r="B60" s="129" t="s">
        <v>160</v>
      </c>
      <c r="C60" s="130">
        <v>4044.2</v>
      </c>
      <c r="D60" s="130">
        <v>4044.2</v>
      </c>
      <c r="E60" s="131">
        <f t="shared" si="10"/>
        <v>100</v>
      </c>
      <c r="F60" s="132">
        <v>0</v>
      </c>
      <c r="G60" s="132">
        <v>0</v>
      </c>
      <c r="H60" s="133">
        <v>0</v>
      </c>
      <c r="I60" s="134">
        <f t="shared" si="9"/>
        <v>4044.2</v>
      </c>
      <c r="J60" s="135"/>
      <c r="K60" s="136">
        <f t="shared" si="12"/>
        <v>4044.2</v>
      </c>
      <c r="L60" s="134">
        <f t="shared" si="5"/>
        <v>4044.2</v>
      </c>
      <c r="M60" s="135"/>
      <c r="N60" s="136">
        <f t="shared" si="6"/>
        <v>4044.2</v>
      </c>
      <c r="O60" s="137">
        <f t="shared" si="1"/>
        <v>100</v>
      </c>
    </row>
    <row r="61" spans="1:15" ht="54.75" hidden="1">
      <c r="A61" s="128" t="s">
        <v>159</v>
      </c>
      <c r="B61" s="129" t="s">
        <v>161</v>
      </c>
      <c r="C61" s="130"/>
      <c r="D61" s="130"/>
      <c r="E61" s="131"/>
      <c r="F61" s="132"/>
      <c r="G61" s="132"/>
      <c r="H61" s="133">
        <v>0</v>
      </c>
      <c r="I61" s="134">
        <f t="shared" si="9"/>
        <v>0</v>
      </c>
      <c r="J61" s="135"/>
      <c r="K61" s="136">
        <f>I61-J61</f>
        <v>0</v>
      </c>
      <c r="L61" s="134">
        <f>D61+G61</f>
        <v>0</v>
      </c>
      <c r="M61" s="135"/>
      <c r="N61" s="136">
        <f t="shared" si="6"/>
        <v>0</v>
      </c>
      <c r="O61" s="137" t="e">
        <f t="shared" si="1"/>
        <v>#DIV/0!</v>
      </c>
    </row>
    <row r="62" spans="1:15" ht="41.25" hidden="1">
      <c r="A62" s="128" t="s">
        <v>159</v>
      </c>
      <c r="B62" s="129" t="s">
        <v>162</v>
      </c>
      <c r="C62" s="130">
        <v>0</v>
      </c>
      <c r="D62" s="130">
        <v>0</v>
      </c>
      <c r="E62" s="131" t="e">
        <f t="shared" si="10"/>
        <v>#DIV/0!</v>
      </c>
      <c r="F62" s="132"/>
      <c r="G62" s="132"/>
      <c r="H62" s="133">
        <v>0</v>
      </c>
      <c r="I62" s="134">
        <f t="shared" si="9"/>
        <v>0</v>
      </c>
      <c r="J62" s="135"/>
      <c r="K62" s="136">
        <f aca="true" t="shared" si="14" ref="K62:K108">I62-J62</f>
        <v>0</v>
      </c>
      <c r="L62" s="134">
        <f t="shared" si="5"/>
        <v>0</v>
      </c>
      <c r="M62" s="135"/>
      <c r="N62" s="136">
        <f t="shared" si="6"/>
        <v>0</v>
      </c>
      <c r="O62" s="137" t="e">
        <f>N62/K62*100</f>
        <v>#DIV/0!</v>
      </c>
    </row>
    <row r="63" spans="1:15" ht="41.25" hidden="1">
      <c r="A63" s="128" t="s">
        <v>159</v>
      </c>
      <c r="B63" s="129" t="s">
        <v>163</v>
      </c>
      <c r="C63" s="130"/>
      <c r="D63" s="130"/>
      <c r="E63" s="131" t="e">
        <f t="shared" si="10"/>
        <v>#DIV/0!</v>
      </c>
      <c r="F63" s="132"/>
      <c r="G63" s="132"/>
      <c r="H63" s="133">
        <v>0</v>
      </c>
      <c r="I63" s="134">
        <f t="shared" si="9"/>
        <v>0</v>
      </c>
      <c r="J63" s="135"/>
      <c r="K63" s="136">
        <f t="shared" si="14"/>
        <v>0</v>
      </c>
      <c r="L63" s="134">
        <f t="shared" si="5"/>
        <v>0</v>
      </c>
      <c r="M63" s="135"/>
      <c r="N63" s="136">
        <f t="shared" si="6"/>
        <v>0</v>
      </c>
      <c r="O63" s="137"/>
    </row>
    <row r="64" spans="1:15" ht="54.75">
      <c r="A64" s="128" t="s">
        <v>159</v>
      </c>
      <c r="B64" s="129" t="s">
        <v>164</v>
      </c>
      <c r="C64" s="130">
        <v>60977.8</v>
      </c>
      <c r="D64" s="130">
        <v>57753.5</v>
      </c>
      <c r="E64" s="131">
        <f t="shared" si="10"/>
        <v>94.71233793282144</v>
      </c>
      <c r="F64" s="132"/>
      <c r="G64" s="132"/>
      <c r="H64" s="133">
        <v>0</v>
      </c>
      <c r="I64" s="134">
        <f t="shared" si="9"/>
        <v>60977.8</v>
      </c>
      <c r="J64" s="135"/>
      <c r="K64" s="136">
        <f t="shared" si="14"/>
        <v>60977.8</v>
      </c>
      <c r="L64" s="134">
        <f t="shared" si="5"/>
        <v>57753.5</v>
      </c>
      <c r="M64" s="135"/>
      <c r="N64" s="136">
        <f t="shared" si="6"/>
        <v>57753.5</v>
      </c>
      <c r="O64" s="137">
        <f>N64/K64*100</f>
        <v>94.71233793282144</v>
      </c>
    </row>
    <row r="65" spans="1:15" ht="78" customHeight="1">
      <c r="A65" s="128" t="s">
        <v>159</v>
      </c>
      <c r="B65" s="129" t="s">
        <v>165</v>
      </c>
      <c r="C65" s="130">
        <v>25787</v>
      </c>
      <c r="D65" s="130">
        <v>5543</v>
      </c>
      <c r="E65" s="131">
        <f t="shared" si="10"/>
        <v>21.49532710280374</v>
      </c>
      <c r="F65" s="132"/>
      <c r="G65" s="132"/>
      <c r="H65" s="133">
        <v>0</v>
      </c>
      <c r="I65" s="134">
        <f t="shared" si="9"/>
        <v>25787</v>
      </c>
      <c r="J65" s="135"/>
      <c r="K65" s="136">
        <f t="shared" si="14"/>
        <v>25787</v>
      </c>
      <c r="L65" s="134">
        <f t="shared" si="5"/>
        <v>5543</v>
      </c>
      <c r="M65" s="135"/>
      <c r="N65" s="136">
        <f t="shared" si="6"/>
        <v>5543</v>
      </c>
      <c r="O65" s="137">
        <f t="shared" si="1"/>
        <v>21.49532710280374</v>
      </c>
    </row>
    <row r="66" spans="1:15" ht="75" customHeight="1">
      <c r="A66" s="128" t="s">
        <v>159</v>
      </c>
      <c r="B66" s="129" t="s">
        <v>166</v>
      </c>
      <c r="C66" s="130">
        <v>3066.4</v>
      </c>
      <c r="D66" s="130">
        <v>684</v>
      </c>
      <c r="E66" s="131">
        <f t="shared" si="10"/>
        <v>22.306287503261153</v>
      </c>
      <c r="F66" s="132"/>
      <c r="G66" s="132"/>
      <c r="H66" s="133">
        <v>0</v>
      </c>
      <c r="I66" s="134">
        <f t="shared" si="9"/>
        <v>3066.4</v>
      </c>
      <c r="J66" s="135"/>
      <c r="K66" s="136">
        <f t="shared" si="14"/>
        <v>3066.4</v>
      </c>
      <c r="L66" s="134">
        <f t="shared" si="5"/>
        <v>684</v>
      </c>
      <c r="M66" s="135"/>
      <c r="N66" s="136">
        <f t="shared" si="6"/>
        <v>684</v>
      </c>
      <c r="O66" s="137">
        <f t="shared" si="1"/>
        <v>22.306287503261153</v>
      </c>
    </row>
    <row r="67" spans="1:15" ht="81.75" customHeight="1">
      <c r="A67" s="128" t="s">
        <v>159</v>
      </c>
      <c r="B67" s="129" t="s">
        <v>167</v>
      </c>
      <c r="C67" s="130">
        <v>14952</v>
      </c>
      <c r="D67" s="130">
        <v>3543.9</v>
      </c>
      <c r="E67" s="131">
        <f t="shared" si="10"/>
        <v>23.701845906902086</v>
      </c>
      <c r="F67" s="132"/>
      <c r="G67" s="132"/>
      <c r="H67" s="133">
        <v>0</v>
      </c>
      <c r="I67" s="134">
        <f t="shared" si="9"/>
        <v>14952</v>
      </c>
      <c r="J67" s="135"/>
      <c r="K67" s="136">
        <f t="shared" si="14"/>
        <v>14952</v>
      </c>
      <c r="L67" s="134">
        <f t="shared" si="5"/>
        <v>3543.9</v>
      </c>
      <c r="M67" s="135"/>
      <c r="N67" s="136">
        <f t="shared" si="6"/>
        <v>3543.9</v>
      </c>
      <c r="O67" s="137">
        <f t="shared" si="1"/>
        <v>23.701845906902086</v>
      </c>
    </row>
    <row r="68" spans="1:15" ht="54.75">
      <c r="A68" s="128" t="s">
        <v>159</v>
      </c>
      <c r="B68" s="129" t="s">
        <v>168</v>
      </c>
      <c r="C68" s="130">
        <v>16884.7</v>
      </c>
      <c r="D68" s="130">
        <v>6163.4</v>
      </c>
      <c r="E68" s="131">
        <f>D68/C68*100</f>
        <v>36.50286946170201</v>
      </c>
      <c r="F68" s="132">
        <v>11370.9</v>
      </c>
      <c r="G68" s="132">
        <v>3913</v>
      </c>
      <c r="H68" s="133">
        <f>G68/F68*100</f>
        <v>34.41240359162423</v>
      </c>
      <c r="I68" s="134">
        <f t="shared" si="9"/>
        <v>28255.6</v>
      </c>
      <c r="J68" s="135">
        <v>16425</v>
      </c>
      <c r="K68" s="136">
        <f t="shared" si="14"/>
        <v>11830.599999999999</v>
      </c>
      <c r="L68" s="134">
        <f t="shared" si="5"/>
        <v>10076.4</v>
      </c>
      <c r="M68" s="135">
        <v>5714.7</v>
      </c>
      <c r="N68" s="136">
        <f t="shared" si="6"/>
        <v>4361.7</v>
      </c>
      <c r="O68" s="137">
        <f>N68/K68*100</f>
        <v>36.8679525975014</v>
      </c>
    </row>
    <row r="69" spans="1:15" ht="54.75">
      <c r="A69" s="128" t="s">
        <v>159</v>
      </c>
      <c r="B69" s="129" t="s">
        <v>169</v>
      </c>
      <c r="C69" s="130">
        <v>1935</v>
      </c>
      <c r="D69" s="130">
        <v>1483.3</v>
      </c>
      <c r="E69" s="131">
        <f>D69/C69*100</f>
        <v>76.65633074935401</v>
      </c>
      <c r="F69" s="132"/>
      <c r="G69" s="132"/>
      <c r="H69" s="133" t="e">
        <f>G69/F69*100</f>
        <v>#DIV/0!</v>
      </c>
      <c r="I69" s="134">
        <f t="shared" si="9"/>
        <v>1935</v>
      </c>
      <c r="J69" s="135"/>
      <c r="K69" s="136">
        <f t="shared" si="14"/>
        <v>1935</v>
      </c>
      <c r="L69" s="134">
        <f t="shared" si="5"/>
        <v>1483.3</v>
      </c>
      <c r="M69" s="135"/>
      <c r="N69" s="136">
        <f t="shared" si="6"/>
        <v>1483.3</v>
      </c>
      <c r="O69" s="137">
        <f t="shared" si="1"/>
        <v>76.65633074935401</v>
      </c>
    </row>
    <row r="70" spans="1:15" ht="54.75">
      <c r="A70" s="119" t="s">
        <v>159</v>
      </c>
      <c r="B70" s="129" t="s">
        <v>170</v>
      </c>
      <c r="C70" s="130">
        <v>11759</v>
      </c>
      <c r="D70" s="130">
        <v>7668.1</v>
      </c>
      <c r="E70" s="131">
        <f t="shared" si="10"/>
        <v>65.21047708138448</v>
      </c>
      <c r="F70" s="132">
        <v>19276.9</v>
      </c>
      <c r="G70" s="132">
        <v>10961.5</v>
      </c>
      <c r="H70" s="133">
        <f>G70/F70*100</f>
        <v>56.86339608547017</v>
      </c>
      <c r="I70" s="134">
        <f t="shared" si="9"/>
        <v>31035.9</v>
      </c>
      <c r="J70" s="135">
        <v>10411.6</v>
      </c>
      <c r="K70" s="136">
        <f t="shared" si="14"/>
        <v>20624.300000000003</v>
      </c>
      <c r="L70" s="134">
        <f t="shared" si="5"/>
        <v>18629.6</v>
      </c>
      <c r="M70" s="135">
        <v>6864</v>
      </c>
      <c r="N70" s="136">
        <f t="shared" si="6"/>
        <v>11765.599999999999</v>
      </c>
      <c r="O70" s="137">
        <f t="shared" si="1"/>
        <v>57.04726948308547</v>
      </c>
    </row>
    <row r="71" spans="1:15" ht="75" customHeight="1">
      <c r="A71" s="128" t="s">
        <v>171</v>
      </c>
      <c r="B71" s="150" t="s">
        <v>172</v>
      </c>
      <c r="C71" s="131">
        <v>42775.8</v>
      </c>
      <c r="D71" s="131">
        <v>39054.9</v>
      </c>
      <c r="E71" s="131">
        <f t="shared" si="10"/>
        <v>91.30139003829268</v>
      </c>
      <c r="F71" s="133">
        <v>38390</v>
      </c>
      <c r="G71" s="133">
        <v>37890</v>
      </c>
      <c r="H71" s="133">
        <f>G71/F71*100</f>
        <v>98.6975774941391</v>
      </c>
      <c r="I71" s="134">
        <f t="shared" si="9"/>
        <v>81165.8</v>
      </c>
      <c r="J71" s="135">
        <v>4462</v>
      </c>
      <c r="K71" s="136">
        <f t="shared" si="14"/>
        <v>76703.8</v>
      </c>
      <c r="L71" s="134">
        <f t="shared" si="5"/>
        <v>76944.9</v>
      </c>
      <c r="M71" s="135">
        <v>4462</v>
      </c>
      <c r="N71" s="136">
        <f t="shared" si="6"/>
        <v>72482.9</v>
      </c>
      <c r="O71" s="137">
        <f t="shared" si="1"/>
        <v>94.49714355742478</v>
      </c>
    </row>
    <row r="72" spans="1:15" ht="192.75" hidden="1">
      <c r="A72" s="141" t="s">
        <v>171</v>
      </c>
      <c r="B72" s="129" t="s">
        <v>173</v>
      </c>
      <c r="C72" s="130"/>
      <c r="D72" s="130"/>
      <c r="E72" s="131" t="e">
        <f t="shared" si="10"/>
        <v>#DIV/0!</v>
      </c>
      <c r="F72" s="132"/>
      <c r="G72" s="132"/>
      <c r="H72" s="133" t="e">
        <f>G72/F72*100</f>
        <v>#DIV/0!</v>
      </c>
      <c r="I72" s="134">
        <f t="shared" si="9"/>
        <v>0</v>
      </c>
      <c r="J72" s="135"/>
      <c r="K72" s="136">
        <f t="shared" si="14"/>
        <v>0</v>
      </c>
      <c r="L72" s="134">
        <f t="shared" si="5"/>
        <v>0</v>
      </c>
      <c r="M72" s="135"/>
      <c r="N72" s="136">
        <f t="shared" si="6"/>
        <v>0</v>
      </c>
      <c r="O72" s="137" t="e">
        <f t="shared" si="1"/>
        <v>#DIV/0!</v>
      </c>
    </row>
    <row r="73" spans="1:15" ht="110.25" hidden="1">
      <c r="A73" s="128" t="s">
        <v>171</v>
      </c>
      <c r="B73" s="129" t="s">
        <v>174</v>
      </c>
      <c r="C73" s="130"/>
      <c r="D73" s="130"/>
      <c r="E73" s="131" t="e">
        <f t="shared" si="10"/>
        <v>#DIV/0!</v>
      </c>
      <c r="F73" s="132"/>
      <c r="G73" s="132"/>
      <c r="H73" s="133" t="e">
        <f>G73/F73*100</f>
        <v>#DIV/0!</v>
      </c>
      <c r="I73" s="134">
        <f t="shared" si="9"/>
        <v>0</v>
      </c>
      <c r="J73" s="135"/>
      <c r="K73" s="136">
        <f t="shared" si="14"/>
        <v>0</v>
      </c>
      <c r="L73" s="134">
        <f t="shared" si="5"/>
        <v>0</v>
      </c>
      <c r="M73" s="135"/>
      <c r="N73" s="136">
        <f t="shared" si="6"/>
        <v>0</v>
      </c>
      <c r="O73" s="137" t="e">
        <f t="shared" si="1"/>
        <v>#DIV/0!</v>
      </c>
    </row>
    <row r="74" spans="1:15" ht="123.75" hidden="1">
      <c r="A74" s="119" t="s">
        <v>171</v>
      </c>
      <c r="B74" s="129" t="s">
        <v>175</v>
      </c>
      <c r="C74" s="130"/>
      <c r="D74" s="130"/>
      <c r="E74" s="131" t="e">
        <f t="shared" si="10"/>
        <v>#DIV/0!</v>
      </c>
      <c r="F74" s="132"/>
      <c r="G74" s="132"/>
      <c r="H74" s="133" t="e">
        <f>G74/F74*100</f>
        <v>#DIV/0!</v>
      </c>
      <c r="I74" s="134">
        <f t="shared" si="9"/>
        <v>0</v>
      </c>
      <c r="J74" s="135"/>
      <c r="K74" s="136">
        <f t="shared" si="14"/>
        <v>0</v>
      </c>
      <c r="L74" s="134">
        <f t="shared" si="5"/>
        <v>0</v>
      </c>
      <c r="M74" s="135"/>
      <c r="N74" s="136">
        <f t="shared" si="6"/>
        <v>0</v>
      </c>
      <c r="O74" s="137" t="e">
        <f t="shared" si="1"/>
        <v>#DIV/0!</v>
      </c>
    </row>
    <row r="75" spans="1:15" ht="82.5" hidden="1">
      <c r="A75" s="119" t="s">
        <v>171</v>
      </c>
      <c r="B75" s="129" t="s">
        <v>176</v>
      </c>
      <c r="C75" s="130"/>
      <c r="D75" s="130"/>
      <c r="E75" s="131" t="e">
        <f t="shared" si="10"/>
        <v>#DIV/0!</v>
      </c>
      <c r="F75" s="132"/>
      <c r="G75" s="132"/>
      <c r="H75" s="133" t="e">
        <f>G75/F75*100</f>
        <v>#DIV/0!</v>
      </c>
      <c r="I75" s="134">
        <f t="shared" si="9"/>
        <v>0</v>
      </c>
      <c r="J75" s="135"/>
      <c r="K75" s="136">
        <f t="shared" si="14"/>
        <v>0</v>
      </c>
      <c r="L75" s="134">
        <f t="shared" si="5"/>
        <v>0</v>
      </c>
      <c r="M75" s="135"/>
      <c r="N75" s="136">
        <f t="shared" si="6"/>
        <v>0</v>
      </c>
      <c r="O75" s="137" t="e">
        <f t="shared" si="1"/>
        <v>#DIV/0!</v>
      </c>
    </row>
    <row r="76" spans="1:15" ht="27">
      <c r="A76" s="128" t="s">
        <v>171</v>
      </c>
      <c r="B76" s="129" t="s">
        <v>177</v>
      </c>
      <c r="C76" s="130">
        <v>860</v>
      </c>
      <c r="D76" s="130"/>
      <c r="E76" s="131">
        <f>D76/C76*100</f>
        <v>0</v>
      </c>
      <c r="F76" s="132">
        <v>860</v>
      </c>
      <c r="G76" s="132"/>
      <c r="H76" s="133">
        <f>G76/F76*100</f>
        <v>0</v>
      </c>
      <c r="I76" s="134">
        <f t="shared" si="9"/>
        <v>1720</v>
      </c>
      <c r="J76" s="135">
        <v>860</v>
      </c>
      <c r="K76" s="136">
        <f t="shared" si="14"/>
        <v>860</v>
      </c>
      <c r="L76" s="134">
        <f t="shared" si="5"/>
        <v>0</v>
      </c>
      <c r="M76" s="135"/>
      <c r="N76" s="136">
        <f t="shared" si="6"/>
        <v>0</v>
      </c>
      <c r="O76" s="137">
        <f>N76/K76*100</f>
        <v>0</v>
      </c>
    </row>
    <row r="77" spans="1:15" ht="13.5" hidden="1">
      <c r="A77" s="128" t="s">
        <v>171</v>
      </c>
      <c r="B77" s="151"/>
      <c r="C77" s="130"/>
      <c r="D77" s="130"/>
      <c r="E77" s="131"/>
      <c r="F77" s="132"/>
      <c r="G77" s="132"/>
      <c r="H77" s="133"/>
      <c r="I77" s="134"/>
      <c r="J77" s="135"/>
      <c r="K77" s="136"/>
      <c r="L77" s="134"/>
      <c r="M77" s="135"/>
      <c r="N77" s="136"/>
      <c r="O77" s="137"/>
    </row>
    <row r="78" spans="1:15" ht="39" hidden="1">
      <c r="A78" s="128" t="s">
        <v>171</v>
      </c>
      <c r="B78" s="151" t="s">
        <v>178</v>
      </c>
      <c r="C78" s="130"/>
      <c r="D78" s="130"/>
      <c r="E78" s="131" t="e">
        <f>D78/C78*100</f>
        <v>#DIV/0!</v>
      </c>
      <c r="F78" s="132"/>
      <c r="G78" s="132"/>
      <c r="H78" s="133" t="e">
        <f>G78/F78*100</f>
        <v>#DIV/0!</v>
      </c>
      <c r="I78" s="134">
        <f>C78+F78</f>
        <v>0</v>
      </c>
      <c r="J78" s="135"/>
      <c r="K78" s="136">
        <f>I78-J78</f>
        <v>0</v>
      </c>
      <c r="L78" s="134">
        <f>D78+G78</f>
        <v>0</v>
      </c>
      <c r="M78" s="135"/>
      <c r="N78" s="136">
        <f>L78-M78</f>
        <v>0</v>
      </c>
      <c r="O78" s="137"/>
    </row>
    <row r="79" spans="1:15" ht="54.75">
      <c r="A79" s="119" t="s">
        <v>171</v>
      </c>
      <c r="B79" s="147" t="s">
        <v>179</v>
      </c>
      <c r="C79" s="130">
        <v>41618.6</v>
      </c>
      <c r="D79" s="130">
        <v>24270.1</v>
      </c>
      <c r="E79" s="131">
        <f aca="true" t="shared" si="15" ref="E79:E91">D79/C79*100</f>
        <v>58.31551277553786</v>
      </c>
      <c r="F79" s="132">
        <v>30095.3</v>
      </c>
      <c r="G79" s="132">
        <v>28675.8</v>
      </c>
      <c r="H79" s="133">
        <f>G79/F79*100</f>
        <v>95.28331666406382</v>
      </c>
      <c r="I79" s="134">
        <f t="shared" si="9"/>
        <v>71713.9</v>
      </c>
      <c r="J79" s="135">
        <f>15229.2+1260</f>
        <v>16489.2</v>
      </c>
      <c r="K79" s="136">
        <f t="shared" si="14"/>
        <v>55224.7</v>
      </c>
      <c r="L79" s="134">
        <f>D79+G79</f>
        <v>52945.899999999994</v>
      </c>
      <c r="M79" s="135">
        <v>15368.5</v>
      </c>
      <c r="N79" s="136">
        <f>L79-M79</f>
        <v>37577.399999999994</v>
      </c>
      <c r="O79" s="137">
        <f t="shared" si="1"/>
        <v>68.04455252812599</v>
      </c>
    </row>
    <row r="80" spans="1:15" ht="27" hidden="1">
      <c r="A80" s="119" t="s">
        <v>171</v>
      </c>
      <c r="B80" s="147" t="s">
        <v>180</v>
      </c>
      <c r="C80" s="130"/>
      <c r="D80" s="130"/>
      <c r="E80" s="131" t="e">
        <f t="shared" si="15"/>
        <v>#DIV/0!</v>
      </c>
      <c r="F80" s="132">
        <v>0</v>
      </c>
      <c r="G80" s="132">
        <v>0</v>
      </c>
      <c r="H80" s="133" t="e">
        <f>G80/F80*100</f>
        <v>#DIV/0!</v>
      </c>
      <c r="I80" s="134">
        <f t="shared" si="9"/>
        <v>0</v>
      </c>
      <c r="J80" s="135"/>
      <c r="K80" s="136">
        <f t="shared" si="14"/>
        <v>0</v>
      </c>
      <c r="L80" s="134">
        <f t="shared" si="5"/>
        <v>0</v>
      </c>
      <c r="M80" s="135"/>
      <c r="N80" s="136">
        <f t="shared" si="6"/>
        <v>0</v>
      </c>
      <c r="O80" s="137"/>
    </row>
    <row r="81" spans="1:15" ht="27" hidden="1">
      <c r="A81" s="119" t="s">
        <v>171</v>
      </c>
      <c r="B81" s="147" t="s">
        <v>181</v>
      </c>
      <c r="C81" s="130">
        <v>0</v>
      </c>
      <c r="D81" s="130">
        <v>0</v>
      </c>
      <c r="E81" s="131" t="e">
        <f t="shared" si="15"/>
        <v>#DIV/0!</v>
      </c>
      <c r="F81" s="132"/>
      <c r="G81" s="132"/>
      <c r="H81" s="133"/>
      <c r="I81" s="134">
        <f t="shared" si="9"/>
        <v>0</v>
      </c>
      <c r="J81" s="135"/>
      <c r="K81" s="136">
        <f t="shared" si="14"/>
        <v>0</v>
      </c>
      <c r="L81" s="134">
        <f t="shared" si="5"/>
        <v>0</v>
      </c>
      <c r="M81" s="135"/>
      <c r="N81" s="136">
        <f t="shared" si="6"/>
        <v>0</v>
      </c>
      <c r="O81" s="137"/>
    </row>
    <row r="82" spans="1:15" ht="82.5" hidden="1">
      <c r="A82" s="119" t="s">
        <v>171</v>
      </c>
      <c r="B82" s="152" t="s">
        <v>182</v>
      </c>
      <c r="C82" s="130">
        <v>0</v>
      </c>
      <c r="D82" s="130">
        <v>0</v>
      </c>
      <c r="E82" s="131" t="e">
        <f t="shared" si="15"/>
        <v>#DIV/0!</v>
      </c>
      <c r="F82" s="132"/>
      <c r="G82" s="132"/>
      <c r="H82" s="133" t="e">
        <f aca="true" t="shared" si="16" ref="H82:H91">G82/F82*100</f>
        <v>#DIV/0!</v>
      </c>
      <c r="I82" s="134">
        <f t="shared" si="9"/>
        <v>0</v>
      </c>
      <c r="J82" s="135"/>
      <c r="K82" s="136">
        <f t="shared" si="14"/>
        <v>0</v>
      </c>
      <c r="L82" s="134">
        <f t="shared" si="5"/>
        <v>0</v>
      </c>
      <c r="M82" s="135"/>
      <c r="N82" s="136">
        <f t="shared" si="6"/>
        <v>0</v>
      </c>
      <c r="O82" s="137" t="e">
        <f>N82/K82*100</f>
        <v>#DIV/0!</v>
      </c>
    </row>
    <row r="83" spans="1:15" ht="27">
      <c r="A83" s="119" t="s">
        <v>171</v>
      </c>
      <c r="B83" s="147" t="s">
        <v>183</v>
      </c>
      <c r="C83" s="130">
        <v>996</v>
      </c>
      <c r="D83" s="130">
        <v>966.7</v>
      </c>
      <c r="E83" s="131">
        <f t="shared" si="15"/>
        <v>97.05823293172692</v>
      </c>
      <c r="F83" s="132">
        <v>996</v>
      </c>
      <c r="G83" s="132">
        <v>870.7</v>
      </c>
      <c r="H83" s="133">
        <f t="shared" si="16"/>
        <v>87.41967871485944</v>
      </c>
      <c r="I83" s="134">
        <f t="shared" si="9"/>
        <v>1992</v>
      </c>
      <c r="J83" s="135">
        <v>996</v>
      </c>
      <c r="K83" s="136">
        <f t="shared" si="14"/>
        <v>996</v>
      </c>
      <c r="L83" s="134">
        <f t="shared" si="5"/>
        <v>1837.4</v>
      </c>
      <c r="M83" s="135">
        <v>966.7</v>
      </c>
      <c r="N83" s="136">
        <f t="shared" si="6"/>
        <v>870.7</v>
      </c>
      <c r="O83" s="137">
        <f>N83/K83*100</f>
        <v>87.41967871485944</v>
      </c>
    </row>
    <row r="84" spans="1:15" ht="45" customHeight="1">
      <c r="A84" s="119" t="s">
        <v>171</v>
      </c>
      <c r="B84" s="153" t="s">
        <v>184</v>
      </c>
      <c r="C84" s="130">
        <v>220311.3</v>
      </c>
      <c r="D84" s="130">
        <v>128870.7</v>
      </c>
      <c r="E84" s="131">
        <f t="shared" si="15"/>
        <v>58.494820737747</v>
      </c>
      <c r="F84" s="132"/>
      <c r="G84" s="132"/>
      <c r="H84" s="133" t="e">
        <f t="shared" si="16"/>
        <v>#DIV/0!</v>
      </c>
      <c r="I84" s="134">
        <f>C84+F84</f>
        <v>220311.3</v>
      </c>
      <c r="J84" s="135"/>
      <c r="K84" s="136">
        <f>I84-J84</f>
        <v>220311.3</v>
      </c>
      <c r="L84" s="134">
        <f>D84+G84</f>
        <v>128870.7</v>
      </c>
      <c r="M84" s="135"/>
      <c r="N84" s="136">
        <f>L84-M84</f>
        <v>128870.7</v>
      </c>
      <c r="O84" s="137">
        <f>N84/K84*100</f>
        <v>58.494820737747</v>
      </c>
    </row>
    <row r="85" spans="1:15" ht="78" customHeight="1">
      <c r="A85" s="119" t="s">
        <v>171</v>
      </c>
      <c r="B85" s="147" t="s">
        <v>185</v>
      </c>
      <c r="C85" s="130"/>
      <c r="D85" s="130"/>
      <c r="E85" s="131" t="e">
        <f t="shared" si="15"/>
        <v>#DIV/0!</v>
      </c>
      <c r="F85" s="132">
        <v>12300</v>
      </c>
      <c r="G85" s="132">
        <v>6215</v>
      </c>
      <c r="H85" s="133">
        <f t="shared" si="16"/>
        <v>50.52845528455284</v>
      </c>
      <c r="I85" s="134">
        <f t="shared" si="9"/>
        <v>12300</v>
      </c>
      <c r="J85" s="135">
        <v>12300</v>
      </c>
      <c r="K85" s="136">
        <f t="shared" si="14"/>
        <v>0</v>
      </c>
      <c r="L85" s="134">
        <f t="shared" si="5"/>
        <v>6215</v>
      </c>
      <c r="M85" s="135">
        <v>6215</v>
      </c>
      <c r="N85" s="136">
        <f t="shared" si="6"/>
        <v>0</v>
      </c>
      <c r="O85" s="137" t="e">
        <f>N85/K85*100</f>
        <v>#DIV/0!</v>
      </c>
    </row>
    <row r="86" spans="1:15" ht="41.25" hidden="1">
      <c r="A86" s="119" t="s">
        <v>171</v>
      </c>
      <c r="B86" s="147" t="s">
        <v>186</v>
      </c>
      <c r="C86" s="130"/>
      <c r="D86" s="130"/>
      <c r="E86" s="131" t="e">
        <f t="shared" si="15"/>
        <v>#DIV/0!</v>
      </c>
      <c r="F86" s="132"/>
      <c r="G86" s="132"/>
      <c r="H86" s="133" t="e">
        <f t="shared" si="16"/>
        <v>#DIV/0!</v>
      </c>
      <c r="I86" s="134">
        <f t="shared" si="9"/>
        <v>0</v>
      </c>
      <c r="J86" s="135"/>
      <c r="K86" s="136">
        <f t="shared" si="14"/>
        <v>0</v>
      </c>
      <c r="L86" s="134">
        <f t="shared" si="5"/>
        <v>0</v>
      </c>
      <c r="M86" s="135"/>
      <c r="N86" s="136">
        <f t="shared" si="6"/>
        <v>0</v>
      </c>
      <c r="O86" s="137" t="e">
        <f>N86/K86*100</f>
        <v>#DIV/0!</v>
      </c>
    </row>
    <row r="87" spans="1:15" ht="27">
      <c r="A87" s="119" t="s">
        <v>171</v>
      </c>
      <c r="B87" s="147" t="s">
        <v>187</v>
      </c>
      <c r="C87" s="130">
        <v>89315.5</v>
      </c>
      <c r="D87" s="130">
        <v>68.1</v>
      </c>
      <c r="E87" s="131">
        <f t="shared" si="15"/>
        <v>0.07624656414620082</v>
      </c>
      <c r="F87" s="132"/>
      <c r="G87" s="132"/>
      <c r="H87" s="133" t="e">
        <f t="shared" si="16"/>
        <v>#DIV/0!</v>
      </c>
      <c r="I87" s="134">
        <f t="shared" si="9"/>
        <v>89315.5</v>
      </c>
      <c r="J87" s="135"/>
      <c r="K87" s="136">
        <f t="shared" si="14"/>
        <v>89315.5</v>
      </c>
      <c r="L87" s="134">
        <f t="shared" si="5"/>
        <v>68.1</v>
      </c>
      <c r="M87" s="135"/>
      <c r="N87" s="136">
        <f t="shared" si="6"/>
        <v>68.1</v>
      </c>
      <c r="O87" s="154">
        <f t="shared" si="1"/>
        <v>0.07624656414620082</v>
      </c>
    </row>
    <row r="88" spans="1:15" ht="27">
      <c r="A88" s="119" t="s">
        <v>171</v>
      </c>
      <c r="B88" s="147" t="s">
        <v>188</v>
      </c>
      <c r="C88" s="130">
        <v>2169.5</v>
      </c>
      <c r="D88" s="130">
        <v>1569</v>
      </c>
      <c r="E88" s="131">
        <f t="shared" si="15"/>
        <v>72.32081124683106</v>
      </c>
      <c r="F88" s="132">
        <v>282</v>
      </c>
      <c r="G88" s="132">
        <v>282</v>
      </c>
      <c r="H88" s="133">
        <f t="shared" si="16"/>
        <v>100</v>
      </c>
      <c r="I88" s="134">
        <f t="shared" si="9"/>
        <v>2451.5</v>
      </c>
      <c r="J88" s="135">
        <v>282</v>
      </c>
      <c r="K88" s="136">
        <f t="shared" si="14"/>
        <v>2169.5</v>
      </c>
      <c r="L88" s="134">
        <f t="shared" si="5"/>
        <v>1851</v>
      </c>
      <c r="M88" s="135">
        <v>282</v>
      </c>
      <c r="N88" s="136">
        <f t="shared" si="6"/>
        <v>1569</v>
      </c>
      <c r="O88" s="137">
        <f t="shared" si="1"/>
        <v>72.32081124683106</v>
      </c>
    </row>
    <row r="89" spans="1:15" ht="54.75" hidden="1">
      <c r="A89" s="119" t="s">
        <v>171</v>
      </c>
      <c r="B89" s="147" t="s">
        <v>189</v>
      </c>
      <c r="C89" s="130">
        <v>0</v>
      </c>
      <c r="D89" s="130">
        <v>0</v>
      </c>
      <c r="E89" s="131" t="e">
        <f t="shared" si="15"/>
        <v>#DIV/0!</v>
      </c>
      <c r="F89" s="132">
        <v>0</v>
      </c>
      <c r="G89" s="132">
        <v>0</v>
      </c>
      <c r="H89" s="133" t="e">
        <f t="shared" si="16"/>
        <v>#DIV/0!</v>
      </c>
      <c r="I89" s="134">
        <f t="shared" si="9"/>
        <v>0</v>
      </c>
      <c r="J89" s="135"/>
      <c r="K89" s="136">
        <f t="shared" si="14"/>
        <v>0</v>
      </c>
      <c r="L89" s="134">
        <f t="shared" si="5"/>
        <v>0</v>
      </c>
      <c r="M89" s="135"/>
      <c r="N89" s="136">
        <f t="shared" si="6"/>
        <v>0</v>
      </c>
      <c r="O89" s="137" t="e">
        <f t="shared" si="1"/>
        <v>#DIV/0!</v>
      </c>
    </row>
    <row r="90" spans="1:15" ht="41.25">
      <c r="A90" s="119" t="s">
        <v>171</v>
      </c>
      <c r="B90" s="147" t="s">
        <v>190</v>
      </c>
      <c r="C90" s="130">
        <v>2076.2</v>
      </c>
      <c r="D90" s="130">
        <v>828.9</v>
      </c>
      <c r="E90" s="131">
        <f t="shared" si="15"/>
        <v>39.923899431653986</v>
      </c>
      <c r="F90" s="132"/>
      <c r="G90" s="132"/>
      <c r="H90" s="133" t="e">
        <f t="shared" si="16"/>
        <v>#DIV/0!</v>
      </c>
      <c r="I90" s="134">
        <f t="shared" si="9"/>
        <v>2076.2</v>
      </c>
      <c r="J90" s="135"/>
      <c r="K90" s="136">
        <f t="shared" si="14"/>
        <v>2076.2</v>
      </c>
      <c r="L90" s="134">
        <f t="shared" si="5"/>
        <v>828.9</v>
      </c>
      <c r="M90" s="135"/>
      <c r="N90" s="136">
        <f t="shared" si="6"/>
        <v>828.9</v>
      </c>
      <c r="O90" s="137">
        <f t="shared" si="1"/>
        <v>39.923899431653986</v>
      </c>
    </row>
    <row r="91" spans="1:15" ht="75" customHeight="1">
      <c r="A91" s="119" t="s">
        <v>191</v>
      </c>
      <c r="B91" s="147" t="s">
        <v>192</v>
      </c>
      <c r="C91" s="130">
        <v>9708.4</v>
      </c>
      <c r="D91" s="130">
        <v>9708.2</v>
      </c>
      <c r="E91" s="131">
        <f t="shared" si="15"/>
        <v>99.99793992830952</v>
      </c>
      <c r="F91" s="130">
        <v>9708.4</v>
      </c>
      <c r="G91" s="132">
        <v>9708.3</v>
      </c>
      <c r="H91" s="133">
        <f t="shared" si="16"/>
        <v>99.99896996415475</v>
      </c>
      <c r="I91" s="134">
        <f t="shared" si="9"/>
        <v>19416.8</v>
      </c>
      <c r="J91" s="135">
        <v>9708.4</v>
      </c>
      <c r="K91" s="136">
        <f t="shared" si="14"/>
        <v>9708.4</v>
      </c>
      <c r="L91" s="134">
        <f t="shared" si="5"/>
        <v>19416.5</v>
      </c>
      <c r="M91" s="135">
        <v>9708.3</v>
      </c>
      <c r="N91" s="136">
        <f t="shared" si="6"/>
        <v>9708.2</v>
      </c>
      <c r="O91" s="137">
        <f t="shared" si="1"/>
        <v>99.99793992830952</v>
      </c>
    </row>
    <row r="92" spans="1:15" ht="90.75" customHeight="1">
      <c r="A92" s="145" t="s">
        <v>191</v>
      </c>
      <c r="B92" s="129" t="s">
        <v>193</v>
      </c>
      <c r="C92" s="130">
        <v>1500</v>
      </c>
      <c r="D92" s="130">
        <v>1240.2</v>
      </c>
      <c r="E92" s="131">
        <f t="shared" si="10"/>
        <v>82.67999999999999</v>
      </c>
      <c r="F92" s="130">
        <v>1500</v>
      </c>
      <c r="G92" s="132">
        <v>1240.2</v>
      </c>
      <c r="H92" s="133">
        <f>G92/F92*100</f>
        <v>82.67999999999999</v>
      </c>
      <c r="I92" s="134">
        <f aca="true" t="shared" si="17" ref="I92:I108">C92+F92</f>
        <v>3000</v>
      </c>
      <c r="J92" s="135">
        <v>1500</v>
      </c>
      <c r="K92" s="136">
        <f t="shared" si="14"/>
        <v>1500</v>
      </c>
      <c r="L92" s="134">
        <f aca="true" t="shared" si="18" ref="L92:L154">D92+G92</f>
        <v>2480.4</v>
      </c>
      <c r="M92" s="135">
        <v>1240.2</v>
      </c>
      <c r="N92" s="136">
        <f aca="true" t="shared" si="19" ref="N92:N154">L92-M92</f>
        <v>1240.2</v>
      </c>
      <c r="O92" s="137">
        <f t="shared" si="1"/>
        <v>82.67999999999999</v>
      </c>
    </row>
    <row r="93" spans="1:15" ht="27">
      <c r="A93" s="119" t="s">
        <v>191</v>
      </c>
      <c r="B93" s="129" t="s">
        <v>194</v>
      </c>
      <c r="C93" s="130">
        <v>2140.1</v>
      </c>
      <c r="D93" s="130">
        <v>2140.1</v>
      </c>
      <c r="E93" s="131">
        <f t="shared" si="10"/>
        <v>100</v>
      </c>
      <c r="F93" s="130">
        <v>2140.1</v>
      </c>
      <c r="G93" s="132">
        <v>2140.1</v>
      </c>
      <c r="H93" s="133">
        <f>G93/F93*100</f>
        <v>100</v>
      </c>
      <c r="I93" s="134">
        <f t="shared" si="17"/>
        <v>4280.2</v>
      </c>
      <c r="J93" s="135">
        <v>2140.2</v>
      </c>
      <c r="K93" s="136">
        <f t="shared" si="14"/>
        <v>2140</v>
      </c>
      <c r="L93" s="134">
        <f t="shared" si="18"/>
        <v>4280.2</v>
      </c>
      <c r="M93" s="135">
        <v>2140.1</v>
      </c>
      <c r="N93" s="136">
        <f t="shared" si="19"/>
        <v>2140.1</v>
      </c>
      <c r="O93" s="137">
        <f>N93/K93*100</f>
        <v>100.00467289719626</v>
      </c>
    </row>
    <row r="94" spans="1:15" ht="41.25" hidden="1">
      <c r="A94" s="119" t="s">
        <v>191</v>
      </c>
      <c r="B94" s="129" t="s">
        <v>195</v>
      </c>
      <c r="C94" s="130"/>
      <c r="D94" s="130"/>
      <c r="E94" s="131" t="e">
        <f t="shared" si="10"/>
        <v>#DIV/0!</v>
      </c>
      <c r="F94" s="130"/>
      <c r="G94" s="132"/>
      <c r="H94" s="133"/>
      <c r="I94" s="134">
        <f t="shared" si="17"/>
        <v>0</v>
      </c>
      <c r="J94" s="135"/>
      <c r="K94" s="136">
        <f t="shared" si="14"/>
        <v>0</v>
      </c>
      <c r="L94" s="134">
        <f t="shared" si="18"/>
        <v>0</v>
      </c>
      <c r="M94" s="135"/>
      <c r="N94" s="136">
        <f t="shared" si="19"/>
        <v>0</v>
      </c>
      <c r="O94" s="137"/>
    </row>
    <row r="95" spans="1:15" ht="41.25">
      <c r="A95" s="119" t="s">
        <v>191</v>
      </c>
      <c r="B95" s="155" t="s">
        <v>196</v>
      </c>
      <c r="C95" s="130"/>
      <c r="D95" s="130"/>
      <c r="E95" s="131" t="e">
        <f>D95/C95*100</f>
        <v>#DIV/0!</v>
      </c>
      <c r="F95" s="156">
        <f>23942.9</f>
        <v>23942.9</v>
      </c>
      <c r="G95" s="132">
        <v>2559.3</v>
      </c>
      <c r="H95" s="133">
        <f>G95/F95*100</f>
        <v>10.689181343947475</v>
      </c>
      <c r="I95" s="134">
        <f>C95+F95</f>
        <v>23942.9</v>
      </c>
      <c r="J95" s="135"/>
      <c r="K95" s="136">
        <f>I95-J95</f>
        <v>23942.9</v>
      </c>
      <c r="L95" s="134">
        <f>D95+G95</f>
        <v>2559.3</v>
      </c>
      <c r="M95" s="135"/>
      <c r="N95" s="136">
        <f t="shared" si="19"/>
        <v>2559.3</v>
      </c>
      <c r="O95" s="137">
        <f>N95/K95*100</f>
        <v>10.689181343947475</v>
      </c>
    </row>
    <row r="96" spans="1:15" ht="34.5" customHeight="1">
      <c r="A96" s="119" t="s">
        <v>191</v>
      </c>
      <c r="B96" s="155" t="s">
        <v>197</v>
      </c>
      <c r="C96" s="130">
        <v>11295.8</v>
      </c>
      <c r="D96" s="130">
        <v>10637.7</v>
      </c>
      <c r="E96" s="131">
        <f>D96/C96*100</f>
        <v>94.17394075674146</v>
      </c>
      <c r="F96" s="130">
        <v>11295.8</v>
      </c>
      <c r="G96" s="132">
        <v>10637.6</v>
      </c>
      <c r="H96" s="133">
        <f>G96/F96*100</f>
        <v>94.17305547194533</v>
      </c>
      <c r="I96" s="134">
        <f>C96+F96</f>
        <v>22591.6</v>
      </c>
      <c r="J96" s="135">
        <v>11295.8</v>
      </c>
      <c r="K96" s="136">
        <f>I96-J96</f>
        <v>11295.8</v>
      </c>
      <c r="L96" s="134">
        <f>D96+G96</f>
        <v>21275.300000000003</v>
      </c>
      <c r="M96" s="135">
        <v>10637.6</v>
      </c>
      <c r="N96" s="136">
        <f>L96-M96</f>
        <v>10637.700000000003</v>
      </c>
      <c r="O96" s="137">
        <f>N96/K96*100</f>
        <v>94.17394075674147</v>
      </c>
    </row>
    <row r="97" spans="1:15" ht="82.5" hidden="1">
      <c r="A97" s="119" t="s">
        <v>191</v>
      </c>
      <c r="B97" s="129" t="s">
        <v>198</v>
      </c>
      <c r="C97" s="130">
        <v>0</v>
      </c>
      <c r="D97" s="130">
        <v>0</v>
      </c>
      <c r="E97" s="131" t="e">
        <f t="shared" si="10"/>
        <v>#DIV/0!</v>
      </c>
      <c r="F97" s="130">
        <v>0</v>
      </c>
      <c r="G97" s="132">
        <v>0</v>
      </c>
      <c r="H97" s="133" t="e">
        <f>G97/F97*100</f>
        <v>#DIV/0!</v>
      </c>
      <c r="I97" s="134">
        <f t="shared" si="17"/>
        <v>0</v>
      </c>
      <c r="J97" s="135">
        <v>0</v>
      </c>
      <c r="K97" s="136">
        <f t="shared" si="14"/>
        <v>0</v>
      </c>
      <c r="L97" s="134">
        <f t="shared" si="18"/>
        <v>0</v>
      </c>
      <c r="M97" s="135">
        <v>0</v>
      </c>
      <c r="N97" s="136">
        <f>L97-M97</f>
        <v>0</v>
      </c>
      <c r="O97" s="137" t="e">
        <f t="shared" si="1"/>
        <v>#DIV/0!</v>
      </c>
    </row>
    <row r="98" spans="1:15" ht="82.5" hidden="1">
      <c r="A98" s="157" t="s">
        <v>191</v>
      </c>
      <c r="B98" s="158" t="s">
        <v>199</v>
      </c>
      <c r="C98" s="130">
        <v>0</v>
      </c>
      <c r="D98" s="130">
        <v>0</v>
      </c>
      <c r="E98" s="131" t="e">
        <f t="shared" si="10"/>
        <v>#DIV/0!</v>
      </c>
      <c r="F98" s="130">
        <v>0</v>
      </c>
      <c r="G98" s="132">
        <v>0</v>
      </c>
      <c r="H98" s="133" t="e">
        <f>G98/F98*100</f>
        <v>#DIV/0!</v>
      </c>
      <c r="I98" s="134">
        <f t="shared" si="17"/>
        <v>0</v>
      </c>
      <c r="J98" s="135"/>
      <c r="K98" s="136">
        <f t="shared" si="14"/>
        <v>0</v>
      </c>
      <c r="L98" s="134">
        <f t="shared" si="18"/>
        <v>0</v>
      </c>
      <c r="M98" s="135"/>
      <c r="N98" s="136">
        <f t="shared" si="19"/>
        <v>0</v>
      </c>
      <c r="O98" s="137" t="e">
        <f t="shared" si="1"/>
        <v>#DIV/0!</v>
      </c>
    </row>
    <row r="99" spans="1:15" ht="69" hidden="1">
      <c r="A99" s="119" t="s">
        <v>191</v>
      </c>
      <c r="B99" s="129" t="s">
        <v>200</v>
      </c>
      <c r="C99" s="130"/>
      <c r="D99" s="130"/>
      <c r="E99" s="131"/>
      <c r="F99" s="130"/>
      <c r="G99" s="132"/>
      <c r="H99" s="133" t="e">
        <f>G99/F99*100</f>
        <v>#DIV/0!</v>
      </c>
      <c r="I99" s="134">
        <f t="shared" si="17"/>
        <v>0</v>
      </c>
      <c r="J99" s="135"/>
      <c r="K99" s="136">
        <f t="shared" si="14"/>
        <v>0</v>
      </c>
      <c r="L99" s="134">
        <f t="shared" si="18"/>
        <v>0</v>
      </c>
      <c r="M99" s="135"/>
      <c r="N99" s="136">
        <f t="shared" si="19"/>
        <v>0</v>
      </c>
      <c r="O99" s="137"/>
    </row>
    <row r="100" spans="1:15" ht="41.25" hidden="1">
      <c r="A100" s="119" t="s">
        <v>191</v>
      </c>
      <c r="B100" s="129" t="s">
        <v>201</v>
      </c>
      <c r="C100" s="130"/>
      <c r="D100" s="130"/>
      <c r="E100" s="131" t="e">
        <f t="shared" si="10"/>
        <v>#DIV/0!</v>
      </c>
      <c r="F100" s="130"/>
      <c r="G100" s="132"/>
      <c r="H100" s="133" t="e">
        <f>G100/F100*100</f>
        <v>#DIV/0!</v>
      </c>
      <c r="I100" s="134">
        <f t="shared" si="17"/>
        <v>0</v>
      </c>
      <c r="J100" s="135"/>
      <c r="K100" s="136">
        <f t="shared" si="14"/>
        <v>0</v>
      </c>
      <c r="L100" s="134">
        <f t="shared" si="18"/>
        <v>0</v>
      </c>
      <c r="M100" s="135"/>
      <c r="N100" s="136">
        <f t="shared" si="19"/>
        <v>0</v>
      </c>
      <c r="O100" s="137" t="e">
        <f t="shared" si="1"/>
        <v>#DIV/0!</v>
      </c>
    </row>
    <row r="101" spans="1:15" ht="27">
      <c r="A101" s="119" t="s">
        <v>191</v>
      </c>
      <c r="B101" s="129" t="s">
        <v>202</v>
      </c>
      <c r="C101" s="130"/>
      <c r="D101" s="130"/>
      <c r="E101" s="131"/>
      <c r="F101" s="130">
        <v>3437</v>
      </c>
      <c r="G101" s="132">
        <v>1718.7</v>
      </c>
      <c r="H101" s="133">
        <f>G101/F101*100</f>
        <v>50.005819028222284</v>
      </c>
      <c r="I101" s="134">
        <f>C101+F101</f>
        <v>3437</v>
      </c>
      <c r="J101" s="135"/>
      <c r="K101" s="136">
        <f t="shared" si="14"/>
        <v>3437</v>
      </c>
      <c r="L101" s="134">
        <f>D101+G101</f>
        <v>1718.7</v>
      </c>
      <c r="M101" s="135"/>
      <c r="N101" s="136">
        <f t="shared" si="19"/>
        <v>1718.7</v>
      </c>
      <c r="O101" s="137">
        <f>N101/K101*100</f>
        <v>50.005819028222284</v>
      </c>
    </row>
    <row r="102" spans="1:15" ht="82.5" hidden="1">
      <c r="A102" s="119" t="s">
        <v>191</v>
      </c>
      <c r="B102" s="150" t="s">
        <v>203</v>
      </c>
      <c r="C102" s="130"/>
      <c r="D102" s="130"/>
      <c r="E102" s="131"/>
      <c r="F102" s="130"/>
      <c r="G102" s="132"/>
      <c r="H102" s="133" t="e">
        <f>G102/F102*100</f>
        <v>#DIV/0!</v>
      </c>
      <c r="I102" s="134">
        <f t="shared" si="17"/>
        <v>0</v>
      </c>
      <c r="J102" s="135"/>
      <c r="K102" s="136">
        <f t="shared" si="14"/>
        <v>0</v>
      </c>
      <c r="L102" s="134">
        <f t="shared" si="18"/>
        <v>0</v>
      </c>
      <c r="M102" s="135"/>
      <c r="N102" s="136">
        <f t="shared" si="19"/>
        <v>0</v>
      </c>
      <c r="O102" s="137" t="e">
        <f t="shared" si="1"/>
        <v>#DIV/0!</v>
      </c>
    </row>
    <row r="103" spans="1:15" ht="27" hidden="1">
      <c r="A103" s="119" t="s">
        <v>191</v>
      </c>
      <c r="B103" s="129" t="s">
        <v>204</v>
      </c>
      <c r="C103" s="130"/>
      <c r="D103" s="130"/>
      <c r="E103" s="131" t="e">
        <f t="shared" si="10"/>
        <v>#DIV/0!</v>
      </c>
      <c r="F103" s="130"/>
      <c r="G103" s="132"/>
      <c r="H103" s="133" t="e">
        <f>G103/F103*100</f>
        <v>#DIV/0!</v>
      </c>
      <c r="I103" s="134">
        <f t="shared" si="17"/>
        <v>0</v>
      </c>
      <c r="J103" s="135"/>
      <c r="K103" s="136">
        <f t="shared" si="14"/>
        <v>0</v>
      </c>
      <c r="L103" s="134">
        <f t="shared" si="18"/>
        <v>0</v>
      </c>
      <c r="M103" s="135"/>
      <c r="N103" s="136">
        <f t="shared" si="19"/>
        <v>0</v>
      </c>
      <c r="O103" s="137" t="e">
        <f t="shared" si="1"/>
        <v>#DIV/0!</v>
      </c>
    </row>
    <row r="104" spans="1:15" ht="41.25" hidden="1">
      <c r="A104" s="119" t="s">
        <v>191</v>
      </c>
      <c r="B104" s="129" t="s">
        <v>205</v>
      </c>
      <c r="C104" s="130"/>
      <c r="D104" s="130"/>
      <c r="E104" s="131"/>
      <c r="F104" s="130"/>
      <c r="G104" s="132"/>
      <c r="H104" s="133"/>
      <c r="I104" s="134">
        <f t="shared" si="17"/>
        <v>0</v>
      </c>
      <c r="J104" s="135"/>
      <c r="K104" s="136">
        <f t="shared" si="14"/>
        <v>0</v>
      </c>
      <c r="L104" s="134">
        <f t="shared" si="18"/>
        <v>0</v>
      </c>
      <c r="M104" s="135"/>
      <c r="N104" s="136">
        <f t="shared" si="19"/>
        <v>0</v>
      </c>
      <c r="O104" s="137" t="e">
        <f t="shared" si="1"/>
        <v>#DIV/0!</v>
      </c>
    </row>
    <row r="105" spans="1:15" ht="27" hidden="1">
      <c r="A105" s="119" t="s">
        <v>191</v>
      </c>
      <c r="B105" s="129" t="s">
        <v>206</v>
      </c>
      <c r="C105" s="130"/>
      <c r="D105" s="130"/>
      <c r="E105" s="131"/>
      <c r="F105" s="130"/>
      <c r="G105" s="132"/>
      <c r="H105" s="133"/>
      <c r="I105" s="134">
        <f t="shared" si="17"/>
        <v>0</v>
      </c>
      <c r="J105" s="135"/>
      <c r="K105" s="136">
        <f t="shared" si="14"/>
        <v>0</v>
      </c>
      <c r="L105" s="134">
        <f t="shared" si="18"/>
        <v>0</v>
      </c>
      <c r="M105" s="135"/>
      <c r="N105" s="136">
        <f t="shared" si="19"/>
        <v>0</v>
      </c>
      <c r="O105" s="137" t="e">
        <f t="shared" si="1"/>
        <v>#DIV/0!</v>
      </c>
    </row>
    <row r="106" spans="1:15" ht="69" hidden="1">
      <c r="A106" s="119" t="s">
        <v>191</v>
      </c>
      <c r="B106" s="159" t="s">
        <v>207</v>
      </c>
      <c r="C106" s="130"/>
      <c r="D106" s="130"/>
      <c r="E106" s="131"/>
      <c r="F106" s="130"/>
      <c r="G106" s="132"/>
      <c r="H106" s="133"/>
      <c r="I106" s="134">
        <f t="shared" si="17"/>
        <v>0</v>
      </c>
      <c r="J106" s="135"/>
      <c r="K106" s="136">
        <f t="shared" si="14"/>
        <v>0</v>
      </c>
      <c r="L106" s="134">
        <f t="shared" si="18"/>
        <v>0</v>
      </c>
      <c r="M106" s="135"/>
      <c r="N106" s="136">
        <f t="shared" si="19"/>
        <v>0</v>
      </c>
      <c r="O106" s="137" t="e">
        <f t="shared" si="1"/>
        <v>#DIV/0!</v>
      </c>
    </row>
    <row r="107" spans="1:15" ht="27">
      <c r="A107" s="128" t="s">
        <v>191</v>
      </c>
      <c r="B107" s="129" t="s">
        <v>208</v>
      </c>
      <c r="C107" s="130"/>
      <c r="D107" s="130"/>
      <c r="E107" s="131"/>
      <c r="F107" s="130">
        <v>61684.3</v>
      </c>
      <c r="G107" s="132">
        <v>34922.8</v>
      </c>
      <c r="H107" s="133">
        <f>G107/F107*100</f>
        <v>56.615378629570245</v>
      </c>
      <c r="I107" s="134">
        <f t="shared" si="17"/>
        <v>61684.3</v>
      </c>
      <c r="J107" s="135"/>
      <c r="K107" s="136">
        <f t="shared" si="14"/>
        <v>61684.3</v>
      </c>
      <c r="L107" s="134">
        <f t="shared" si="18"/>
        <v>34922.8</v>
      </c>
      <c r="M107" s="135"/>
      <c r="N107" s="136">
        <f t="shared" si="19"/>
        <v>34922.8</v>
      </c>
      <c r="O107" s="137">
        <f t="shared" si="1"/>
        <v>56.615378629570245</v>
      </c>
    </row>
    <row r="108" spans="1:15" ht="13.5">
      <c r="A108" s="119" t="s">
        <v>209</v>
      </c>
      <c r="B108" s="129" t="s">
        <v>210</v>
      </c>
      <c r="C108" s="130">
        <v>40.6</v>
      </c>
      <c r="D108" s="130">
        <v>21.6</v>
      </c>
      <c r="E108" s="131">
        <f>D108/C108*100</f>
        <v>53.20197044334976</v>
      </c>
      <c r="F108" s="130">
        <v>0</v>
      </c>
      <c r="G108" s="132"/>
      <c r="H108" s="133">
        <v>0</v>
      </c>
      <c r="I108" s="134">
        <f t="shared" si="17"/>
        <v>40.6</v>
      </c>
      <c r="J108" s="135"/>
      <c r="K108" s="136">
        <f t="shared" si="14"/>
        <v>40.6</v>
      </c>
      <c r="L108" s="134">
        <f t="shared" si="18"/>
        <v>21.6</v>
      </c>
      <c r="M108" s="135"/>
      <c r="N108" s="136">
        <f t="shared" si="19"/>
        <v>21.6</v>
      </c>
      <c r="O108" s="160">
        <f t="shared" si="1"/>
        <v>53.20197044334976</v>
      </c>
    </row>
    <row r="109" spans="1:15" ht="13.5">
      <c r="A109" s="161" t="s">
        <v>211</v>
      </c>
      <c r="B109" s="162" t="s">
        <v>212</v>
      </c>
      <c r="C109" s="148">
        <f>C110</f>
        <v>33108.2</v>
      </c>
      <c r="D109" s="148">
        <f aca="true" t="shared" si="20" ref="D109:N109">D110</f>
        <v>4055</v>
      </c>
      <c r="E109" s="139">
        <f t="shared" si="10"/>
        <v>12.247721108365903</v>
      </c>
      <c r="F109" s="148">
        <f t="shared" si="20"/>
        <v>4799.4</v>
      </c>
      <c r="G109" s="148">
        <f t="shared" si="20"/>
        <v>4004.4</v>
      </c>
      <c r="H109" s="126">
        <f t="shared" si="20"/>
        <v>83.4354294286786</v>
      </c>
      <c r="I109" s="148">
        <f t="shared" si="20"/>
        <v>37907.6</v>
      </c>
      <c r="J109" s="148">
        <f t="shared" si="20"/>
        <v>4510</v>
      </c>
      <c r="K109" s="148">
        <f>K110</f>
        <v>33397.6</v>
      </c>
      <c r="L109" s="148">
        <f t="shared" si="20"/>
        <v>8059.4</v>
      </c>
      <c r="M109" s="148">
        <f t="shared" si="20"/>
        <v>3960</v>
      </c>
      <c r="N109" s="148">
        <f t="shared" si="20"/>
        <v>4099.4</v>
      </c>
      <c r="O109" s="163">
        <f t="shared" si="1"/>
        <v>12.274534697103983</v>
      </c>
    </row>
    <row r="110" spans="1:15" ht="21" customHeight="1">
      <c r="A110" s="119" t="s">
        <v>213</v>
      </c>
      <c r="B110" s="164" t="s">
        <v>214</v>
      </c>
      <c r="C110" s="132">
        <v>33108.2</v>
      </c>
      <c r="D110" s="132">
        <v>4055</v>
      </c>
      <c r="E110" s="131">
        <f t="shared" si="10"/>
        <v>12.247721108365903</v>
      </c>
      <c r="F110" s="132">
        <v>4799.4</v>
      </c>
      <c r="G110" s="132">
        <v>4004.4</v>
      </c>
      <c r="H110" s="133">
        <f>G110/F110*100</f>
        <v>83.4354294286786</v>
      </c>
      <c r="I110" s="134">
        <f aca="true" t="shared" si="21" ref="I110:I154">C110+F110</f>
        <v>37907.6</v>
      </c>
      <c r="J110" s="135">
        <v>4510</v>
      </c>
      <c r="K110" s="136">
        <f>I110-J110</f>
        <v>33397.6</v>
      </c>
      <c r="L110" s="134">
        <f t="shared" si="18"/>
        <v>8059.4</v>
      </c>
      <c r="M110" s="135">
        <v>3960</v>
      </c>
      <c r="N110" s="136">
        <f t="shared" si="19"/>
        <v>4099.4</v>
      </c>
      <c r="O110" s="137">
        <f t="shared" si="1"/>
        <v>12.274534697103983</v>
      </c>
    </row>
    <row r="111" spans="1:15" ht="13.5">
      <c r="A111" s="123" t="s">
        <v>215</v>
      </c>
      <c r="B111" s="124" t="s">
        <v>216</v>
      </c>
      <c r="C111" s="125">
        <f>SUM(C112:C121)</f>
        <v>2697196.7</v>
      </c>
      <c r="D111" s="125">
        <f>SUM(D112:D121)</f>
        <v>1861326.4000000001</v>
      </c>
      <c r="E111" s="125">
        <f>D111/C111*100</f>
        <v>69.00966473820763</v>
      </c>
      <c r="F111" s="148">
        <f>F112+F114+F115+F120+F121</f>
        <v>0</v>
      </c>
      <c r="G111" s="148">
        <f>SUM(G112:G121)</f>
        <v>0</v>
      </c>
      <c r="H111" s="126">
        <v>0</v>
      </c>
      <c r="I111" s="125">
        <f aca="true" t="shared" si="22" ref="I111:N111">SUM(I112:I121)</f>
        <v>2697196.7</v>
      </c>
      <c r="J111" s="125">
        <f t="shared" si="22"/>
        <v>0</v>
      </c>
      <c r="K111" s="125">
        <f t="shared" si="22"/>
        <v>2697196.7</v>
      </c>
      <c r="L111" s="125">
        <f t="shared" si="22"/>
        <v>1861326.4000000001</v>
      </c>
      <c r="M111" s="125">
        <f t="shared" si="22"/>
        <v>0</v>
      </c>
      <c r="N111" s="125">
        <f t="shared" si="22"/>
        <v>1861326.4000000001</v>
      </c>
      <c r="O111" s="127">
        <f t="shared" si="1"/>
        <v>69.00966473820763</v>
      </c>
    </row>
    <row r="112" spans="1:15" ht="13.5">
      <c r="A112" s="128" t="s">
        <v>217</v>
      </c>
      <c r="B112" s="129" t="s">
        <v>218</v>
      </c>
      <c r="C112" s="130">
        <v>400502.3</v>
      </c>
      <c r="D112" s="130">
        <v>331521.6</v>
      </c>
      <c r="E112" s="131">
        <f t="shared" si="10"/>
        <v>82.77645346855685</v>
      </c>
      <c r="F112" s="132">
        <v>0</v>
      </c>
      <c r="G112" s="132">
        <v>0</v>
      </c>
      <c r="H112" s="133">
        <v>0</v>
      </c>
      <c r="I112" s="134">
        <f t="shared" si="21"/>
        <v>400502.3</v>
      </c>
      <c r="J112" s="135"/>
      <c r="K112" s="136">
        <f aca="true" t="shared" si="23" ref="K112:K154">I112-J112</f>
        <v>400502.3</v>
      </c>
      <c r="L112" s="134">
        <f t="shared" si="18"/>
        <v>331521.6</v>
      </c>
      <c r="M112" s="135"/>
      <c r="N112" s="136">
        <f t="shared" si="19"/>
        <v>331521.6</v>
      </c>
      <c r="O112" s="137">
        <f t="shared" si="1"/>
        <v>82.77645346855685</v>
      </c>
    </row>
    <row r="113" spans="1:15" ht="37.5" customHeight="1" hidden="1">
      <c r="A113" s="141" t="s">
        <v>217</v>
      </c>
      <c r="B113" s="129" t="s">
        <v>219</v>
      </c>
      <c r="C113" s="130"/>
      <c r="D113" s="130"/>
      <c r="E113" s="131" t="e">
        <f t="shared" si="10"/>
        <v>#DIV/0!</v>
      </c>
      <c r="F113" s="132">
        <v>0</v>
      </c>
      <c r="G113" s="132">
        <v>0</v>
      </c>
      <c r="H113" s="133">
        <v>0</v>
      </c>
      <c r="I113" s="134">
        <f t="shared" si="21"/>
        <v>0</v>
      </c>
      <c r="J113" s="135"/>
      <c r="K113" s="136">
        <f t="shared" si="23"/>
        <v>0</v>
      </c>
      <c r="L113" s="134">
        <f t="shared" si="18"/>
        <v>0</v>
      </c>
      <c r="M113" s="135"/>
      <c r="N113" s="136">
        <f t="shared" si="19"/>
        <v>0</v>
      </c>
      <c r="O113" s="137" t="e">
        <f t="shared" si="1"/>
        <v>#DIV/0!</v>
      </c>
    </row>
    <row r="114" spans="1:15" ht="13.5">
      <c r="A114" s="128" t="s">
        <v>220</v>
      </c>
      <c r="B114" s="150" t="s">
        <v>221</v>
      </c>
      <c r="C114" s="130">
        <f>2057782.6-C115-C116-C117</f>
        <v>1947228.4000000001</v>
      </c>
      <c r="D114" s="130">
        <f>1337141-D115-D116-D117</f>
        <v>1264054</v>
      </c>
      <c r="E114" s="130">
        <f t="shared" si="10"/>
        <v>64.91554868447892</v>
      </c>
      <c r="F114" s="132">
        <v>0</v>
      </c>
      <c r="G114" s="132">
        <v>0</v>
      </c>
      <c r="H114" s="132">
        <v>0</v>
      </c>
      <c r="I114" s="134">
        <f t="shared" si="21"/>
        <v>1947228.4000000001</v>
      </c>
      <c r="J114" s="135"/>
      <c r="K114" s="136">
        <f t="shared" si="23"/>
        <v>1947228.4000000001</v>
      </c>
      <c r="L114" s="134">
        <f t="shared" si="18"/>
        <v>1264054</v>
      </c>
      <c r="M114" s="135"/>
      <c r="N114" s="136">
        <f t="shared" si="19"/>
        <v>1264054</v>
      </c>
      <c r="O114" s="165">
        <f t="shared" si="1"/>
        <v>64.91554868447892</v>
      </c>
    </row>
    <row r="115" spans="1:15" ht="75" customHeight="1">
      <c r="A115" s="128" t="s">
        <v>220</v>
      </c>
      <c r="B115" s="129" t="s">
        <v>222</v>
      </c>
      <c r="C115" s="130">
        <v>90538.7</v>
      </c>
      <c r="D115" s="130">
        <v>61665</v>
      </c>
      <c r="E115" s="131">
        <f t="shared" si="10"/>
        <v>68.10899648437629</v>
      </c>
      <c r="F115" s="132">
        <v>0</v>
      </c>
      <c r="G115" s="132">
        <v>0</v>
      </c>
      <c r="H115" s="133">
        <v>0</v>
      </c>
      <c r="I115" s="134">
        <f t="shared" si="21"/>
        <v>90538.7</v>
      </c>
      <c r="J115" s="135"/>
      <c r="K115" s="136">
        <f t="shared" si="23"/>
        <v>90538.7</v>
      </c>
      <c r="L115" s="134">
        <f t="shared" si="18"/>
        <v>61665</v>
      </c>
      <c r="M115" s="135"/>
      <c r="N115" s="136">
        <f t="shared" si="19"/>
        <v>61665</v>
      </c>
      <c r="O115" s="137">
        <f t="shared" si="1"/>
        <v>68.10899648437629</v>
      </c>
    </row>
    <row r="116" spans="1:15" ht="63" customHeight="1">
      <c r="A116" s="128" t="s">
        <v>220</v>
      </c>
      <c r="B116" s="129" t="s">
        <v>223</v>
      </c>
      <c r="C116" s="130">
        <v>20015.5</v>
      </c>
      <c r="D116" s="130">
        <v>11422</v>
      </c>
      <c r="E116" s="131">
        <f t="shared" si="10"/>
        <v>57.06577402513052</v>
      </c>
      <c r="F116" s="132"/>
      <c r="G116" s="132"/>
      <c r="H116" s="133" t="e">
        <f>G116/F116*100</f>
        <v>#DIV/0!</v>
      </c>
      <c r="I116" s="134">
        <f t="shared" si="21"/>
        <v>20015.5</v>
      </c>
      <c r="J116" s="135"/>
      <c r="K116" s="136">
        <f t="shared" si="23"/>
        <v>20015.5</v>
      </c>
      <c r="L116" s="134">
        <f t="shared" si="18"/>
        <v>11422</v>
      </c>
      <c r="M116" s="135"/>
      <c r="N116" s="136">
        <f t="shared" si="19"/>
        <v>11422</v>
      </c>
      <c r="O116" s="137">
        <f t="shared" si="1"/>
        <v>57.06577402513052</v>
      </c>
    </row>
    <row r="117" spans="1:15" ht="54.75" hidden="1">
      <c r="A117" s="128" t="s">
        <v>220</v>
      </c>
      <c r="B117" s="129" t="s">
        <v>224</v>
      </c>
      <c r="C117" s="130">
        <v>0</v>
      </c>
      <c r="D117" s="130">
        <v>0</v>
      </c>
      <c r="E117" s="131" t="e">
        <f t="shared" si="10"/>
        <v>#DIV/0!</v>
      </c>
      <c r="F117" s="132"/>
      <c r="G117" s="132"/>
      <c r="H117" s="133"/>
      <c r="I117" s="134">
        <f t="shared" si="21"/>
        <v>0</v>
      </c>
      <c r="J117" s="135"/>
      <c r="K117" s="136">
        <f t="shared" si="23"/>
        <v>0</v>
      </c>
      <c r="L117" s="134">
        <f t="shared" si="18"/>
        <v>0</v>
      </c>
      <c r="M117" s="135"/>
      <c r="N117" s="136">
        <f t="shared" si="19"/>
        <v>0</v>
      </c>
      <c r="O117" s="137" t="e">
        <f t="shared" si="1"/>
        <v>#DIV/0!</v>
      </c>
    </row>
    <row r="118" spans="1:15" ht="123.75" hidden="1">
      <c r="A118" s="128" t="s">
        <v>220</v>
      </c>
      <c r="B118" s="129" t="s">
        <v>225</v>
      </c>
      <c r="C118" s="130"/>
      <c r="D118" s="130"/>
      <c r="E118" s="131"/>
      <c r="F118" s="132">
        <v>0</v>
      </c>
      <c r="G118" s="132">
        <v>0</v>
      </c>
      <c r="H118" s="133">
        <v>0</v>
      </c>
      <c r="I118" s="134">
        <f t="shared" si="21"/>
        <v>0</v>
      </c>
      <c r="J118" s="135"/>
      <c r="K118" s="136">
        <f t="shared" si="23"/>
        <v>0</v>
      </c>
      <c r="L118" s="134">
        <f t="shared" si="18"/>
        <v>0</v>
      </c>
      <c r="M118" s="135"/>
      <c r="N118" s="136">
        <f t="shared" si="19"/>
        <v>0</v>
      </c>
      <c r="O118" s="137"/>
    </row>
    <row r="119" spans="1:15" ht="13.5">
      <c r="A119" s="128" t="s">
        <v>226</v>
      </c>
      <c r="B119" s="129" t="s">
        <v>227</v>
      </c>
      <c r="C119" s="130">
        <v>143064.9</v>
      </c>
      <c r="D119" s="130">
        <v>108571</v>
      </c>
      <c r="E119" s="131">
        <f t="shared" si="10"/>
        <v>75.88933414135822</v>
      </c>
      <c r="F119" s="132"/>
      <c r="G119" s="132"/>
      <c r="H119" s="133"/>
      <c r="I119" s="134">
        <f t="shared" si="21"/>
        <v>143064.9</v>
      </c>
      <c r="J119" s="135"/>
      <c r="K119" s="136">
        <f t="shared" si="23"/>
        <v>143064.9</v>
      </c>
      <c r="L119" s="134">
        <f t="shared" si="18"/>
        <v>108571</v>
      </c>
      <c r="M119" s="135"/>
      <c r="N119" s="136">
        <f t="shared" si="19"/>
        <v>108571</v>
      </c>
      <c r="O119" s="137">
        <f t="shared" si="1"/>
        <v>75.88933414135822</v>
      </c>
    </row>
    <row r="120" spans="1:15" ht="20.25" customHeight="1">
      <c r="A120" s="128" t="s">
        <v>228</v>
      </c>
      <c r="B120" s="129" t="s">
        <v>229</v>
      </c>
      <c r="C120" s="130">
        <v>26058.6</v>
      </c>
      <c r="D120" s="130">
        <v>22946.6</v>
      </c>
      <c r="E120" s="131">
        <f t="shared" si="10"/>
        <v>88.05768537066457</v>
      </c>
      <c r="F120" s="132"/>
      <c r="G120" s="132"/>
      <c r="H120" s="133"/>
      <c r="I120" s="134">
        <f t="shared" si="21"/>
        <v>26058.6</v>
      </c>
      <c r="J120" s="135"/>
      <c r="K120" s="136">
        <f t="shared" si="23"/>
        <v>26058.6</v>
      </c>
      <c r="L120" s="134">
        <f t="shared" si="18"/>
        <v>22946.6</v>
      </c>
      <c r="M120" s="135"/>
      <c r="N120" s="136">
        <f t="shared" si="19"/>
        <v>22946.6</v>
      </c>
      <c r="O120" s="137">
        <f t="shared" si="1"/>
        <v>88.05768537066457</v>
      </c>
    </row>
    <row r="121" spans="1:15" ht="13.5">
      <c r="A121" s="128" t="s">
        <v>230</v>
      </c>
      <c r="B121" s="129" t="s">
        <v>231</v>
      </c>
      <c r="C121" s="130">
        <v>69788.3</v>
      </c>
      <c r="D121" s="130">
        <v>61146.2</v>
      </c>
      <c r="E121" s="131">
        <f t="shared" si="10"/>
        <v>87.61669219625638</v>
      </c>
      <c r="F121" s="132">
        <v>0</v>
      </c>
      <c r="G121" s="132"/>
      <c r="H121" s="133">
        <v>0</v>
      </c>
      <c r="I121" s="134">
        <f t="shared" si="21"/>
        <v>69788.3</v>
      </c>
      <c r="J121" s="135"/>
      <c r="K121" s="136">
        <f t="shared" si="23"/>
        <v>69788.3</v>
      </c>
      <c r="L121" s="134">
        <f t="shared" si="18"/>
        <v>61146.2</v>
      </c>
      <c r="M121" s="135"/>
      <c r="N121" s="136">
        <f t="shared" si="19"/>
        <v>61146.2</v>
      </c>
      <c r="O121" s="137">
        <f t="shared" si="1"/>
        <v>87.61669219625638</v>
      </c>
    </row>
    <row r="122" spans="1:15" ht="13.5">
      <c r="A122" s="123" t="s">
        <v>232</v>
      </c>
      <c r="B122" s="124" t="s">
        <v>233</v>
      </c>
      <c r="C122" s="125">
        <f>SUM(C123:C126)</f>
        <v>90891.4</v>
      </c>
      <c r="D122" s="125">
        <f>SUM(D123:D126)</f>
        <v>68211.40000000001</v>
      </c>
      <c r="E122" s="125">
        <f>D122/C122*100</f>
        <v>75.04714417425632</v>
      </c>
      <c r="F122" s="148">
        <f>SUM(F123:F126)</f>
        <v>120932.5</v>
      </c>
      <c r="G122" s="148">
        <f>SUM(G123:G126)</f>
        <v>84027.90000000001</v>
      </c>
      <c r="H122" s="126">
        <f>G122/F122*100</f>
        <v>69.48330680338206</v>
      </c>
      <c r="I122" s="148">
        <f aca="true" t="shared" si="24" ref="I122:N122">SUM(I123:I126)</f>
        <v>211823.89999999997</v>
      </c>
      <c r="J122" s="148">
        <f t="shared" si="24"/>
        <v>13008.5</v>
      </c>
      <c r="K122" s="148">
        <f t="shared" si="24"/>
        <v>198815.39999999997</v>
      </c>
      <c r="L122" s="148">
        <f t="shared" si="24"/>
        <v>152239.3</v>
      </c>
      <c r="M122" s="148">
        <f t="shared" si="24"/>
        <v>7921</v>
      </c>
      <c r="N122" s="148">
        <f t="shared" si="24"/>
        <v>144318.3</v>
      </c>
      <c r="O122" s="127">
        <f t="shared" si="1"/>
        <v>72.58909521093437</v>
      </c>
    </row>
    <row r="123" spans="1:15" ht="13.5">
      <c r="A123" s="128" t="s">
        <v>234</v>
      </c>
      <c r="B123" s="129" t="s">
        <v>235</v>
      </c>
      <c r="C123" s="130">
        <f>73621.4-C124</f>
        <v>72922.5</v>
      </c>
      <c r="D123" s="130">
        <f>52111.3-D124</f>
        <v>51421.4</v>
      </c>
      <c r="E123" s="131">
        <f t="shared" si="10"/>
        <v>70.51513593198258</v>
      </c>
      <c r="F123" s="166">
        <f>117051.7-F124</f>
        <v>116910.3</v>
      </c>
      <c r="G123" s="132">
        <f>80759.1-G124</f>
        <v>80636.1</v>
      </c>
      <c r="H123" s="133">
        <f>G123/F123*100</f>
        <v>68.9726226004039</v>
      </c>
      <c r="I123" s="134">
        <f t="shared" si="21"/>
        <v>189832.8</v>
      </c>
      <c r="J123" s="135">
        <f>9444.5-J124</f>
        <v>9320</v>
      </c>
      <c r="K123" s="136">
        <f>I123-J123</f>
        <v>180512.8</v>
      </c>
      <c r="L123" s="134">
        <f t="shared" si="18"/>
        <v>132057.5</v>
      </c>
      <c r="M123" s="135">
        <f>4827-M124</f>
        <v>4702.5</v>
      </c>
      <c r="N123" s="136">
        <f t="shared" si="19"/>
        <v>127355</v>
      </c>
      <c r="O123" s="137">
        <f t="shared" si="1"/>
        <v>70.55178358542996</v>
      </c>
    </row>
    <row r="124" spans="1:15" ht="30" customHeight="1">
      <c r="A124" s="157" t="s">
        <v>234</v>
      </c>
      <c r="B124" s="158" t="s">
        <v>236</v>
      </c>
      <c r="C124" s="130">
        <v>698.9</v>
      </c>
      <c r="D124" s="130">
        <v>689.9</v>
      </c>
      <c r="E124" s="131">
        <f t="shared" si="10"/>
        <v>98.71226212619831</v>
      </c>
      <c r="F124" s="132">
        <v>141.4</v>
      </c>
      <c r="G124" s="132">
        <v>123</v>
      </c>
      <c r="H124" s="133">
        <f>G124/F124*100</f>
        <v>86.98727015558698</v>
      </c>
      <c r="I124" s="134">
        <f t="shared" si="21"/>
        <v>840.3</v>
      </c>
      <c r="J124" s="135">
        <v>124.5</v>
      </c>
      <c r="K124" s="136">
        <f>I124-J124</f>
        <v>715.8</v>
      </c>
      <c r="L124" s="134">
        <f t="shared" si="18"/>
        <v>812.9</v>
      </c>
      <c r="M124" s="135">
        <v>124.5</v>
      </c>
      <c r="N124" s="136">
        <f t="shared" si="19"/>
        <v>688.4</v>
      </c>
      <c r="O124" s="137">
        <f>N124/K124*100</f>
        <v>96.17211511595418</v>
      </c>
    </row>
    <row r="125" spans="1:15" ht="13.5">
      <c r="A125" s="128" t="s">
        <v>237</v>
      </c>
      <c r="B125" s="129" t="s">
        <v>238</v>
      </c>
      <c r="C125" s="130">
        <v>100</v>
      </c>
      <c r="D125" s="130">
        <v>60</v>
      </c>
      <c r="E125" s="131">
        <f t="shared" si="10"/>
        <v>60</v>
      </c>
      <c r="F125" s="132"/>
      <c r="G125" s="132"/>
      <c r="H125" s="133" t="e">
        <f>G125/F125*100</f>
        <v>#DIV/0!</v>
      </c>
      <c r="I125" s="134">
        <f t="shared" si="21"/>
        <v>100</v>
      </c>
      <c r="J125" s="135"/>
      <c r="K125" s="136">
        <f>I125-J125</f>
        <v>100</v>
      </c>
      <c r="L125" s="134">
        <f t="shared" si="18"/>
        <v>60</v>
      </c>
      <c r="M125" s="135"/>
      <c r="N125" s="136">
        <f t="shared" si="19"/>
        <v>60</v>
      </c>
      <c r="O125" s="137">
        <f aca="true" t="shared" si="25" ref="O125:O155">N125/K125*100</f>
        <v>60</v>
      </c>
    </row>
    <row r="126" spans="1:15" ht="17.25" customHeight="1">
      <c r="A126" s="128" t="s">
        <v>239</v>
      </c>
      <c r="B126" s="129" t="s">
        <v>240</v>
      </c>
      <c r="C126" s="130">
        <v>17170</v>
      </c>
      <c r="D126" s="130">
        <v>16040.1</v>
      </c>
      <c r="E126" s="131">
        <f t="shared" si="10"/>
        <v>93.41933605125219</v>
      </c>
      <c r="F126" s="132">
        <v>3880.8</v>
      </c>
      <c r="G126" s="132">
        <v>3268.8</v>
      </c>
      <c r="H126" s="133">
        <f>G126/F126*100</f>
        <v>84.2300556586271</v>
      </c>
      <c r="I126" s="134">
        <f t="shared" si="21"/>
        <v>21050.8</v>
      </c>
      <c r="J126" s="135">
        <v>3564</v>
      </c>
      <c r="K126" s="136">
        <f>I126-J126</f>
        <v>17486.8</v>
      </c>
      <c r="L126" s="134">
        <f t="shared" si="18"/>
        <v>19308.9</v>
      </c>
      <c r="M126" s="135">
        <v>3094</v>
      </c>
      <c r="N126" s="136">
        <f t="shared" si="19"/>
        <v>16214.900000000001</v>
      </c>
      <c r="O126" s="137">
        <f t="shared" si="25"/>
        <v>92.72651371320083</v>
      </c>
    </row>
    <row r="127" spans="1:15" ht="13.5">
      <c r="A127" s="123" t="s">
        <v>241</v>
      </c>
      <c r="B127" s="124" t="s">
        <v>242</v>
      </c>
      <c r="C127" s="125">
        <f>SUM(C128:C130)</f>
        <v>2307.7</v>
      </c>
      <c r="D127" s="125">
        <f>SUM(D128:D130)</f>
        <v>1927.2</v>
      </c>
      <c r="E127" s="125">
        <f>SUM(E130:E130)</f>
        <v>83.51172162759458</v>
      </c>
      <c r="F127" s="148">
        <f>F128+F129+F130</f>
        <v>0</v>
      </c>
      <c r="G127" s="148">
        <f>G128+G129+G130</f>
        <v>0</v>
      </c>
      <c r="H127" s="148"/>
      <c r="I127" s="148">
        <f aca="true" t="shared" si="26" ref="I127:N127">I128+I129+I130</f>
        <v>2307.7</v>
      </c>
      <c r="J127" s="148">
        <f t="shared" si="26"/>
        <v>0</v>
      </c>
      <c r="K127" s="148">
        <f>K128+K129+K130</f>
        <v>2307.7</v>
      </c>
      <c r="L127" s="148">
        <f t="shared" si="26"/>
        <v>1927.2</v>
      </c>
      <c r="M127" s="148">
        <f t="shared" si="26"/>
        <v>0</v>
      </c>
      <c r="N127" s="148">
        <f t="shared" si="26"/>
        <v>1927.2</v>
      </c>
      <c r="O127" s="127">
        <f t="shared" si="25"/>
        <v>83.51172162759458</v>
      </c>
    </row>
    <row r="128" spans="1:15" ht="69" hidden="1">
      <c r="A128" s="141" t="s">
        <v>243</v>
      </c>
      <c r="B128" s="150" t="s">
        <v>244</v>
      </c>
      <c r="C128" s="130"/>
      <c r="D128" s="130"/>
      <c r="E128" s="131" t="e">
        <f t="shared" si="10"/>
        <v>#DIV/0!</v>
      </c>
      <c r="F128" s="132"/>
      <c r="G128" s="132"/>
      <c r="H128" s="133" t="e">
        <f>G128/F128*100</f>
        <v>#DIV/0!</v>
      </c>
      <c r="I128" s="134">
        <f t="shared" si="21"/>
        <v>0</v>
      </c>
      <c r="J128" s="135"/>
      <c r="K128" s="136">
        <f>I128-J128</f>
        <v>0</v>
      </c>
      <c r="L128" s="134">
        <f t="shared" si="18"/>
        <v>0</v>
      </c>
      <c r="M128" s="135"/>
      <c r="N128" s="136">
        <f t="shared" si="19"/>
        <v>0</v>
      </c>
      <c r="O128" s="137" t="e">
        <f t="shared" si="25"/>
        <v>#DIV/0!</v>
      </c>
    </row>
    <row r="129" spans="1:15" ht="54.75" hidden="1">
      <c r="A129" s="119" t="s">
        <v>245</v>
      </c>
      <c r="B129" s="158" t="s">
        <v>246</v>
      </c>
      <c r="C129" s="130"/>
      <c r="D129" s="130"/>
      <c r="E129" s="131" t="e">
        <f t="shared" si="10"/>
        <v>#DIV/0!</v>
      </c>
      <c r="F129" s="136"/>
      <c r="G129" s="136"/>
      <c r="H129" s="132"/>
      <c r="I129" s="134">
        <f t="shared" si="21"/>
        <v>0</v>
      </c>
      <c r="J129" s="135"/>
      <c r="K129" s="136">
        <f t="shared" si="23"/>
        <v>0</v>
      </c>
      <c r="L129" s="134">
        <f t="shared" si="18"/>
        <v>0</v>
      </c>
      <c r="M129" s="135"/>
      <c r="N129" s="136">
        <f>L129-M129</f>
        <v>0</v>
      </c>
      <c r="O129" s="137" t="e">
        <f t="shared" si="25"/>
        <v>#DIV/0!</v>
      </c>
    </row>
    <row r="130" spans="1:15" ht="27">
      <c r="A130" s="119" t="s">
        <v>245</v>
      </c>
      <c r="B130" s="158" t="s">
        <v>247</v>
      </c>
      <c r="C130" s="130">
        <v>2307.7</v>
      </c>
      <c r="D130" s="132">
        <v>1927.2</v>
      </c>
      <c r="E130" s="131">
        <f t="shared" si="10"/>
        <v>83.51172162759458</v>
      </c>
      <c r="F130" s="132"/>
      <c r="G130" s="132"/>
      <c r="H130" s="133"/>
      <c r="I130" s="134">
        <f t="shared" si="21"/>
        <v>2307.7</v>
      </c>
      <c r="J130" s="135"/>
      <c r="K130" s="136">
        <f t="shared" si="23"/>
        <v>2307.7</v>
      </c>
      <c r="L130" s="134">
        <f t="shared" si="18"/>
        <v>1927.2</v>
      </c>
      <c r="M130" s="135"/>
      <c r="N130" s="136">
        <f t="shared" si="19"/>
        <v>1927.2</v>
      </c>
      <c r="O130" s="137">
        <f t="shared" si="25"/>
        <v>83.51172162759458</v>
      </c>
    </row>
    <row r="131" spans="1:15" ht="13.5">
      <c r="A131" s="123">
        <v>10</v>
      </c>
      <c r="B131" s="124" t="s">
        <v>248</v>
      </c>
      <c r="C131" s="125">
        <f>SUM(C132:C141)</f>
        <v>157022.9</v>
      </c>
      <c r="D131" s="125">
        <f>SUM(D132:D141)</f>
        <v>91723.69999999998</v>
      </c>
      <c r="E131" s="125">
        <f>D131/C131*100</f>
        <v>58.414218563024875</v>
      </c>
      <c r="F131" s="125">
        <f>SUM(F132:F141)</f>
        <v>750</v>
      </c>
      <c r="G131" s="125">
        <f>SUM(G132:G141)</f>
        <v>540</v>
      </c>
      <c r="H131" s="126">
        <f>G131/F131*100</f>
        <v>72</v>
      </c>
      <c r="I131" s="125">
        <f>SUM(I132:I141)</f>
        <v>157772.9</v>
      </c>
      <c r="J131" s="125">
        <f>SUM(J132:J141)</f>
        <v>0</v>
      </c>
      <c r="K131" s="125">
        <f>SUM(K132:K141)</f>
        <v>157772.9</v>
      </c>
      <c r="L131" s="125">
        <f>SUM(L132:L141)</f>
        <v>92263.69999999998</v>
      </c>
      <c r="M131" s="125">
        <f>SUM(M132:M141)</f>
        <v>0</v>
      </c>
      <c r="N131" s="125">
        <f>SUM(N132:N141)</f>
        <v>92263.69999999998</v>
      </c>
      <c r="O131" s="127">
        <f t="shared" si="25"/>
        <v>58.4788008587026</v>
      </c>
    </row>
    <row r="132" spans="1:15" ht="13.5">
      <c r="A132" s="119">
        <v>1001</v>
      </c>
      <c r="B132" s="129" t="s">
        <v>249</v>
      </c>
      <c r="C132" s="130">
        <v>4925.5</v>
      </c>
      <c r="D132" s="130">
        <v>3500.4</v>
      </c>
      <c r="E132" s="131">
        <f t="shared" si="10"/>
        <v>71.06689676175007</v>
      </c>
      <c r="F132" s="132">
        <v>750</v>
      </c>
      <c r="G132" s="132">
        <v>540</v>
      </c>
      <c r="H132" s="133">
        <f>G132/F132*100</f>
        <v>72</v>
      </c>
      <c r="I132" s="134">
        <f t="shared" si="21"/>
        <v>5675.5</v>
      </c>
      <c r="J132" s="135"/>
      <c r="K132" s="136">
        <f t="shared" si="23"/>
        <v>5675.5</v>
      </c>
      <c r="L132" s="134">
        <f t="shared" si="18"/>
        <v>4040.4</v>
      </c>
      <c r="M132" s="135"/>
      <c r="N132" s="136">
        <f t="shared" si="19"/>
        <v>4040.4</v>
      </c>
      <c r="O132" s="137">
        <f t="shared" si="25"/>
        <v>71.19020350629901</v>
      </c>
    </row>
    <row r="133" spans="1:15" ht="60" customHeight="1">
      <c r="A133" s="119">
        <v>1003</v>
      </c>
      <c r="B133" s="158" t="s">
        <v>250</v>
      </c>
      <c r="C133" s="130">
        <v>3091</v>
      </c>
      <c r="D133" s="130"/>
      <c r="E133" s="131">
        <f t="shared" si="10"/>
        <v>0</v>
      </c>
      <c r="F133" s="132">
        <v>0</v>
      </c>
      <c r="G133" s="132">
        <v>0</v>
      </c>
      <c r="H133" s="133"/>
      <c r="I133" s="134">
        <f t="shared" si="21"/>
        <v>3091</v>
      </c>
      <c r="J133" s="135"/>
      <c r="K133" s="136">
        <f t="shared" si="23"/>
        <v>3091</v>
      </c>
      <c r="L133" s="134">
        <f t="shared" si="18"/>
        <v>0</v>
      </c>
      <c r="M133" s="135"/>
      <c r="N133" s="136">
        <f t="shared" si="19"/>
        <v>0</v>
      </c>
      <c r="O133" s="137">
        <f t="shared" si="25"/>
        <v>0</v>
      </c>
    </row>
    <row r="134" spans="1:15" ht="42" customHeight="1" hidden="1">
      <c r="A134" s="119" t="s">
        <v>251</v>
      </c>
      <c r="B134" s="158" t="s">
        <v>252</v>
      </c>
      <c r="C134" s="130"/>
      <c r="D134" s="130"/>
      <c r="E134" s="131" t="e">
        <f t="shared" si="10"/>
        <v>#DIV/0!</v>
      </c>
      <c r="F134" s="132"/>
      <c r="G134" s="132"/>
      <c r="H134" s="133"/>
      <c r="I134" s="134">
        <f t="shared" si="21"/>
        <v>0</v>
      </c>
      <c r="J134" s="135"/>
      <c r="K134" s="136">
        <f t="shared" si="23"/>
        <v>0</v>
      </c>
      <c r="L134" s="134">
        <f t="shared" si="18"/>
        <v>0</v>
      </c>
      <c r="M134" s="135"/>
      <c r="N134" s="136">
        <f t="shared" si="19"/>
        <v>0</v>
      </c>
      <c r="O134" s="137" t="e">
        <f t="shared" si="25"/>
        <v>#DIV/0!</v>
      </c>
    </row>
    <row r="135" spans="1:15" ht="54.75" hidden="1">
      <c r="A135" s="119" t="s">
        <v>251</v>
      </c>
      <c r="B135" s="129" t="s">
        <v>253</v>
      </c>
      <c r="C135" s="130"/>
      <c r="D135" s="130"/>
      <c r="E135" s="131"/>
      <c r="F135" s="132"/>
      <c r="G135" s="132"/>
      <c r="H135" s="133"/>
      <c r="I135" s="134">
        <f t="shared" si="21"/>
        <v>0</v>
      </c>
      <c r="J135" s="135"/>
      <c r="K135" s="136">
        <f t="shared" si="23"/>
        <v>0</v>
      </c>
      <c r="L135" s="134">
        <f t="shared" si="18"/>
        <v>0</v>
      </c>
      <c r="M135" s="135"/>
      <c r="N135" s="136">
        <f t="shared" si="19"/>
        <v>0</v>
      </c>
      <c r="O135" s="137"/>
    </row>
    <row r="136" spans="1:15" ht="60" customHeight="1">
      <c r="A136" s="145">
        <v>1004</v>
      </c>
      <c r="B136" s="129" t="s">
        <v>254</v>
      </c>
      <c r="C136" s="130">
        <v>12951</v>
      </c>
      <c r="D136" s="130">
        <v>8456.9</v>
      </c>
      <c r="E136" s="131">
        <f t="shared" si="10"/>
        <v>65.29920469461817</v>
      </c>
      <c r="F136" s="132">
        <v>0</v>
      </c>
      <c r="G136" s="132">
        <v>0</v>
      </c>
      <c r="H136" s="133"/>
      <c r="I136" s="134">
        <f t="shared" si="21"/>
        <v>12951</v>
      </c>
      <c r="J136" s="135"/>
      <c r="K136" s="136">
        <f t="shared" si="23"/>
        <v>12951</v>
      </c>
      <c r="L136" s="134">
        <f t="shared" si="18"/>
        <v>8456.9</v>
      </c>
      <c r="M136" s="135"/>
      <c r="N136" s="136">
        <f t="shared" si="19"/>
        <v>8456.9</v>
      </c>
      <c r="O136" s="137">
        <f t="shared" si="25"/>
        <v>65.29920469461817</v>
      </c>
    </row>
    <row r="137" spans="1:15" ht="111" customHeight="1">
      <c r="A137" s="119">
        <v>1004</v>
      </c>
      <c r="B137" s="129" t="s">
        <v>255</v>
      </c>
      <c r="C137" s="130">
        <v>75070.8</v>
      </c>
      <c r="D137" s="130">
        <v>47519.6</v>
      </c>
      <c r="E137" s="131">
        <f aca="true" t="shared" si="27" ref="E137:E154">D137/C137*100</f>
        <v>63.29971173878525</v>
      </c>
      <c r="F137" s="132">
        <v>0</v>
      </c>
      <c r="G137" s="132">
        <v>0</v>
      </c>
      <c r="H137" s="133"/>
      <c r="I137" s="134">
        <f t="shared" si="21"/>
        <v>75070.8</v>
      </c>
      <c r="J137" s="135"/>
      <c r="K137" s="136">
        <f t="shared" si="23"/>
        <v>75070.8</v>
      </c>
      <c r="L137" s="134">
        <f t="shared" si="18"/>
        <v>47519.6</v>
      </c>
      <c r="M137" s="135"/>
      <c r="N137" s="136">
        <f t="shared" si="19"/>
        <v>47519.6</v>
      </c>
      <c r="O137" s="137">
        <f t="shared" si="25"/>
        <v>63.29971173878525</v>
      </c>
    </row>
    <row r="138" spans="1:15" ht="123" customHeight="1">
      <c r="A138" s="119" t="s">
        <v>256</v>
      </c>
      <c r="B138" s="129" t="s">
        <v>257</v>
      </c>
      <c r="C138" s="130">
        <v>40354.4</v>
      </c>
      <c r="D138" s="130">
        <v>19162.5</v>
      </c>
      <c r="E138" s="131">
        <f>D138/C138*100</f>
        <v>47.48552821997106</v>
      </c>
      <c r="F138" s="132">
        <v>0</v>
      </c>
      <c r="G138" s="132">
        <v>0</v>
      </c>
      <c r="H138" s="133"/>
      <c r="I138" s="134">
        <f t="shared" si="21"/>
        <v>40354.4</v>
      </c>
      <c r="J138" s="135"/>
      <c r="K138" s="136">
        <f t="shared" si="23"/>
        <v>40354.4</v>
      </c>
      <c r="L138" s="134">
        <f t="shared" si="18"/>
        <v>19162.5</v>
      </c>
      <c r="M138" s="135"/>
      <c r="N138" s="136">
        <f t="shared" si="19"/>
        <v>19162.5</v>
      </c>
      <c r="O138" s="137">
        <f>N138/K138*100</f>
        <v>47.48552821997106</v>
      </c>
    </row>
    <row r="139" spans="1:15" ht="27">
      <c r="A139" s="119" t="s">
        <v>256</v>
      </c>
      <c r="B139" s="129" t="s">
        <v>258</v>
      </c>
      <c r="C139" s="130">
        <v>2158.9</v>
      </c>
      <c r="D139" s="130">
        <v>1442.4</v>
      </c>
      <c r="E139" s="131">
        <f>D139/C139*100</f>
        <v>66.81180230673029</v>
      </c>
      <c r="F139" s="132"/>
      <c r="G139" s="132"/>
      <c r="H139" s="133"/>
      <c r="I139" s="134">
        <f t="shared" si="21"/>
        <v>2158.9</v>
      </c>
      <c r="J139" s="135"/>
      <c r="K139" s="136">
        <f t="shared" si="23"/>
        <v>2158.9</v>
      </c>
      <c r="L139" s="134">
        <f t="shared" si="18"/>
        <v>1442.4</v>
      </c>
      <c r="M139" s="135"/>
      <c r="N139" s="136">
        <f t="shared" si="19"/>
        <v>1442.4</v>
      </c>
      <c r="O139" s="137">
        <f>N139/K139*100</f>
        <v>66.81180230673029</v>
      </c>
    </row>
    <row r="140" spans="1:15" ht="69" hidden="1">
      <c r="A140" s="119" t="s">
        <v>259</v>
      </c>
      <c r="B140" s="129" t="s">
        <v>260</v>
      </c>
      <c r="C140" s="130"/>
      <c r="D140" s="130"/>
      <c r="E140" s="131"/>
      <c r="F140" s="132"/>
      <c r="G140" s="132"/>
      <c r="H140" s="133" t="e">
        <f>G140/F140*100</f>
        <v>#DIV/0!</v>
      </c>
      <c r="I140" s="134">
        <f t="shared" si="21"/>
        <v>0</v>
      </c>
      <c r="J140" s="135"/>
      <c r="K140" s="136">
        <f t="shared" si="23"/>
        <v>0</v>
      </c>
      <c r="L140" s="134">
        <f t="shared" si="18"/>
        <v>0</v>
      </c>
      <c r="M140" s="135"/>
      <c r="N140" s="136">
        <f t="shared" si="19"/>
        <v>0</v>
      </c>
      <c r="O140" s="137" t="e">
        <f>N140/K140*100</f>
        <v>#DIV/0!</v>
      </c>
    </row>
    <row r="141" spans="1:15" ht="19.5" customHeight="1">
      <c r="A141" s="119">
        <v>1006</v>
      </c>
      <c r="B141" s="129" t="s">
        <v>261</v>
      </c>
      <c r="C141" s="130">
        <v>18471.3</v>
      </c>
      <c r="D141" s="130">
        <v>11641.9</v>
      </c>
      <c r="E141" s="131">
        <f t="shared" si="27"/>
        <v>63.02696615831046</v>
      </c>
      <c r="F141" s="132">
        <v>0</v>
      </c>
      <c r="G141" s="132">
        <v>0</v>
      </c>
      <c r="H141" s="133"/>
      <c r="I141" s="134">
        <f t="shared" si="21"/>
        <v>18471.3</v>
      </c>
      <c r="J141" s="135"/>
      <c r="K141" s="136">
        <f t="shared" si="23"/>
        <v>18471.3</v>
      </c>
      <c r="L141" s="134">
        <f t="shared" si="18"/>
        <v>11641.9</v>
      </c>
      <c r="M141" s="135"/>
      <c r="N141" s="136">
        <f t="shared" si="19"/>
        <v>11641.9</v>
      </c>
      <c r="O141" s="137">
        <f t="shared" si="25"/>
        <v>63.02696615831046</v>
      </c>
    </row>
    <row r="142" spans="1:15" ht="13.5">
      <c r="A142" s="161">
        <v>1100</v>
      </c>
      <c r="B142" s="124" t="s">
        <v>262</v>
      </c>
      <c r="C142" s="125">
        <f>SUM(C143:C145)</f>
        <v>125065.9</v>
      </c>
      <c r="D142" s="125">
        <f>SUM(D143:D145)</f>
        <v>98287.29999999999</v>
      </c>
      <c r="E142" s="125">
        <f>D142/C142*100</f>
        <v>78.5884081912016</v>
      </c>
      <c r="F142" s="148">
        <f>F143+F144</f>
        <v>44452</v>
      </c>
      <c r="G142" s="148">
        <f>G143+G144</f>
        <v>20366.1</v>
      </c>
      <c r="H142" s="126">
        <f>G142/F142*100</f>
        <v>45.81593629083056</v>
      </c>
      <c r="I142" s="148">
        <f aca="true" t="shared" si="28" ref="I142:N142">I143+I144+I145</f>
        <v>169517.9</v>
      </c>
      <c r="J142" s="148">
        <f t="shared" si="28"/>
        <v>255</v>
      </c>
      <c r="K142" s="148">
        <f t="shared" si="28"/>
        <v>169262.9</v>
      </c>
      <c r="L142" s="148">
        <f t="shared" si="28"/>
        <v>118653.4</v>
      </c>
      <c r="M142" s="148">
        <f t="shared" si="28"/>
        <v>225</v>
      </c>
      <c r="N142" s="148">
        <f t="shared" si="28"/>
        <v>118428.4</v>
      </c>
      <c r="O142" s="127">
        <f t="shared" si="25"/>
        <v>69.9671339673372</v>
      </c>
    </row>
    <row r="143" spans="1:15" ht="13.5">
      <c r="A143" s="119">
        <v>1101</v>
      </c>
      <c r="B143" s="129" t="s">
        <v>263</v>
      </c>
      <c r="C143" s="130">
        <v>124267</v>
      </c>
      <c r="D143" s="130">
        <v>97643.4</v>
      </c>
      <c r="E143" s="131">
        <f t="shared" si="27"/>
        <v>78.57548665373751</v>
      </c>
      <c r="F143" s="132">
        <v>44452</v>
      </c>
      <c r="G143" s="132">
        <v>20366.1</v>
      </c>
      <c r="H143" s="133">
        <f>G143/F143*100</f>
        <v>45.81593629083056</v>
      </c>
      <c r="I143" s="134">
        <f t="shared" si="21"/>
        <v>168719</v>
      </c>
      <c r="J143" s="135">
        <v>255</v>
      </c>
      <c r="K143" s="136">
        <f>I143-J143</f>
        <v>168464</v>
      </c>
      <c r="L143" s="134">
        <f t="shared" si="18"/>
        <v>118009.5</v>
      </c>
      <c r="M143" s="135">
        <v>225</v>
      </c>
      <c r="N143" s="136">
        <f t="shared" si="19"/>
        <v>117784.5</v>
      </c>
      <c r="O143" s="137">
        <f t="shared" si="25"/>
        <v>69.91671811188147</v>
      </c>
    </row>
    <row r="144" spans="1:15" ht="13.5">
      <c r="A144" s="119">
        <v>1102</v>
      </c>
      <c r="B144" s="129" t="s">
        <v>264</v>
      </c>
      <c r="C144" s="130">
        <v>165</v>
      </c>
      <c r="D144" s="130">
        <v>10</v>
      </c>
      <c r="E144" s="131">
        <f t="shared" si="27"/>
        <v>6.0606060606060606</v>
      </c>
      <c r="F144" s="132"/>
      <c r="G144" s="132">
        <v>0</v>
      </c>
      <c r="H144" s="133"/>
      <c r="I144" s="134">
        <f t="shared" si="21"/>
        <v>165</v>
      </c>
      <c r="J144" s="135"/>
      <c r="K144" s="136">
        <f t="shared" si="23"/>
        <v>165</v>
      </c>
      <c r="L144" s="134">
        <f t="shared" si="18"/>
        <v>10</v>
      </c>
      <c r="M144" s="135"/>
      <c r="N144" s="136">
        <f t="shared" si="19"/>
        <v>10</v>
      </c>
      <c r="O144" s="137">
        <f t="shared" si="25"/>
        <v>6.0606060606060606</v>
      </c>
    </row>
    <row r="145" spans="1:15" ht="13.5">
      <c r="A145" s="119" t="s">
        <v>265</v>
      </c>
      <c r="B145" s="129" t="s">
        <v>266</v>
      </c>
      <c r="C145" s="130">
        <v>633.9</v>
      </c>
      <c r="D145" s="130">
        <v>633.9</v>
      </c>
      <c r="E145" s="131">
        <f t="shared" si="27"/>
        <v>100</v>
      </c>
      <c r="F145" s="132"/>
      <c r="G145" s="132"/>
      <c r="H145" s="133"/>
      <c r="I145" s="134">
        <f t="shared" si="21"/>
        <v>633.9</v>
      </c>
      <c r="J145" s="135"/>
      <c r="K145" s="136">
        <f t="shared" si="23"/>
        <v>633.9</v>
      </c>
      <c r="L145" s="134">
        <f t="shared" si="18"/>
        <v>633.9</v>
      </c>
      <c r="M145" s="135"/>
      <c r="N145" s="136">
        <f t="shared" si="19"/>
        <v>633.9</v>
      </c>
      <c r="O145" s="137">
        <f t="shared" si="25"/>
        <v>100</v>
      </c>
    </row>
    <row r="146" spans="1:15" ht="13.5">
      <c r="A146" s="161">
        <v>1200</v>
      </c>
      <c r="B146" s="124" t="s">
        <v>267</v>
      </c>
      <c r="C146" s="125">
        <f>SUM(C147:C148)</f>
        <v>40356.8</v>
      </c>
      <c r="D146" s="125">
        <f>SUM(D147:D148)</f>
        <v>8829.8</v>
      </c>
      <c r="E146" s="139">
        <f>D146/C146*100</f>
        <v>21.87933632002537</v>
      </c>
      <c r="F146" s="125"/>
      <c r="G146" s="125"/>
      <c r="H146" s="126"/>
      <c r="I146" s="125">
        <f aca="true" t="shared" si="29" ref="I146:N146">I147</f>
        <v>14762.4</v>
      </c>
      <c r="J146" s="125">
        <f>J147+J148</f>
        <v>25594.4</v>
      </c>
      <c r="K146" s="125">
        <f>K147</f>
        <v>14762.4</v>
      </c>
      <c r="L146" s="125">
        <f t="shared" si="29"/>
        <v>8829.8</v>
      </c>
      <c r="M146" s="125">
        <f t="shared" si="29"/>
        <v>0</v>
      </c>
      <c r="N146" s="125">
        <f t="shared" si="29"/>
        <v>8829.8</v>
      </c>
      <c r="O146" s="140">
        <f t="shared" si="25"/>
        <v>59.81276757166856</v>
      </c>
    </row>
    <row r="147" spans="1:15" ht="13.5">
      <c r="A147" s="119" t="s">
        <v>268</v>
      </c>
      <c r="B147" s="129" t="s">
        <v>269</v>
      </c>
      <c r="C147" s="130">
        <v>14762.4</v>
      </c>
      <c r="D147" s="130">
        <v>8829.8</v>
      </c>
      <c r="E147" s="131">
        <f>D147/C147*100</f>
        <v>59.81276757166856</v>
      </c>
      <c r="F147" s="132"/>
      <c r="G147" s="132"/>
      <c r="H147" s="133"/>
      <c r="I147" s="134">
        <f>C147+F147</f>
        <v>14762.4</v>
      </c>
      <c r="J147" s="135">
        <v>0</v>
      </c>
      <c r="K147" s="136">
        <f>I147-J147</f>
        <v>14762.4</v>
      </c>
      <c r="L147" s="134">
        <f t="shared" si="18"/>
        <v>8829.8</v>
      </c>
      <c r="M147" s="135"/>
      <c r="N147" s="136">
        <f t="shared" si="19"/>
        <v>8829.8</v>
      </c>
      <c r="O147" s="137">
        <f>N147/K147*100</f>
        <v>59.81276757166856</v>
      </c>
    </row>
    <row r="148" spans="1:15" ht="27">
      <c r="A148" s="119" t="s">
        <v>270</v>
      </c>
      <c r="B148" s="129" t="s">
        <v>271</v>
      </c>
      <c r="C148" s="130">
        <v>25594.4</v>
      </c>
      <c r="D148" s="130"/>
      <c r="E148" s="131">
        <f>D148/C148*100</f>
        <v>0</v>
      </c>
      <c r="F148" s="132"/>
      <c r="G148" s="132"/>
      <c r="H148" s="133"/>
      <c r="I148" s="134">
        <f>C148+F148</f>
        <v>25594.4</v>
      </c>
      <c r="J148" s="135">
        <v>25594.4</v>
      </c>
      <c r="K148" s="136"/>
      <c r="L148" s="134"/>
      <c r="M148" s="135"/>
      <c r="N148" s="136">
        <f t="shared" si="19"/>
        <v>0</v>
      </c>
      <c r="O148" s="137" t="e">
        <f>N148/K148*100</f>
        <v>#DIV/0!</v>
      </c>
    </row>
    <row r="149" spans="1:15" ht="27">
      <c r="A149" s="161">
        <v>1300</v>
      </c>
      <c r="B149" s="124" t="s">
        <v>272</v>
      </c>
      <c r="C149" s="125">
        <f aca="true" t="shared" si="30" ref="C149:N149">C150</f>
        <v>23.8</v>
      </c>
      <c r="D149" s="125">
        <f t="shared" si="30"/>
        <v>7.8</v>
      </c>
      <c r="E149" s="125">
        <f t="shared" si="30"/>
        <v>32.773109243697476</v>
      </c>
      <c r="F149" s="125">
        <f t="shared" si="30"/>
        <v>0</v>
      </c>
      <c r="G149" s="125">
        <f t="shared" si="30"/>
        <v>0</v>
      </c>
      <c r="H149" s="139">
        <f t="shared" si="30"/>
        <v>0</v>
      </c>
      <c r="I149" s="125">
        <f t="shared" si="30"/>
        <v>23.8</v>
      </c>
      <c r="J149" s="125">
        <f t="shared" si="30"/>
        <v>0</v>
      </c>
      <c r="K149" s="125">
        <f t="shared" si="30"/>
        <v>23.8</v>
      </c>
      <c r="L149" s="125">
        <f t="shared" si="30"/>
        <v>7.8</v>
      </c>
      <c r="M149" s="125">
        <f t="shared" si="30"/>
        <v>0</v>
      </c>
      <c r="N149" s="125">
        <f t="shared" si="30"/>
        <v>7.8</v>
      </c>
      <c r="O149" s="140">
        <f t="shared" si="25"/>
        <v>32.773109243697476</v>
      </c>
    </row>
    <row r="150" spans="1:15" ht="27">
      <c r="A150" s="119">
        <v>1301</v>
      </c>
      <c r="B150" s="129" t="s">
        <v>273</v>
      </c>
      <c r="C150" s="130">
        <v>23.8</v>
      </c>
      <c r="D150" s="130">
        <v>7.8</v>
      </c>
      <c r="E150" s="131">
        <f t="shared" si="27"/>
        <v>32.773109243697476</v>
      </c>
      <c r="F150" s="132"/>
      <c r="G150" s="132">
        <v>0</v>
      </c>
      <c r="H150" s="133">
        <v>0</v>
      </c>
      <c r="I150" s="134">
        <f t="shared" si="21"/>
        <v>23.8</v>
      </c>
      <c r="J150" s="135"/>
      <c r="K150" s="136">
        <f t="shared" si="23"/>
        <v>23.8</v>
      </c>
      <c r="L150" s="134">
        <f t="shared" si="18"/>
        <v>7.8</v>
      </c>
      <c r="M150" s="167"/>
      <c r="N150" s="136">
        <f t="shared" si="19"/>
        <v>7.8</v>
      </c>
      <c r="O150" s="137">
        <f t="shared" si="25"/>
        <v>32.773109243697476</v>
      </c>
    </row>
    <row r="151" spans="1:15" ht="13.5">
      <c r="A151" s="161">
        <v>1400</v>
      </c>
      <c r="B151" s="124" t="s">
        <v>274</v>
      </c>
      <c r="C151" s="125">
        <f>SUM(C152:C154)</f>
        <v>349151.4</v>
      </c>
      <c r="D151" s="125">
        <f>SUM(D152:D154)</f>
        <v>285846.1</v>
      </c>
      <c r="E151" s="125">
        <f>D151/C151*100</f>
        <v>81.8688110659158</v>
      </c>
      <c r="F151" s="148">
        <f>F152+F153+F154</f>
        <v>0</v>
      </c>
      <c r="G151" s="148">
        <f>SUM(G152:G154)</f>
        <v>0</v>
      </c>
      <c r="H151" s="148"/>
      <c r="I151" s="148">
        <f aca="true" t="shared" si="31" ref="I151:N151">I152+I153+I154</f>
        <v>349151.4</v>
      </c>
      <c r="J151" s="148">
        <f t="shared" si="31"/>
        <v>349151.4</v>
      </c>
      <c r="K151" s="148">
        <f t="shared" si="31"/>
        <v>0</v>
      </c>
      <c r="L151" s="148">
        <f t="shared" si="31"/>
        <v>285846.1</v>
      </c>
      <c r="M151" s="148">
        <f t="shared" si="31"/>
        <v>285846.1</v>
      </c>
      <c r="N151" s="148">
        <f t="shared" si="31"/>
        <v>0</v>
      </c>
      <c r="O151" s="127">
        <v>0</v>
      </c>
    </row>
    <row r="152" spans="1:15" ht="27">
      <c r="A152" s="119">
        <v>1401</v>
      </c>
      <c r="B152" s="129" t="s">
        <v>275</v>
      </c>
      <c r="C152" s="130">
        <v>149882.1</v>
      </c>
      <c r="D152" s="130">
        <v>119905.5</v>
      </c>
      <c r="E152" s="131">
        <f t="shared" si="27"/>
        <v>79.99987990560581</v>
      </c>
      <c r="F152" s="132">
        <v>0</v>
      </c>
      <c r="G152" s="132">
        <v>0</v>
      </c>
      <c r="H152" s="133">
        <v>0</v>
      </c>
      <c r="I152" s="134">
        <f t="shared" si="21"/>
        <v>149882.1</v>
      </c>
      <c r="J152" s="135">
        <v>149882.1</v>
      </c>
      <c r="K152" s="136">
        <f>I152-J152</f>
        <v>0</v>
      </c>
      <c r="L152" s="134">
        <f t="shared" si="18"/>
        <v>119905.5</v>
      </c>
      <c r="M152" s="167">
        <v>119905.5</v>
      </c>
      <c r="N152" s="136">
        <f t="shared" si="19"/>
        <v>0</v>
      </c>
      <c r="O152" s="137">
        <v>0</v>
      </c>
    </row>
    <row r="153" spans="1:15" ht="13.5" hidden="1">
      <c r="A153" s="119">
        <v>1402</v>
      </c>
      <c r="B153" s="129" t="s">
        <v>276</v>
      </c>
      <c r="C153" s="130"/>
      <c r="D153" s="130"/>
      <c r="E153" s="131" t="e">
        <f t="shared" si="27"/>
        <v>#DIV/0!</v>
      </c>
      <c r="F153" s="132">
        <v>0</v>
      </c>
      <c r="G153" s="132">
        <v>0</v>
      </c>
      <c r="H153" s="133">
        <v>0</v>
      </c>
      <c r="I153" s="134">
        <f t="shared" si="21"/>
        <v>0</v>
      </c>
      <c r="J153" s="135"/>
      <c r="K153" s="136">
        <f t="shared" si="23"/>
        <v>0</v>
      </c>
      <c r="L153" s="134">
        <f t="shared" si="18"/>
        <v>0</v>
      </c>
      <c r="M153" s="167"/>
      <c r="N153" s="136">
        <f t="shared" si="19"/>
        <v>0</v>
      </c>
      <c r="O153" s="137">
        <v>0</v>
      </c>
    </row>
    <row r="154" spans="1:15" ht="13.5">
      <c r="A154" s="119">
        <v>1403</v>
      </c>
      <c r="B154" s="129" t="s">
        <v>277</v>
      </c>
      <c r="C154" s="130">
        <v>199269.3</v>
      </c>
      <c r="D154" s="130">
        <v>165940.6</v>
      </c>
      <c r="E154" s="131">
        <f t="shared" si="27"/>
        <v>83.27454354484108</v>
      </c>
      <c r="F154" s="132">
        <v>0</v>
      </c>
      <c r="G154" s="132">
        <v>0</v>
      </c>
      <c r="H154" s="133">
        <v>0</v>
      </c>
      <c r="I154" s="134">
        <f t="shared" si="21"/>
        <v>199269.3</v>
      </c>
      <c r="J154" s="135">
        <v>199269.3</v>
      </c>
      <c r="K154" s="136">
        <f t="shared" si="23"/>
        <v>0</v>
      </c>
      <c r="L154" s="134">
        <f t="shared" si="18"/>
        <v>165940.6</v>
      </c>
      <c r="M154" s="135">
        <v>165940.6</v>
      </c>
      <c r="N154" s="136">
        <f t="shared" si="19"/>
        <v>0</v>
      </c>
      <c r="O154" s="137">
        <v>0</v>
      </c>
    </row>
    <row r="155" spans="1:15" ht="14.25" thickBot="1">
      <c r="A155" s="168" t="s">
        <v>278</v>
      </c>
      <c r="B155" s="169"/>
      <c r="C155" s="170">
        <f>C10+C19+C21+C26+C59+C109+C111+C122+C127+C131+C142+C146+C149+C151</f>
        <v>4778899.2</v>
      </c>
      <c r="D155" s="170">
        <f>D151+D149+D146+D142+D131+D127+D122+D111+D109+D59+D26+D21+D19+D10</f>
        <v>3133807.5</v>
      </c>
      <c r="E155" s="170">
        <f>D155/C155*100</f>
        <v>65.5759280296182</v>
      </c>
      <c r="F155" s="170">
        <f>F10+F19+F21+F26+F59+F109+F111+F122+F127+F131+F142+F146+F149+F151</f>
        <v>794570</v>
      </c>
      <c r="G155" s="170">
        <f>G10+G19+G21+G26+G59+G109+G111+G122+G127+G131+G142+G146+G149+G151</f>
        <v>530631.9</v>
      </c>
      <c r="H155" s="171">
        <f>G155/F155*100</f>
        <v>66.78227217236996</v>
      </c>
      <c r="I155" s="170"/>
      <c r="J155" s="170">
        <f>J10+J19+J21+J26+J59+J109+J111+J122+J127+J131+J142+J146+J149+J151</f>
        <v>560110.1</v>
      </c>
      <c r="K155" s="170">
        <f>K151+K149+K146+K142+K131+K127+K122+K111+K109+K59+K26+K21+K19+K10</f>
        <v>5013359.100000001</v>
      </c>
      <c r="L155" s="172"/>
      <c r="M155" s="170">
        <f>M10+M19+M21+M26+M59+M109+M111+M122+M127+M131+M142+M146+M149+M151</f>
        <v>408554.19999999995</v>
      </c>
      <c r="N155" s="170">
        <f>N151+N149+N146+N142+N131+N127+N122+N111+N109+N59+N26+N21+N19+N10</f>
        <v>3255885.2</v>
      </c>
      <c r="O155" s="173">
        <f t="shared" si="25"/>
        <v>64.9441848280926</v>
      </c>
    </row>
    <row r="156" spans="1:15" ht="12.75" hidden="1">
      <c r="A156" s="89"/>
      <c r="B156" s="90"/>
      <c r="C156" s="174"/>
      <c r="D156" s="92"/>
      <c r="E156" s="175"/>
      <c r="F156" s="94"/>
      <c r="G156" s="94"/>
      <c r="H156" s="95"/>
      <c r="I156" s="95"/>
      <c r="J156" s="95"/>
      <c r="K156" s="97"/>
      <c r="L156" s="94"/>
      <c r="M156" s="97"/>
      <c r="N156" s="97"/>
      <c r="O156" s="96"/>
    </row>
    <row r="157" spans="1:15" ht="12.75" hidden="1">
      <c r="A157" s="176"/>
      <c r="B157" s="177"/>
      <c r="C157" s="178">
        <v>4778899.2</v>
      </c>
      <c r="D157" s="178">
        <v>3133807.5</v>
      </c>
      <c r="E157" s="178"/>
      <c r="F157" s="178">
        <v>794570</v>
      </c>
      <c r="G157" s="178">
        <v>530631.9</v>
      </c>
      <c r="H157" s="178"/>
      <c r="I157" s="178"/>
      <c r="J157" s="178">
        <v>560110.1</v>
      </c>
      <c r="K157" s="179">
        <v>5013359.1</v>
      </c>
      <c r="L157" s="178"/>
      <c r="M157" s="178">
        <v>408554.2</v>
      </c>
      <c r="N157" s="178">
        <v>3255885.2</v>
      </c>
      <c r="O157" s="178"/>
    </row>
    <row r="158" spans="1:15" ht="12.75" hidden="1">
      <c r="A158" s="176"/>
      <c r="B158" s="177"/>
      <c r="C158" s="180">
        <f>C157-C155</f>
        <v>0</v>
      </c>
      <c r="D158" s="180">
        <f>D157-D155</f>
        <v>0</v>
      </c>
      <c r="E158" s="181"/>
      <c r="F158" s="180">
        <f>F155-F157</f>
        <v>0</v>
      </c>
      <c r="G158" s="182">
        <f>G155-G157</f>
        <v>0</v>
      </c>
      <c r="H158" s="182"/>
      <c r="I158" s="182"/>
      <c r="J158" s="183">
        <f>J155-J157</f>
        <v>0</v>
      </c>
      <c r="K158" s="183">
        <f>K155-K157</f>
        <v>0</v>
      </c>
      <c r="L158" s="183">
        <f>L155-L157</f>
        <v>0</v>
      </c>
      <c r="M158" s="183">
        <f>M155-M157</f>
        <v>0</v>
      </c>
      <c r="N158" s="183">
        <f>N155-N157</f>
        <v>0</v>
      </c>
      <c r="O158" s="183"/>
    </row>
    <row r="159" spans="1:15" ht="12.75">
      <c r="A159" s="184" t="s">
        <v>279</v>
      </c>
      <c r="B159" s="184"/>
      <c r="C159" s="184"/>
      <c r="D159" s="185"/>
      <c r="E159" s="186"/>
      <c r="F159" s="185"/>
      <c r="G159" s="94"/>
      <c r="H159" s="95"/>
      <c r="I159" s="95"/>
      <c r="J159" s="95"/>
      <c r="K159" s="96"/>
      <c r="L159" s="95"/>
      <c r="M159" s="96"/>
      <c r="N159" s="97"/>
      <c r="O159" s="96"/>
    </row>
    <row r="160" spans="1:15" ht="12.75">
      <c r="A160" s="184" t="s">
        <v>280</v>
      </c>
      <c r="B160" s="184"/>
      <c r="C160" s="184"/>
      <c r="D160" s="187"/>
      <c r="E160" s="188" t="s">
        <v>281</v>
      </c>
      <c r="F160" s="188"/>
      <c r="G160" s="94"/>
      <c r="H160" s="95"/>
      <c r="I160" s="95"/>
      <c r="J160" s="95"/>
      <c r="K160" s="96"/>
      <c r="L160" s="95"/>
      <c r="M160" s="96"/>
      <c r="N160" s="97"/>
      <c r="O160" s="96"/>
    </row>
    <row r="161" spans="1:15" ht="12.75">
      <c r="A161" s="189"/>
      <c r="B161" s="190"/>
      <c r="C161" s="191"/>
      <c r="D161" s="192"/>
      <c r="E161" s="193"/>
      <c r="F161" s="194"/>
      <c r="G161" s="94"/>
      <c r="H161" s="95"/>
      <c r="I161" s="95"/>
      <c r="J161" s="95"/>
      <c r="K161" s="96"/>
      <c r="L161" s="95"/>
      <c r="M161" s="96"/>
      <c r="N161" s="97"/>
      <c r="O161" s="96"/>
    </row>
    <row r="162" spans="1:15" ht="12.75">
      <c r="A162" s="184" t="s">
        <v>282</v>
      </c>
      <c r="B162" s="184"/>
      <c r="C162" s="184"/>
      <c r="D162" s="195"/>
      <c r="E162" s="188" t="s">
        <v>283</v>
      </c>
      <c r="F162" s="188"/>
      <c r="G162" s="94"/>
      <c r="H162" s="95"/>
      <c r="I162" s="95"/>
      <c r="J162" s="95"/>
      <c r="K162" s="96"/>
      <c r="L162" s="95"/>
      <c r="M162" s="96"/>
      <c r="N162" s="97"/>
      <c r="O162" s="96"/>
    </row>
    <row r="163" spans="1:15" ht="12.75">
      <c r="A163" s="189"/>
      <c r="B163" s="196"/>
      <c r="C163" s="197"/>
      <c r="D163" s="185"/>
      <c r="E163" s="193"/>
      <c r="F163" s="194"/>
      <c r="G163" s="94"/>
      <c r="H163" s="95"/>
      <c r="I163" s="95"/>
      <c r="J163" s="95"/>
      <c r="K163" s="96"/>
      <c r="L163" s="95"/>
      <c r="M163" s="96"/>
      <c r="N163" s="97"/>
      <c r="O163" s="96"/>
    </row>
    <row r="164" spans="1:15" ht="12.75">
      <c r="A164" s="184" t="s">
        <v>284</v>
      </c>
      <c r="B164" s="184"/>
      <c r="C164" s="184"/>
      <c r="D164" s="195"/>
      <c r="E164" s="188" t="s">
        <v>285</v>
      </c>
      <c r="F164" s="188"/>
      <c r="G164" s="94"/>
      <c r="H164" s="95"/>
      <c r="I164" s="95"/>
      <c r="J164" s="95"/>
      <c r="K164" s="96"/>
      <c r="L164" s="95"/>
      <c r="M164" s="96"/>
      <c r="N164" s="97"/>
      <c r="O164" s="96"/>
    </row>
    <row r="165" spans="1:15" ht="12.75">
      <c r="A165" s="198"/>
      <c r="B165" s="199"/>
      <c r="C165" s="197"/>
      <c r="D165" s="185"/>
      <c r="E165" s="186"/>
      <c r="F165" s="185"/>
      <c r="G165" s="94"/>
      <c r="H165" s="95"/>
      <c r="I165" s="95"/>
      <c r="J165" s="95"/>
      <c r="K165" s="96"/>
      <c r="L165" s="95"/>
      <c r="M165" s="96"/>
      <c r="N165" s="97" t="s">
        <v>39</v>
      </c>
      <c r="O165" s="96"/>
    </row>
    <row r="166" spans="1:14" ht="12.75">
      <c r="A166" s="200"/>
      <c r="B166" s="200"/>
      <c r="C166" s="201" t="s">
        <v>286</v>
      </c>
      <c r="D166" s="202"/>
      <c r="E166" s="203" t="s">
        <v>287</v>
      </c>
      <c r="F166" s="204"/>
      <c r="G166" s="205"/>
      <c r="K166" t="s">
        <v>288</v>
      </c>
      <c r="N166" s="205"/>
    </row>
  </sheetData>
  <sheetProtection/>
  <mergeCells count="28">
    <mergeCell ref="A159:C159"/>
    <mergeCell ref="A160:C160"/>
    <mergeCell ref="E160:F160"/>
    <mergeCell ref="A162:C162"/>
    <mergeCell ref="E162:F162"/>
    <mergeCell ref="A164:C164"/>
    <mergeCell ref="E164:F164"/>
    <mergeCell ref="L4:L5"/>
    <mergeCell ref="M4:M5"/>
    <mergeCell ref="N4:N5"/>
    <mergeCell ref="O4:O5"/>
    <mergeCell ref="B6:O8"/>
    <mergeCell ref="A155:B155"/>
    <mergeCell ref="F4:F5"/>
    <mergeCell ref="G4:G5"/>
    <mergeCell ref="H4:H5"/>
    <mergeCell ref="I4:I5"/>
    <mergeCell ref="J4:J5"/>
    <mergeCell ref="K4:K5"/>
    <mergeCell ref="A1:O1"/>
    <mergeCell ref="A3:A8"/>
    <mergeCell ref="C3:E3"/>
    <mergeCell ref="F3:H3"/>
    <mergeCell ref="I3:O3"/>
    <mergeCell ref="C4:C5"/>
    <mergeCell ref="D4:D5"/>
    <mergeCell ref="E4:E5"/>
    <mergeCell ref="B3:B5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2022-09-07T11:41:46Z</cp:lastPrinted>
  <dcterms:created xsi:type="dcterms:W3CDTF">2006-05-12T06:58:42Z</dcterms:created>
  <dcterms:modified xsi:type="dcterms:W3CDTF">2022-10-14T04:32:05Z</dcterms:modified>
  <cp:category/>
  <cp:version/>
  <cp:contentType/>
  <cp:contentStatus/>
</cp:coreProperties>
</file>