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1"/>
  </bookViews>
  <sheets>
    <sheet name="Доходы" sheetId="1" r:id="rId1"/>
    <sheet name="Расходы" sheetId="2" r:id="rId2"/>
  </sheets>
  <definedNames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<sst xmlns="http://schemas.openxmlformats.org/spreadsheetml/2006/main" count="757" uniqueCount="302">
  <si>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</si>
  <si>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</si>
  <si>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</si>
  <si>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</si>
  <si>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</si>
  <si>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</si>
  <si>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</si>
  <si>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</si>
  <si>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</si>
  <si>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</si>
  <si>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</si>
  <si>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</si>
  <si>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</si>
  <si>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</si>
  <si>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</si>
  <si>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</si>
  <si>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</si>
  <si>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</si>
  <si>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</si>
  <si>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</si>
  <si>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</si>
  <si>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</si>
  <si>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</si>
  <si>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</si>
  <si>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</si>
  <si>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</si>
  <si>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</si>
  <si>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</si>
  <si>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</si>
  <si>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</si>
  <si>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</si>
  <si>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</si>
  <si>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</si>
  <si>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</si>
  <si>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</si>
  <si>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</si>
  <si>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</si>
  <si>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</si>
  <si>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</si>
  <si>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</si>
  <si>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</si>
  <si>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</si>
  <si>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</si>
  <si>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</si>
  <si>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</si>
  <si>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112</t>
  </si>
  <si>
    <t>111</t>
  </si>
  <si>
    <t>108</t>
  </si>
  <si>
    <t>116</t>
  </si>
  <si>
    <t>202</t>
  </si>
  <si>
    <t>207</t>
  </si>
  <si>
    <t>114</t>
  </si>
  <si>
    <t>105</t>
  </si>
  <si>
    <t>106</t>
  </si>
  <si>
    <t xml:space="preserve"> -</t>
  </si>
  <si>
    <t>113</t>
  </si>
  <si>
    <t>контроль</t>
  </si>
  <si>
    <t>00011500000000000000</t>
  </si>
  <si>
    <t>Административные платежи и сборы</t>
  </si>
  <si>
    <t>=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</si>
  <si>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</si>
  <si>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</si>
  <si>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</si>
  <si>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00020200000000000000</t>
  </si>
  <si>
    <t>НАЛОГОВЫЕ И НЕНАЛОГОВЫЕ ДОХОДЫ</t>
  </si>
  <si>
    <t>(тыс.руб.)</t>
  </si>
  <si>
    <t>1 квартал</t>
  </si>
  <si>
    <t>2 квартал</t>
  </si>
  <si>
    <t>3 квартал</t>
  </si>
  <si>
    <t>4 квартал</t>
  </si>
  <si>
    <t>00021800000000000000</t>
  </si>
  <si>
    <t>00020700000000000000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</si>
  <si>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</si>
  <si>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</si>
  <si>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00010102000010000110</t>
  </si>
  <si>
    <t>Налог на доходы физических лиц</t>
  </si>
  <si>
    <t>Первонач. план на 2022 год</t>
  </si>
  <si>
    <t>Уточн. план на 2022 год</t>
  </si>
  <si>
    <t xml:space="preserve">% исп-ия к уточн. плану на 2022 год </t>
  </si>
  <si>
    <t xml:space="preserve">% исп-ия к первонач. плану на 2022 год </t>
  </si>
  <si>
    <t>00020300000000000000</t>
  </si>
  <si>
    <t xml:space="preserve">Безвозмездные поступления от государственных (муниципальных) организаций </t>
  </si>
  <si>
    <t>Отчет об исполнении консолидированного бюджета Октябрьского района по состоянию на 01.05.2022</t>
  </si>
  <si>
    <t>Исполнение на 01.05.2022</t>
  </si>
  <si>
    <t>План                 на 1 полугодие 2022 года</t>
  </si>
  <si>
    <t xml:space="preserve">% исп-ия к плану за 1 полугодие 2022 года </t>
  </si>
  <si>
    <t>Отчет  об  исполнении  консолидированного  бюджета  района  по  расходам на 1 мая 2022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</si>
  <si>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</si>
  <si>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</si>
  <si>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</si>
  <si>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</si>
  <si>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</si>
  <si>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</si>
  <si>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01.05.2022</t>
  </si>
  <si>
    <t>% исполнения</t>
  </si>
  <si>
    <r>
      <t xml:space="preserve">план                </t>
    </r>
    <r>
      <rPr>
        <b/>
        <i/>
        <sz val="12"/>
        <rFont val="Times New Roman"/>
        <family val="1"/>
      </rPr>
      <t xml:space="preserve"> итого</t>
    </r>
    <r>
      <rPr>
        <b/>
        <i/>
        <sz val="11"/>
        <rFont val="Times New Roman"/>
        <family val="1"/>
      </rPr>
      <t xml:space="preserve"> </t>
    </r>
  </si>
  <si>
    <t>суммы подлежащие исключению</t>
  </si>
  <si>
    <r>
      <t xml:space="preserve">исполнение               </t>
    </r>
    <r>
      <rPr>
        <i/>
        <sz val="12"/>
        <rFont val="Times New Roman"/>
        <family val="1"/>
      </rPr>
      <t xml:space="preserve"> итого</t>
    </r>
    <r>
      <rPr>
        <i/>
        <sz val="11"/>
        <rFont val="Times New Roman"/>
        <family val="1"/>
      </rPr>
      <t xml:space="preserve"> </t>
    </r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</si>
  <si>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</si>
  <si>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</si>
  <si>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</si>
  <si>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</si>
  <si>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</si>
  <si>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</si>
  <si>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</si>
  <si>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</si>
  <si>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</si>
  <si>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</si>
  <si>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</si>
  <si>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</si>
  <si>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</si>
  <si>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</si>
  <si>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</si>
  <si>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 xml:space="preserve">  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</si>
  <si>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</si>
  <si>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</si>
  <si>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</si>
  <si>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</si>
  <si>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</si>
  <si>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</si>
  <si>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</si>
  <si>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</si>
  <si>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</si>
  <si>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</si>
  <si>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</si>
  <si>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</si>
  <si>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</si>
  <si>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</si>
  <si>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</si>
  <si>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</si>
  <si>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</si>
  <si>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</si>
  <si>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</si>
  <si>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</si>
  <si>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</si>
  <si>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</si>
  <si>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</si>
  <si>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</si>
  <si>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</si>
  <si>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</si>
  <si>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(1140199990 - район, 4030099990, 4110089020, ****99990 -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</si>
  <si>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</si>
  <si>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</si>
  <si>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район" (11101S2390)</t>
  </si>
  <si>
    <t>Муниципальная  программа" Развитие транспортной  системы муниципального  образования Октябрьский  район"  (1110182390) окружные средства</t>
  </si>
  <si>
    <t>Содержание автомобильных дорог общего пользования (1110199990)  (дорожный фонд)</t>
  </si>
  <si>
    <r>
      <t>Основное мероприятие "Выполнение работ по содержанию автомобильных дорог общего пользования местного  значения, внутриквартальных автомобильных дорог, тротуаров в  городском поселении Приобье". (</t>
    </r>
    <r>
      <rPr>
        <sz val="11"/>
        <rFont val="Times New Roman"/>
        <family val="1"/>
      </rPr>
      <t>2560189111</t>
    </r>
    <r>
      <rPr>
        <sz val="11"/>
        <color indexed="8"/>
        <rFont val="Times New Roman"/>
        <family val="1"/>
      </rPr>
      <t xml:space="preserve">,2560199990, </t>
    </r>
    <r>
      <rPr>
        <sz val="11"/>
        <rFont val="Times New Roman"/>
        <family val="1"/>
      </rPr>
      <t>2560189112</t>
    </r>
    <r>
      <rPr>
        <sz val="11"/>
        <color indexed="8"/>
        <rFont val="Times New Roman"/>
        <family val="1"/>
      </rPr>
      <t xml:space="preserve">, </t>
    </r>
    <r>
      <rPr>
        <sz val="11"/>
        <rFont val="Times New Roman"/>
        <family val="1"/>
      </rPr>
      <t>2570199990</t>
    </r>
    <r>
      <rPr>
        <sz val="11"/>
        <color indexed="8"/>
        <rFont val="Times New Roman"/>
        <family val="1"/>
      </rPr>
      <t>)</t>
    </r>
  </si>
  <si>
    <t>Основное мероприятие "Капитальный ремонт и ремонт автомобильных дорог местного значения городского поселения Талинка". (0300189111, 0300289112, 0300199990, 0300399990)</t>
  </si>
  <si>
    <t>Основное мероприятие "Содержание автомобильных дорог" (0400299990)</t>
  </si>
  <si>
    <r>
      <t>Основное мероприятие "Реализация мероприятий в рамках дорожной деятельности" (</t>
    </r>
    <r>
      <rPr>
        <sz val="11"/>
        <rFont val="Times New Roman"/>
        <family val="1"/>
      </rPr>
      <t>1110189111, 1110189112</t>
    </r>
    <r>
      <rPr>
        <sz val="11"/>
        <color indexed="8"/>
        <rFont val="Times New Roman"/>
        <family val="1"/>
      </rPr>
      <t>, 1110189113, 1500289152)(0110189111, 0110189112, , 4030089112 поселения)</t>
    </r>
  </si>
  <si>
    <t xml:space="preserve"> (0100199990, 0100189111, 0100489112, 0100189113, ,0100189152, 4030089111,0100190105, 0100189112)</t>
  </si>
  <si>
    <t>Основное мероприятие "Проведение диагностики автомобильных дорог" ( 0100490106)</t>
  </si>
  <si>
    <t>Основное мероприятие "Содержание автомобильных дорог" (0100299990)</t>
  </si>
  <si>
    <t>Основное мероприятие "Приобретение дорожных знаков и краски для разметки" (0100399990)</t>
  </si>
  <si>
    <t>Основное мероприятие "Закупка товаров, работ и услуг для обеспечения  государственных (муниципальных) нужд" (0100199990, 0100189111, 0100189112)</t>
  </si>
  <si>
    <t>Расходы на реализацию мероприятий (2560199990, 2570199990)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</si>
  <si>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</si>
  <si>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</si>
  <si>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</si>
  <si>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</si>
  <si>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Иные межбюджетные трансферты на межевание земельных участков (1800289182, 1800299990)(4030089182, 1800299990, 4010089182, 4050089182 поселения)</t>
  </si>
  <si>
    <t>Реализация мероприятий по градостроительной деятельностиа (0910282761, 09102S2761)</t>
  </si>
  <si>
    <t>Реализация мероприятий муниципальной программы "Поддержка малого и среднего предпринимательства в Октябрьском районе" ( 0810199990,0820199990,  ****82380, ****S2380)</t>
  </si>
  <si>
    <t>Расходы на развитие деятельности по заготовке и переработке дикоросов (0500284190 )</t>
  </si>
  <si>
    <t>Расходы на финансовую поддержку впервые зарегистрированным и действующим менее одного года субъектам малого и среднего предпринимательства в органах местного самоуправления ( 082I4S2320, 082I482320)</t>
  </si>
  <si>
    <t>Осуществление полномочий по государственному управлению охраной труда (1910184120, 1910199990) тс. 01.30.39</t>
  </si>
  <si>
    <t xml:space="preserve">Реализация мероприятий муниципальной программы "Финансовая поддержка субъектов малого и среднего предпринимательства в Октябрьском районе" (0820199990) </t>
  </si>
  <si>
    <t xml:space="preserve">Основное мероприятие "Управлене и распоряжение земельными ресурсами" (1800299990) </t>
  </si>
  <si>
    <t>Осуществление полномочий по государственному управлению охраной труда (1910199990) местный бюджет</t>
  </si>
  <si>
    <t>Реализация мероприятий муниципальной программы "Развитие агропромышленного комплекса в муниципальном образовании Октябрьский район" Расходы на развитие  системы заготовки и переработки дикиросов (0500284190)</t>
  </si>
  <si>
    <t>Реализация мероприятий в области жилищно-коммунального хозяйтсва(4060099990)</t>
  </si>
  <si>
    <t>Реализация мероприятий в рамках непрограммного направления деятельности (4030099990)</t>
  </si>
  <si>
    <t>05</t>
  </si>
  <si>
    <t>Жилищно-коммунальное хозяйство</t>
  </si>
  <si>
    <t>0501</t>
  </si>
  <si>
    <t>Развитие жилищной сферы в муниципальном образовании Октябрьский район" (0910182661, 0910199990, 09101S2661, 091F382661, 091F3S2661, 0910342110) 01.40.04, 01.02.00, 01.00.00, 01.40.01</t>
  </si>
  <si>
    <t xml:space="preserve"> "Управление и распоряжение  муниципальным  имуществом муниципального  образования Октябрьский  район" (1800199990)</t>
  </si>
  <si>
    <t>Укрепление материально-технической базы объектов муниципальной собственности (1800742110)</t>
  </si>
  <si>
    <t>Строительство и реконструкция  объектов  муниципальной  собственности (0910342110)</t>
  </si>
  <si>
    <t>Основное мероприятие "Приобретение жилых помещений в целях предоставления гражданам, формирование муниципального маневренного жилищного фонда" (0910182762, 09101S2762)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</si>
  <si>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бюджета автономного округа (091F367484)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</si>
  <si>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местного бюджета  (091F36748S)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</si>
  <si>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поступивших от гос.корпорации - Фонда содействия реформированию ЖКХ. (091F367483)</t>
  </si>
  <si>
    <t>Основное мероприятие "Признание объектов недвижимости аварийными и проведение мероприятий по их сносу" 1030289107,01030289108</t>
  </si>
  <si>
    <t>Основное мероприятие "Повышение эффективности управления и содержания муниципального жилого фонда" (0230199990,0240199990)</t>
  </si>
  <si>
    <t>Капитальный ремонт жилого фонда 1030189102, 1030142120, 1030199990 (4060099990,4060089102, 4010089102, 4010099990  средства поселений)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</si>
  <si>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</si>
  <si>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 (1020161100, 1020189103, 1020184340,1020182830, 10201S2830 )  (0220161100, 4060061100, 4060089103 поселения)</t>
  </si>
  <si>
    <t xml:space="preserve"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(расходы на финансовое обеспечение затрат в целях оплаты задолженности организаций коммунального компдлекса за потребление топливо-энергетические ресурсы перед гарантирующими поставщиками) 1020185150 т.с. 01.51.22 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</si>
  <si>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в городских поселениях Талинка, Октябрьское) (1020161100 т.с. 01.00)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</si>
  <si>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</si>
  <si>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(электроснабжение) (1020182240) окружной бюджет</t>
  </si>
  <si>
    <t>Субвенции на возмещение недополученных доходов организациям, осуществляющим реализацию населению   сжиженного газа по социально-ориентированным розничным ценам  (1020184340)</t>
  </si>
  <si>
    <t>Основное  мероприятие " Реализация мероприятий обеспечения  качественными  коммунальными  услугами"  1010189104</t>
  </si>
  <si>
    <t>Расходы на реализацию полномочий в сфере ЖКХ (1010182591, 10101S2591)(4060082591, 40600S2591 , 0210182591, 02101S2591, поселения)</t>
  </si>
  <si>
    <t>Реализация программ (4060099990, 0210199990)</t>
  </si>
  <si>
    <t>Региональный проект "Чистая вода" (101F5S2190)</t>
  </si>
  <si>
    <t>Основное мероприятие "Реализация мероприятий обеспечения качественными коммунальными услугами". Расходы на реконструкцию, расширение, модернизацию, строительство коммунальных объектов (101F582190)</t>
  </si>
  <si>
    <t>Иные межбюджетные трансферты на аварийно-технический запас(1010189101, 1010199990) (0210189101, 4060089101 поселения)</t>
  </si>
  <si>
    <t xml:space="preserve">Расходы на реализацию мероприятий по строительству и реконструкции (модернизации) объектов питьевого водоснабжения 101F5S2140, 101F582140
</t>
  </si>
  <si>
    <t>Межбюджетные трансферты, передаваемые бюджетным муниципальным образованиям на осуществление части полномочий по решению вопросов местного значения в соответствии с заключенными соглашениями (4110089020 поселения)</t>
  </si>
  <si>
    <t>Основное мероприятие "Расходы на аварийно-технический запас в сфере ЖКХ"(0210199990 , 4060099990 поселения)</t>
  </si>
  <si>
    <t>Строительство и реконструкция объектов муниципальной собственности (1010142110,)</t>
  </si>
  <si>
    <t>Разработка проектно-сметной документации (1010142130, 1010189104, )(4060089104,  поселения)</t>
  </si>
  <si>
    <t>Иные межбюджетные трансферты на реализацию полномочий в сфере жкк (подготовка к осенне-зимнему периоду(1010189105)</t>
  </si>
  <si>
    <t>Содержание резервов материальных ресурсов для предупреждения, ликвидации чрезвычайных ситуаций. (1010120030)</t>
  </si>
  <si>
    <t>0503</t>
  </si>
  <si>
    <t>Основное мероприятие "Реализация мероприятий обеспечения качественными коммунальными услугами". Подпрограмма "Формирование комфортной городской среды". (105F255550, 105F2S2600, 105F282600), (025F255550, 406F255550, 105F255550, 406F282600, 406F2S2600 поселения)</t>
  </si>
  <si>
    <t>Реализация  мероприятий  муниципальной  программы "Обеспечение и организация мероприятий по благоустройству улиц, тротуаров, сохранение объектов внешнего благоустройства (зеленое хозяйство), содержание, ремонт объектов уличного освещения(1500189151, 4060089151 поселения)</t>
  </si>
  <si>
    <t>Иные межбюджетные трансферты на финансирование наказов избирателей депутатам Думы ХМАО-Югры  (4120085160)</t>
  </si>
  <si>
    <t>Расходы на благоустройство территорий муниципальных образований (105F282600, 105F2S2600)</t>
  </si>
  <si>
    <t xml:space="preserve">Расходы на конкурсный отбор инициативных проектов 2200389010
</t>
  </si>
  <si>
    <t xml:space="preserve">Иные межбюджетные трансферты на благоустройство территорий муниципальных образований 1050189106
</t>
  </si>
  <si>
    <t>"Улучшение экологической ситуации на территории Октябрьского района" расходы на создание площадок временного накопления твердых коммунальных отходов(0600289061)(4060089061 поселения)</t>
  </si>
  <si>
    <t>Реализация мероприятий муниципальной программы "Развитие гражданского общества в муниципальном образовании Октябрьский район" (2200282751, 2200282753) (0500182751, 05001S2751, 02000S2753,  0200082753 поселения)</t>
  </si>
  <si>
    <t>"Улучшение экологической ситуации на территории Октябрьского района"  за счет средств резервного фонда Правительства Ханты-Мансийского автономного округа -Югры(0600285150)</t>
  </si>
  <si>
    <t>Основное мероприятие "Увеличение количества благоустроенных дворовых территорий и мест общего пользования" (1050199990)</t>
  </si>
  <si>
    <t>Реализация  мероприятий по содействию трудоустройству граждан 4060089108, 0250189108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</si>
  <si>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</si>
  <si>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(105F255550)</t>
  </si>
  <si>
    <t>Расходы на капитальный ремонт муниципального жилищного фонда (10501S2600, 105F282600)</t>
  </si>
  <si>
    <t>Расходы на благоустройство территорий муниципальных образований (105F2S2600)</t>
  </si>
  <si>
    <t>Основное мероприятие "Реализация социально значимых инициативных проектов на территории муниципального образования Октябрьский район"( 0500182751, 05001S2751)</t>
  </si>
  <si>
    <t xml:space="preserve"> Реализация мероприятий (0100199990, 4060099990, 0250199990, 0500199991)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</si>
  <si>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</si>
  <si>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</si>
  <si>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</si>
  <si>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</si>
  <si>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</si>
  <si>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</si>
  <si>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</si>
  <si>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</si>
  <si>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</si>
  <si>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</si>
  <si>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 xml:space="preserve">Субсидии на строительство и реконструкцию объектов муниципальной собственности (0140442110) </t>
  </si>
  <si>
    <t>0702</t>
  </si>
  <si>
    <t>Общее образование</t>
  </si>
  <si>
    <t>Расходы на соц.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гос. аккредитацию  основным общеобразовательным программам (140284030)</t>
  </si>
  <si>
    <t>Расходы на организацию бесплатного горячего питания обучающихся, получающих начальное общее образование в гоосударственных и муниципальных образовательных организациях (01402L3040)</t>
  </si>
  <si>
    <t>Региональный проект "Современная школа" Расходы на строительство и  реконструкцию общеобразовательных организаций (014E182680, 014Е1S2680)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</si>
  <si>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(0140482030) 01.40.18 и местн. 01404S2030</t>
  </si>
  <si>
    <t>0703</t>
  </si>
  <si>
    <t>Дополнительное образование детей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</si>
  <si>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</si>
  <si>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</si>
  <si>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</si>
  <si>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</si>
  <si>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</si>
  <si>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</si>
  <si>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</si>
  <si>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</si>
  <si>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Подпрограмма "Библиотечное дело" (0310182520, 03101S2520, 4070082520, 40700S2520 поселения)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</si>
  <si>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</si>
  <si>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</si>
  <si>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</si>
  <si>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</si>
  <si>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</si>
  <si>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</si>
  <si>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0907</t>
  </si>
  <si>
    <t>Дотация по обеспечению  санитарно-эпидемиологической безопасности при подготовке к проведению общероссийского голосования (140W058530)</t>
  </si>
  <si>
    <t>0909</t>
  </si>
  <si>
    <t>Бюджетные инвестиции в объекты капитального строительства государственной собственности субъектов РФ (1800542110)</t>
  </si>
  <si>
    <t>Расходы на организацию мероприятий по проведению дезинсекции и дератизации (1800684280)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</si>
  <si>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</si>
  <si>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</si>
  <si>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 (09202D1340 01.30.15) 0920251340</t>
  </si>
  <si>
    <t>1003</t>
  </si>
  <si>
    <t>Мероприятие на реализацию мер, направленных на профилактику и устранение последствий распространения новой коронавирусной инфекции (1350191350)</t>
  </si>
  <si>
    <t>Субсидии на софинансирование мероприятий подпрограммы "Обеспечение жильем молодых семей"  за счет средств бюджета автономного округа (0920251760)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</si>
  <si>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</si>
  <si>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</si>
  <si>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Югры" за счет средств автономного округа (1310184310)</t>
  </si>
  <si>
    <t>Обеспечение жильем молодых семей (09201L4970) 01.40.02, 01.02.00, 01.41.04,</t>
  </si>
  <si>
    <t>1006</t>
  </si>
  <si>
    <t>Реализация мероприятий по защите населения и территории от чрезвычайных ситуацийприродного и техногенного характера, гражданская оборона (4020099990)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</si>
  <si>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</si>
  <si>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</si>
  <si>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</si>
  <si>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</si>
  <si>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1103</t>
  </si>
  <si>
    <t>Спорт высших достижений</t>
  </si>
  <si>
    <t>Средства массовой информации</t>
  </si>
  <si>
    <t>1202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</si>
  <si>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</si>
  <si>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</si>
  <si>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</si>
  <si>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</si>
  <si>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</si>
  <si>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</si>
  <si>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</si>
  <si>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</si>
  <si>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</si>
  <si>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</si>
  <si>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</si>
  <si>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</si>
  <si>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Мальгин С.В.</t>
  </si>
  <si>
    <t>Заведующий бюджетным отделом</t>
  </si>
  <si>
    <t>Заворотынская Н.А.</t>
  </si>
  <si>
    <t>Заведующий отделом  доходов</t>
  </si>
  <si>
    <t>Мартюшова О.Г.</t>
  </si>
  <si>
    <t xml:space="preserve">                        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</si>
  <si>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" (1310184060)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</si>
</sst>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#,##0.000"/>
    <numFmt numFmtId="181" formatCode="_-* #,##0.0_р_._-;\-* #,##0.0_р_._-;_-* &quot;-&quot;?_р_._-;_-@_-"/>
    <numFmt numFmtId="182" formatCode="_-* #,##0.0\ _₽_-;\-* #,##0.0\ _₽_-;_-* &quot;-&quot;?\ _₽_-;_-@_-"/>
    <numFmt numFmtId="183" formatCode="#,##0.00_ ;\-#,##0.00\ "/>
  </numFmts>
  <fonts count="73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b/>
      <sz val="12"/>
      <color indexed="3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3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i/>
      <sz val="10"/>
      <color indexed="8"/>
      <name val="Times New Roman"/>
      <family val="1"/>
    </font>
    <font>
      <sz val="8"/>
      <color indexed="10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i/>
      <sz val="10"/>
      <color theme="1"/>
      <name val="Times New Roman"/>
      <family val="1"/>
    </font>
    <font>
      <sz val="8"/>
      <color rgb="FFFF0000"/>
      <name val="Arial Cyr"/>
      <family val="0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178" fontId="7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78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178" fontId="7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78" fontId="5" fillId="0" borderId="13" xfId="0" applyNumberFormat="1" applyFont="1" applyFill="1" applyBorder="1" applyAlignment="1">
      <alignment horizontal="right" vertical="top"/>
    </xf>
    <xf numFmtId="178" fontId="5" fillId="0" borderId="13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 shrinkToFit="1"/>
    </xf>
    <xf numFmtId="178" fontId="5" fillId="0" borderId="10" xfId="0" applyNumberFormat="1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78" fontId="4" fillId="0" borderId="13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178" fontId="4" fillId="0" borderId="10" xfId="0" applyNumberFormat="1" applyFont="1" applyFill="1" applyBorder="1" applyAlignment="1">
      <alignment horizontal="right" vertical="top"/>
    </xf>
    <xf numFmtId="0" fontId="2" fillId="0" borderId="13" xfId="0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/>
    </xf>
    <xf numFmtId="178" fontId="1" fillId="0" borderId="13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179" fontId="5" fillId="0" borderId="13" xfId="0" applyNumberFormat="1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vertical="top"/>
    </xf>
    <xf numFmtId="49" fontId="5" fillId="0" borderId="11" xfId="0" applyNumberFormat="1" applyFont="1" applyFill="1" applyBorder="1" applyAlignment="1">
      <alignment horizontal="left" vertical="top"/>
    </xf>
    <xf numFmtId="178" fontId="2" fillId="0" borderId="13" xfId="0" applyNumberFormat="1" applyFont="1" applyFill="1" applyBorder="1" applyAlignment="1">
      <alignment horizontal="righ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178" fontId="0" fillId="0" borderId="0" xfId="0" applyNumberFormat="1" applyFill="1" applyAlignment="1">
      <alignment vertical="top" wrapText="1"/>
    </xf>
    <xf numFmtId="178" fontId="2" fillId="0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178" fontId="4" fillId="0" borderId="15" xfId="0" applyNumberFormat="1" applyFont="1" applyFill="1" applyBorder="1" applyAlignment="1">
      <alignment vertical="top"/>
    </xf>
    <xf numFmtId="178" fontId="4" fillId="0" borderId="0" xfId="0" applyNumberFormat="1" applyFont="1" applyFill="1" applyBorder="1" applyAlignment="1">
      <alignment vertical="top"/>
    </xf>
    <xf numFmtId="178" fontId="7" fillId="0" borderId="0" xfId="0" applyNumberFormat="1" applyFont="1" applyFill="1" applyAlignment="1">
      <alignment vertical="top" wrapText="1"/>
    </xf>
    <xf numFmtId="178" fontId="2" fillId="0" borderId="13" xfId="0" applyNumberFormat="1" applyFont="1" applyFill="1" applyBorder="1" applyAlignment="1">
      <alignment horizontal="right" vertical="top" wrapText="1"/>
    </xf>
    <xf numFmtId="178" fontId="2" fillId="0" borderId="13" xfId="0" applyNumberFormat="1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 wrapText="1"/>
    </xf>
    <xf numFmtId="178" fontId="4" fillId="0" borderId="13" xfId="0" applyNumberFormat="1" applyFont="1" applyFill="1" applyBorder="1" applyAlignment="1">
      <alignment horizontal="right" vertical="top"/>
    </xf>
    <xf numFmtId="49" fontId="1" fillId="0" borderId="13" xfId="0" applyNumberFormat="1" applyFont="1" applyFill="1" applyBorder="1" applyAlignment="1">
      <alignment horizontal="center" vertical="top" wrapText="1"/>
    </xf>
    <xf numFmtId="178" fontId="1" fillId="0" borderId="13" xfId="0" applyNumberFormat="1" applyFont="1" applyFill="1" applyBorder="1" applyAlignment="1">
      <alignment vertical="top" wrapText="1"/>
    </xf>
    <xf numFmtId="178" fontId="2" fillId="0" borderId="13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178" fontId="2" fillId="0" borderId="13" xfId="0" applyNumberFormat="1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left" vertical="top"/>
    </xf>
    <xf numFmtId="178" fontId="5" fillId="0" borderId="10" xfId="0" applyNumberFormat="1" applyFont="1" applyFill="1" applyBorder="1" applyAlignment="1">
      <alignment vertical="top"/>
    </xf>
    <xf numFmtId="178" fontId="2" fillId="0" borderId="13" xfId="0" applyNumberFormat="1" applyFont="1" applyFill="1" applyBorder="1" applyAlignment="1">
      <alignment vertical="top" wrapText="1" shrinkToFit="1"/>
    </xf>
    <xf numFmtId="178" fontId="2" fillId="0" borderId="12" xfId="0" applyNumberFormat="1" applyFont="1" applyFill="1" applyBorder="1" applyAlignment="1">
      <alignment vertical="top" wrapText="1"/>
    </xf>
    <xf numFmtId="178" fontId="5" fillId="0" borderId="11" xfId="0" applyNumberFormat="1" applyFont="1" applyFill="1" applyBorder="1" applyAlignment="1">
      <alignment horizontal="right" vertical="top"/>
    </xf>
    <xf numFmtId="178" fontId="2" fillId="0" borderId="13" xfId="0" applyNumberFormat="1" applyFont="1" applyFill="1" applyBorder="1" applyAlignment="1">
      <alignment horizontal="right" vertical="top" wrapText="1" shrinkToFi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78" fontId="4" fillId="0" borderId="11" xfId="0" applyNumberFormat="1" applyFont="1" applyFill="1" applyBorder="1" applyAlignment="1">
      <alignment vertical="top"/>
    </xf>
    <xf numFmtId="178" fontId="2" fillId="0" borderId="10" xfId="0" applyNumberFormat="1" applyFont="1" applyFill="1" applyBorder="1" applyAlignment="1">
      <alignment horizontal="right" vertical="top" wrapText="1"/>
    </xf>
    <xf numFmtId="178" fontId="1" fillId="0" borderId="17" xfId="0" applyNumberFormat="1" applyFont="1" applyFill="1" applyBorder="1" applyAlignment="1">
      <alignment horizontal="right" vertical="top" wrapText="1"/>
    </xf>
    <xf numFmtId="0" fontId="2" fillId="0" borderId="17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49" fontId="1" fillId="0" borderId="13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9" fillId="0" borderId="0" xfId="54" applyNumberFormat="1" applyFont="1" applyAlignment="1">
      <alignment horizontal="center" vertical="center" wrapText="1"/>
      <protection/>
    </xf>
    <xf numFmtId="0" fontId="9" fillId="0" borderId="0" xfId="54" applyNumberFormat="1" applyFont="1" applyAlignment="1">
      <alignment horizontal="left" vertical="center" wrapText="1"/>
      <protection/>
    </xf>
    <xf numFmtId="181" fontId="69" fillId="33" borderId="0" xfId="54" applyNumberFormat="1" applyFont="1" applyFill="1" applyAlignment="1">
      <alignment horizontal="center" vertical="center" wrapText="1"/>
      <protection/>
    </xf>
    <xf numFmtId="181" fontId="10" fillId="33" borderId="0" xfId="54" applyNumberFormat="1" applyFont="1" applyFill="1" applyBorder="1" applyAlignment="1">
      <alignment horizontal="center" vertical="center" wrapText="1"/>
      <protection/>
    </xf>
    <xf numFmtId="181" fontId="10" fillId="0" borderId="0" xfId="54" applyNumberFormat="1" applyFont="1" applyFill="1" applyAlignment="1">
      <alignment horizontal="center" vertical="center" wrapText="1"/>
      <protection/>
    </xf>
    <xf numFmtId="181" fontId="10" fillId="33" borderId="0" xfId="0" applyNumberFormat="1" applyFont="1" applyFill="1" applyAlignment="1">
      <alignment horizontal="center" vertical="center" wrapText="1"/>
    </xf>
    <xf numFmtId="181" fontId="10" fillId="0" borderId="0" xfId="0" applyNumberFormat="1" applyFont="1" applyAlignment="1">
      <alignment horizontal="center" vertical="center" wrapText="1"/>
    </xf>
    <xf numFmtId="181" fontId="11" fillId="0" borderId="0" xfId="0" applyNumberFormat="1" applyFont="1" applyFill="1" applyAlignment="1">
      <alignment horizontal="center" vertical="center" wrapText="1"/>
    </xf>
    <xf numFmtId="181" fontId="10" fillId="0" borderId="0" xfId="0" applyNumberFormat="1" applyFont="1" applyFill="1" applyAlignment="1">
      <alignment horizontal="center" vertical="center" wrapText="1"/>
    </xf>
    <xf numFmtId="181" fontId="11" fillId="33" borderId="0" xfId="0" applyNumberFormat="1" applyFont="1" applyFill="1" applyAlignment="1">
      <alignment horizontal="center" vertical="center" wrapText="1"/>
    </xf>
    <xf numFmtId="181" fontId="11" fillId="0" borderId="0" xfId="0" applyNumberFormat="1" applyFont="1" applyAlignment="1">
      <alignment horizontal="center" vertical="center" wrapText="1"/>
    </xf>
    <xf numFmtId="49" fontId="12" fillId="0" borderId="18" xfId="54" applyNumberFormat="1" applyFont="1" applyBorder="1" applyAlignment="1">
      <alignment horizontal="center" vertical="center" wrapText="1"/>
      <protection/>
    </xf>
    <xf numFmtId="181" fontId="13" fillId="0" borderId="13" xfId="54" applyNumberFormat="1" applyFont="1" applyFill="1" applyBorder="1" applyAlignment="1">
      <alignment horizontal="center" vertical="center" wrapText="1"/>
      <protection/>
    </xf>
    <xf numFmtId="0" fontId="20" fillId="0" borderId="13" xfId="54" applyNumberFormat="1" applyFont="1" applyFill="1" applyBorder="1" applyAlignment="1">
      <alignment horizontal="center" vertical="center" wrapText="1"/>
      <protection/>
    </xf>
    <xf numFmtId="0" fontId="12" fillId="0" borderId="13" xfId="54" applyNumberFormat="1" applyFont="1" applyFill="1" applyBorder="1" applyAlignment="1">
      <alignment horizontal="center" vertical="center" wrapText="1"/>
      <protection/>
    </xf>
    <xf numFmtId="0" fontId="20" fillId="0" borderId="19" xfId="54" applyNumberFormat="1" applyFont="1" applyFill="1" applyBorder="1" applyAlignment="1">
      <alignment horizontal="center" vertical="center" wrapText="1"/>
      <protection/>
    </xf>
    <xf numFmtId="49" fontId="20" fillId="34" borderId="18" xfId="54" applyNumberFormat="1" applyFont="1" applyFill="1" applyBorder="1" applyAlignment="1" quotePrefix="1">
      <alignment horizontal="center" vertical="center" wrapText="1"/>
      <protection/>
    </xf>
    <xf numFmtId="0" fontId="20" fillId="34" borderId="13" xfId="54" applyNumberFormat="1" applyFont="1" applyFill="1" applyBorder="1" applyAlignment="1">
      <alignment horizontal="left" vertical="center" wrapText="1"/>
      <protection/>
    </xf>
    <xf numFmtId="181" fontId="14" fillId="34" borderId="13" xfId="54" applyNumberFormat="1" applyFont="1" applyFill="1" applyBorder="1" applyAlignment="1">
      <alignment horizontal="center" vertical="center" wrapText="1"/>
      <protection/>
    </xf>
    <xf numFmtId="181" fontId="13" fillId="34" borderId="13" xfId="0" applyNumberFormat="1" applyFont="1" applyFill="1" applyBorder="1" applyAlignment="1">
      <alignment horizontal="center" vertical="center" wrapText="1"/>
    </xf>
    <xf numFmtId="181" fontId="14" fillId="34" borderId="19" xfId="0" applyNumberFormat="1" applyFont="1" applyFill="1" applyBorder="1" applyAlignment="1">
      <alignment horizontal="center" vertical="center" wrapText="1"/>
    </xf>
    <xf numFmtId="49" fontId="12" fillId="0" borderId="18" xfId="54" applyNumberFormat="1" applyFont="1" applyFill="1" applyBorder="1" applyAlignment="1" quotePrefix="1">
      <alignment horizontal="center" vertical="center" wrapText="1"/>
      <protection/>
    </xf>
    <xf numFmtId="0" fontId="12" fillId="0" borderId="13" xfId="54" applyNumberFormat="1" applyFont="1" applyFill="1" applyBorder="1" applyAlignment="1">
      <alignment horizontal="left" vertical="center" wrapText="1"/>
      <protection/>
    </xf>
    <xf numFmtId="181" fontId="13" fillId="33" borderId="13" xfId="54" applyNumberFormat="1" applyFont="1" applyFill="1" applyBorder="1" applyAlignment="1">
      <alignment horizontal="center" vertical="center" wrapText="1"/>
      <protection/>
    </xf>
    <xf numFmtId="181" fontId="13" fillId="33" borderId="13" xfId="0" applyNumberFormat="1" applyFont="1" applyFill="1" applyBorder="1" applyAlignment="1">
      <alignment horizontal="center" vertical="center" wrapText="1"/>
    </xf>
    <xf numFmtId="181" fontId="13" fillId="0" borderId="13" xfId="0" applyNumberFormat="1" applyFont="1" applyFill="1" applyBorder="1" applyAlignment="1">
      <alignment horizontal="center" vertical="center" wrapText="1"/>
    </xf>
    <xf numFmtId="181" fontId="21" fillId="35" borderId="13" xfId="0" applyNumberFormat="1" applyFont="1" applyFill="1" applyBorder="1" applyAlignment="1">
      <alignment horizontal="center" vertical="center" wrapText="1"/>
    </xf>
    <xf numFmtId="181" fontId="21" fillId="5" borderId="13" xfId="0" applyNumberFormat="1" applyFont="1" applyFill="1" applyBorder="1" applyAlignment="1">
      <alignment horizontal="center" vertical="center" wrapText="1"/>
    </xf>
    <xf numFmtId="181" fontId="14" fillId="33" borderId="13" xfId="0" applyNumberFormat="1" applyFont="1" applyFill="1" applyBorder="1" applyAlignment="1">
      <alignment horizontal="center" vertical="center" wrapText="1"/>
    </xf>
    <xf numFmtId="181" fontId="14" fillId="0" borderId="19" xfId="0" applyNumberFormat="1" applyFont="1" applyFill="1" applyBorder="1" applyAlignment="1">
      <alignment horizontal="center" vertical="center" wrapText="1"/>
    </xf>
    <xf numFmtId="182" fontId="0" fillId="0" borderId="0" xfId="0" applyNumberFormat="1" applyAlignment="1">
      <alignment/>
    </xf>
    <xf numFmtId="49" fontId="12" fillId="0" borderId="18" xfId="54" applyNumberFormat="1" applyFont="1" applyFill="1" applyBorder="1" applyAlignment="1">
      <alignment horizontal="center" vertical="center" wrapText="1"/>
      <protection/>
    </xf>
    <xf numFmtId="181" fontId="70" fillId="5" borderId="13" xfId="0" applyNumberFormat="1" applyFont="1" applyFill="1" applyBorder="1" applyAlignment="1">
      <alignment horizontal="center" vertical="center" wrapText="1"/>
    </xf>
    <xf numFmtId="181" fontId="13" fillId="34" borderId="13" xfId="54" applyNumberFormat="1" applyFont="1" applyFill="1" applyBorder="1" applyAlignment="1">
      <alignment horizontal="center" vertical="center" wrapText="1"/>
      <protection/>
    </xf>
    <xf numFmtId="181" fontId="14" fillId="34" borderId="19" xfId="54" applyNumberFormat="1" applyFont="1" applyFill="1" applyBorder="1" applyAlignment="1">
      <alignment horizontal="center" vertical="center" wrapText="1"/>
      <protection/>
    </xf>
    <xf numFmtId="49" fontId="12" fillId="33" borderId="18" xfId="54" applyNumberFormat="1" applyFont="1" applyFill="1" applyBorder="1" applyAlignment="1" quotePrefix="1">
      <alignment horizontal="center" vertical="center" wrapText="1"/>
      <protection/>
    </xf>
    <xf numFmtId="0" fontId="20" fillId="34" borderId="11" xfId="54" applyNumberFormat="1" applyFont="1" applyFill="1" applyBorder="1" applyAlignment="1">
      <alignment vertical="center" wrapText="1"/>
      <protection/>
    </xf>
    <xf numFmtId="181" fontId="14" fillId="34" borderId="11" xfId="54" applyNumberFormat="1" applyFont="1" applyFill="1" applyBorder="1" applyAlignment="1">
      <alignment vertical="center" wrapText="1"/>
      <protection/>
    </xf>
    <xf numFmtId="181" fontId="14" fillId="34" borderId="11" xfId="54" applyNumberFormat="1" applyFont="1" applyFill="1" applyBorder="1" applyAlignment="1">
      <alignment horizontal="center" wrapText="1"/>
      <protection/>
    </xf>
    <xf numFmtId="49" fontId="12" fillId="33" borderId="18" xfId="54" applyNumberFormat="1" applyFont="1" applyFill="1" applyBorder="1" applyAlignment="1">
      <alignment horizontal="center" vertical="center" wrapText="1"/>
      <protection/>
    </xf>
    <xf numFmtId="0" fontId="12" fillId="36" borderId="13" xfId="54" applyNumberFormat="1" applyFont="1" applyFill="1" applyBorder="1" applyAlignment="1">
      <alignment horizontal="left" vertical="center" wrapText="1"/>
      <protection/>
    </xf>
    <xf numFmtId="0" fontId="13" fillId="0" borderId="13" xfId="53" applyNumberFormat="1" applyFont="1" applyFill="1" applyBorder="1" applyAlignment="1" applyProtection="1">
      <alignment horizontal="left" vertical="center" wrapText="1"/>
      <protection hidden="1"/>
    </xf>
    <xf numFmtId="181" fontId="14" fillId="34" borderId="13" xfId="0" applyNumberFormat="1" applyFont="1" applyFill="1" applyBorder="1" applyAlignment="1">
      <alignment horizontal="center" vertical="center" wrapText="1"/>
    </xf>
    <xf numFmtId="181" fontId="23" fillId="34" borderId="13" xfId="0" applyNumberFormat="1" applyFont="1" applyFill="1" applyBorder="1" applyAlignment="1">
      <alignment horizontal="center" vertical="center" wrapText="1"/>
    </xf>
    <xf numFmtId="0" fontId="24" fillId="0" borderId="13" xfId="54" applyNumberFormat="1" applyFont="1" applyFill="1" applyBorder="1" applyAlignment="1">
      <alignment horizontal="left" vertical="center" wrapText="1"/>
      <protection/>
    </xf>
    <xf numFmtId="0" fontId="13" fillId="33" borderId="13" xfId="53" applyNumberFormat="1" applyFont="1" applyFill="1" applyBorder="1" applyAlignment="1" applyProtection="1">
      <alignment horizontal="left" vertical="center" wrapText="1"/>
      <protection hidden="1"/>
    </xf>
    <xf numFmtId="0" fontId="13" fillId="0" borderId="13" xfId="53" applyNumberFormat="1" applyFont="1" applyFill="1" applyBorder="1" applyAlignment="1" applyProtection="1">
      <alignment horizontal="left" vertical="top" wrapText="1"/>
      <protection hidden="1"/>
    </xf>
    <xf numFmtId="2" fontId="14" fillId="0" borderId="19" xfId="0" applyNumberFormat="1" applyFont="1" applyFill="1" applyBorder="1" applyAlignment="1">
      <alignment horizontal="center" vertical="center" wrapText="1"/>
    </xf>
    <xf numFmtId="0" fontId="12" fillId="0" borderId="13" xfId="54" applyNumberFormat="1" applyFont="1" applyFill="1" applyBorder="1" applyAlignment="1">
      <alignment horizontal="left" vertical="top" wrapText="1"/>
      <protection/>
    </xf>
    <xf numFmtId="49" fontId="13" fillId="0" borderId="18" xfId="54" applyNumberFormat="1" applyFont="1" applyFill="1" applyBorder="1" applyAlignment="1">
      <alignment horizontal="center" vertical="center" wrapText="1"/>
      <protection/>
    </xf>
    <xf numFmtId="0" fontId="13" fillId="0" borderId="13" xfId="54" applyNumberFormat="1" applyFont="1" applyFill="1" applyBorder="1" applyAlignment="1">
      <alignment horizontal="left" vertical="center" wrapText="1"/>
      <protection/>
    </xf>
    <xf numFmtId="18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33" borderId="13" xfId="54" applyNumberFormat="1" applyFont="1" applyFill="1" applyBorder="1" applyAlignment="1">
      <alignment horizontal="left" vertical="center" wrapText="1"/>
      <protection/>
    </xf>
    <xf numFmtId="0" fontId="13" fillId="0" borderId="0" xfId="0" applyFont="1" applyAlignment="1">
      <alignment wrapText="1"/>
    </xf>
    <xf numFmtId="179" fontId="14" fillId="0" borderId="19" xfId="0" applyNumberFormat="1" applyFont="1" applyFill="1" applyBorder="1" applyAlignment="1">
      <alignment horizontal="center" vertical="center" wrapText="1"/>
    </xf>
    <xf numFmtId="49" fontId="20" fillId="34" borderId="18" xfId="54" applyNumberFormat="1" applyFont="1" applyFill="1" applyBorder="1" applyAlignment="1">
      <alignment horizontal="center" vertical="center" wrapText="1"/>
      <protection/>
    </xf>
    <xf numFmtId="0" fontId="20" fillId="34" borderId="13" xfId="0" applyNumberFormat="1" applyFont="1" applyFill="1" applyBorder="1" applyAlignment="1">
      <alignment horizontal="left" vertical="center" wrapText="1"/>
    </xf>
    <xf numFmtId="179" fontId="14" fillId="34" borderId="19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left" vertical="center" wrapText="1"/>
    </xf>
    <xf numFmtId="181" fontId="14" fillId="33" borderId="19" xfId="0" applyNumberFormat="1" applyFont="1" applyFill="1" applyBorder="1" applyAlignment="1">
      <alignment horizontal="center" vertical="center" wrapText="1"/>
    </xf>
    <xf numFmtId="181" fontId="13" fillId="37" borderId="13" xfId="0" applyNumberFormat="1" applyFont="1" applyFill="1" applyBorder="1" applyAlignment="1">
      <alignment horizontal="center" vertical="center" wrapText="1"/>
    </xf>
    <xf numFmtId="18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81" fontId="21" fillId="5" borderId="13" xfId="54" applyNumberFormat="1" applyFont="1" applyFill="1" applyBorder="1" applyAlignment="1">
      <alignment horizontal="center" vertical="center" wrapText="1"/>
      <protection/>
    </xf>
    <xf numFmtId="181" fontId="14" fillId="34" borderId="20" xfId="54" applyNumberFormat="1" applyFont="1" applyFill="1" applyBorder="1" applyAlignment="1">
      <alignment horizontal="center" vertical="center" wrapText="1"/>
      <protection/>
    </xf>
    <xf numFmtId="181" fontId="14" fillId="34" borderId="20" xfId="0" applyNumberFormat="1" applyFont="1" applyFill="1" applyBorder="1" applyAlignment="1">
      <alignment horizontal="center" vertical="center" wrapText="1"/>
    </xf>
    <xf numFmtId="181" fontId="13" fillId="34" borderId="20" xfId="54" applyNumberFormat="1" applyFont="1" applyFill="1" applyBorder="1" applyAlignment="1">
      <alignment horizontal="center" vertical="center" wrapText="1"/>
      <protection/>
    </xf>
    <xf numFmtId="181" fontId="14" fillId="34" borderId="21" xfId="0" applyNumberFormat="1" applyFont="1" applyFill="1" applyBorder="1" applyAlignment="1">
      <alignment horizontal="center" vertical="center" wrapText="1"/>
    </xf>
    <xf numFmtId="49" fontId="9" fillId="0" borderId="0" xfId="54" applyNumberFormat="1" applyFont="1" applyFill="1" applyBorder="1" applyAlignment="1">
      <alignment horizontal="center" vertical="center" wrapText="1"/>
      <protection/>
    </xf>
    <xf numFmtId="0" fontId="9" fillId="0" borderId="0" xfId="54" applyNumberFormat="1" applyFont="1" applyFill="1" applyBorder="1" applyAlignment="1">
      <alignment horizontal="left" vertical="center" wrapText="1"/>
      <protection/>
    </xf>
    <xf numFmtId="183" fontId="69" fillId="33" borderId="0" xfId="54" applyNumberFormat="1" applyFont="1" applyFill="1" applyBorder="1" applyAlignment="1">
      <alignment horizontal="center" vertical="center" wrapText="1"/>
      <protection/>
    </xf>
    <xf numFmtId="181" fontId="11" fillId="0" borderId="0" xfId="54" applyNumberFormat="1" applyFont="1" applyFill="1" applyBorder="1" applyAlignment="1">
      <alignment horizontal="center" vertical="center" wrapText="1"/>
      <protection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181" fontId="69" fillId="5" borderId="0" xfId="0" applyNumberFormat="1" applyFont="1" applyFill="1" applyBorder="1" applyAlignment="1">
      <alignment horizontal="center" vertical="center" wrapText="1"/>
    </xf>
    <xf numFmtId="4" fontId="71" fillId="0" borderId="0" xfId="0" applyNumberFormat="1" applyFont="1" applyAlignment="1">
      <alignment/>
    </xf>
    <xf numFmtId="181" fontId="10" fillId="5" borderId="0" xfId="0" applyNumberFormat="1" applyFont="1" applyFill="1" applyBorder="1" applyAlignment="1">
      <alignment horizontal="center" vertical="center" wrapText="1"/>
    </xf>
    <xf numFmtId="181" fontId="11" fillId="5" borderId="0" xfId="54" applyNumberFormat="1" applyFont="1" applyFill="1" applyBorder="1" applyAlignment="1">
      <alignment horizontal="center" vertical="center" wrapText="1"/>
      <protection/>
    </xf>
    <xf numFmtId="181" fontId="10" fillId="5" borderId="0" xfId="0" applyNumberFormat="1" applyFont="1" applyFill="1" applyAlignment="1">
      <alignment horizontal="center" vertical="center" wrapText="1"/>
    </xf>
    <xf numFmtId="181" fontId="10" fillId="38" borderId="0" xfId="0" applyNumberFormat="1" applyFont="1" applyFill="1" applyAlignment="1">
      <alignment horizontal="center" vertical="center" wrapText="1"/>
    </xf>
    <xf numFmtId="181" fontId="11" fillId="38" borderId="0" xfId="0" applyNumberFormat="1" applyFont="1" applyFill="1" applyAlignment="1">
      <alignment horizontal="center" vertical="center" wrapText="1"/>
    </xf>
    <xf numFmtId="181" fontId="26" fillId="33" borderId="0" xfId="0" applyNumberFormat="1" applyFont="1" applyFill="1" applyAlignment="1">
      <alignment horizontal="center" vertical="center" wrapText="1"/>
    </xf>
    <xf numFmtId="181" fontId="26" fillId="0" borderId="0" xfId="0" applyNumberFormat="1" applyFont="1" applyAlignment="1">
      <alignment horizontal="center" vertical="center" wrapText="1"/>
    </xf>
    <xf numFmtId="181" fontId="26" fillId="33" borderId="12" xfId="54" applyNumberFormat="1" applyFont="1" applyFill="1" applyBorder="1" applyAlignment="1">
      <alignment horizontal="center" vertical="center" wrapText="1"/>
      <protection/>
    </xf>
    <xf numFmtId="49" fontId="24" fillId="0" borderId="0" xfId="0" applyNumberFormat="1" applyFont="1" applyFill="1" applyBorder="1" applyAlignment="1">
      <alignment horizontal="right" vertical="center" wrapText="1"/>
    </xf>
    <xf numFmtId="0" fontId="24" fillId="0" borderId="0" xfId="54" applyNumberFormat="1" applyFont="1" applyFill="1" applyBorder="1" applyAlignment="1">
      <alignment horizontal="left" vertical="center" wrapText="1"/>
      <protection/>
    </xf>
    <xf numFmtId="181" fontId="72" fillId="33" borderId="0" xfId="54" applyNumberFormat="1" applyFont="1" applyFill="1" applyBorder="1" applyAlignment="1">
      <alignment horizontal="center" vertical="center" wrapText="1"/>
      <protection/>
    </xf>
    <xf numFmtId="181" fontId="26" fillId="33" borderId="0" xfId="54" applyNumberFormat="1" applyFont="1" applyFill="1" applyBorder="1" applyAlignment="1">
      <alignment horizontal="center" vertical="center" wrapText="1"/>
      <protection/>
    </xf>
    <xf numFmtId="181" fontId="26" fillId="0" borderId="0" xfId="0" applyNumberFormat="1" applyFont="1" applyFill="1" applyBorder="1" applyAlignment="1">
      <alignment horizontal="left" vertical="center" wrapText="1"/>
    </xf>
    <xf numFmtId="181" fontId="26" fillId="33" borderId="0" xfId="0" applyNumberFormat="1" applyFont="1" applyFill="1" applyAlignment="1">
      <alignment horizontal="left" vertical="center" wrapText="1"/>
    </xf>
    <xf numFmtId="181" fontId="26" fillId="33" borderId="12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left" vertical="center" wrapText="1"/>
    </xf>
    <xf numFmtId="181" fontId="72" fillId="33" borderId="0" xfId="0" applyNumberFormat="1" applyFont="1" applyFill="1" applyBorder="1" applyAlignment="1">
      <alignment horizontal="center" vertical="center" wrapText="1"/>
    </xf>
    <xf numFmtId="181" fontId="26" fillId="33" borderId="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181" fontId="72" fillId="33" borderId="0" xfId="0" applyNumberFormat="1" applyFont="1" applyFill="1" applyAlignment="1">
      <alignment horizontal="center" vertical="center" wrapText="1"/>
    </xf>
    <xf numFmtId="181" fontId="26" fillId="0" borderId="0" xfId="0" applyNumberFormat="1" applyFont="1" applyFill="1" applyAlignment="1">
      <alignment horizontal="center" vertical="center" wrapText="1"/>
    </xf>
    <xf numFmtId="0" fontId="26" fillId="33" borderId="0" xfId="0" applyFont="1" applyFill="1" applyAlignment="1">
      <alignment horizontal="right"/>
    </xf>
    <xf numFmtId="0" fontId="0" fillId="33" borderId="12" xfId="0" applyFont="1" applyFill="1" applyBorder="1" applyAlignment="1">
      <alignment/>
    </xf>
    <xf numFmtId="0" fontId="26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4" fontId="5" fillId="0" borderId="0" xfId="0" applyNumberFormat="1" applyFont="1" applyAlignment="1">
      <alignment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top" wrapText="1"/>
    </xf>
    <xf numFmtId="178" fontId="4" fillId="0" borderId="22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172" fontId="2" fillId="0" borderId="14" xfId="43" applyFont="1" applyFill="1" applyBorder="1" applyAlignment="1">
      <alignment horizontal="center" vertical="top" wrapText="1"/>
    </xf>
    <xf numFmtId="172" fontId="2" fillId="0" borderId="22" xfId="43" applyFont="1" applyFill="1" applyBorder="1" applyAlignment="1">
      <alignment horizontal="center" vertical="top" wrapText="1"/>
    </xf>
    <xf numFmtId="181" fontId="13" fillId="0" borderId="13" xfId="54" applyNumberFormat="1" applyFont="1" applyFill="1" applyBorder="1" applyAlignment="1">
      <alignment horizontal="center" vertical="center" wrapText="1"/>
      <protection/>
    </xf>
    <xf numFmtId="181" fontId="19" fillId="0" borderId="13" xfId="0" applyNumberFormat="1" applyFont="1" applyBorder="1" applyAlignment="1">
      <alignment horizontal="center" vertical="center"/>
    </xf>
    <xf numFmtId="181" fontId="13" fillId="33" borderId="13" xfId="54" applyNumberFormat="1" applyFont="1" applyFill="1" applyBorder="1" applyAlignment="1">
      <alignment horizontal="center" vertical="center" wrapText="1"/>
      <protection/>
    </xf>
    <xf numFmtId="181" fontId="13" fillId="33" borderId="13" xfId="0" applyNumberFormat="1" applyFont="1" applyFill="1" applyBorder="1" applyAlignment="1">
      <alignment horizontal="center" vertical="center" wrapText="1"/>
    </xf>
    <xf numFmtId="181" fontId="14" fillId="0" borderId="13" xfId="54" applyNumberFormat="1" applyFont="1" applyFill="1" applyBorder="1" applyAlignment="1">
      <alignment horizontal="center" vertical="center" wrapText="1"/>
      <protection/>
    </xf>
    <xf numFmtId="181" fontId="14" fillId="0" borderId="13" xfId="0" applyNumberFormat="1" applyFont="1" applyBorder="1" applyAlignment="1">
      <alignment horizontal="center" vertical="center" wrapText="1"/>
    </xf>
    <xf numFmtId="181" fontId="15" fillId="5" borderId="13" xfId="0" applyNumberFormat="1" applyFont="1" applyFill="1" applyBorder="1" applyAlignment="1">
      <alignment horizontal="center" vertical="center" wrapText="1"/>
    </xf>
    <xf numFmtId="0" fontId="8" fillId="0" borderId="0" xfId="54" applyNumberFormat="1" applyFont="1" applyAlignment="1">
      <alignment horizontal="center" vertical="center" wrapText="1"/>
      <protection/>
    </xf>
    <xf numFmtId="49" fontId="12" fillId="0" borderId="24" xfId="54" applyNumberFormat="1" applyFont="1" applyBorder="1" applyAlignment="1">
      <alignment horizontal="center" vertical="center" wrapText="1"/>
      <protection/>
    </xf>
    <xf numFmtId="49" fontId="12" fillId="0" borderId="18" xfId="54" applyNumberFormat="1" applyFont="1" applyBorder="1" applyAlignment="1">
      <alignment horizontal="center" vertical="center" wrapText="1"/>
      <protection/>
    </xf>
    <xf numFmtId="0" fontId="12" fillId="0" borderId="25" xfId="54" applyNumberFormat="1" applyFont="1" applyBorder="1" applyAlignment="1">
      <alignment horizontal="center" vertical="center" wrapText="1"/>
      <protection/>
    </xf>
    <xf numFmtId="0" fontId="12" fillId="0" borderId="13" xfId="54" applyNumberFormat="1" applyFont="1" applyBorder="1" applyAlignment="1">
      <alignment horizontal="center" vertical="center" wrapText="1"/>
      <protection/>
    </xf>
    <xf numFmtId="181" fontId="13" fillId="0" borderId="25" xfId="54" applyNumberFormat="1" applyFont="1" applyFill="1" applyBorder="1" applyAlignment="1">
      <alignment horizontal="center" vertical="center" wrapText="1"/>
      <protection/>
    </xf>
    <xf numFmtId="181" fontId="13" fillId="0" borderId="25" xfId="0" applyNumberFormat="1" applyFont="1" applyBorder="1" applyAlignment="1">
      <alignment horizontal="center" vertical="center" wrapText="1"/>
    </xf>
    <xf numFmtId="181" fontId="14" fillId="0" borderId="26" xfId="0" applyNumberFormat="1" applyFont="1" applyFill="1" applyBorder="1" applyAlignment="1">
      <alignment horizontal="center" vertical="center" wrapText="1"/>
    </xf>
    <xf numFmtId="181" fontId="14" fillId="0" borderId="27" xfId="0" applyNumberFormat="1" applyFont="1" applyFill="1" applyBorder="1" applyAlignment="1">
      <alignment horizontal="center" vertical="center" wrapText="1"/>
    </xf>
    <xf numFmtId="181" fontId="14" fillId="0" borderId="28" xfId="0" applyNumberFormat="1" applyFont="1" applyFill="1" applyBorder="1" applyAlignment="1">
      <alignment horizontal="center" vertical="center" wrapText="1"/>
    </xf>
    <xf numFmtId="181" fontId="14" fillId="33" borderId="13" xfId="54" applyNumberFormat="1" applyFont="1" applyFill="1" applyBorder="1" applyAlignment="1">
      <alignment horizontal="center" vertical="center" wrapText="1"/>
      <protection/>
    </xf>
    <xf numFmtId="181" fontId="14" fillId="0" borderId="19" xfId="54" applyNumberFormat="1" applyFont="1" applyBorder="1" applyAlignment="1">
      <alignment horizontal="center" vertical="center" wrapText="1"/>
      <protection/>
    </xf>
    <xf numFmtId="181" fontId="14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5" fillId="34" borderId="29" xfId="54" applyNumberFormat="1" applyFont="1" applyFill="1" applyBorder="1" applyAlignment="1">
      <alignment horizontal="center" vertical="center" wrapText="1"/>
      <protection/>
    </xf>
    <xf numFmtId="0" fontId="25" fillId="34" borderId="20" xfId="54" applyNumberFormat="1" applyFont="1" applyFill="1" applyBorder="1" applyAlignment="1">
      <alignment horizontal="center" vertical="center" wrapText="1"/>
      <protection/>
    </xf>
    <xf numFmtId="0" fontId="24" fillId="0" borderId="0" xfId="54" applyNumberFormat="1" applyFont="1" applyFill="1" applyBorder="1" applyAlignment="1">
      <alignment horizontal="right" vertical="center" wrapText="1"/>
      <protection/>
    </xf>
    <xf numFmtId="181" fontId="13" fillId="0" borderId="13" xfId="54" applyNumberFormat="1" applyFont="1" applyBorder="1" applyAlignment="1">
      <alignment horizontal="center" vertical="center" wrapText="1"/>
      <protection/>
    </xf>
    <xf numFmtId="181" fontId="13" fillId="0" borderId="13" xfId="0" applyNumberFormat="1" applyFont="1" applyBorder="1" applyAlignment="1">
      <alignment horizontal="center" vertical="center" wrapText="1"/>
    </xf>
    <xf numFmtId="181" fontId="26" fillId="0" borderId="0" xfId="54" applyNumberFormat="1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7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4"/>
  <sheetViews>
    <sheetView zoomScalePageLayoutView="0" workbookViewId="0" topLeftCell="A1">
      <pane ySplit="1" topLeftCell="A235" activePane="bottomLeft" state="frozen"/>
      <selection pane="topLeft" activeCell="A1" sqref="A1"/>
      <selection pane="bottomLeft" activeCell="C282" sqref="C282"/>
    </sheetView>
  </sheetViews>
  <sheetFormatPr defaultColWidth="9.00390625" defaultRowHeight="12.75" outlineLevelCol="1"/>
  <cols>
    <col min="1" max="1" width="21.25390625" style="1" customWidth="1"/>
    <col min="2" max="2" width="6.75390625" style="1" hidden="1" customWidth="1"/>
    <col min="3" max="3" width="46.625" style="1" customWidth="1"/>
    <col min="4" max="4" width="11.125" style="1" customWidth="1"/>
    <col min="5" max="5" width="11.00390625" style="1" customWidth="1"/>
    <col min="6" max="6" width="11.375" style="1" customWidth="1"/>
    <col min="7" max="7" width="9.75390625" style="1" hidden="1" customWidth="1"/>
    <col min="8" max="8" width="10.875" style="1" hidden="1" customWidth="1"/>
    <col min="9" max="9" width="8.00390625" style="1" hidden="1" customWidth="1"/>
    <col min="10" max="10" width="8.25390625" style="1" hidden="1" customWidth="1" outlineLevel="1"/>
    <col min="11" max="11" width="11.00390625" style="1" customWidth="1" collapsed="1"/>
    <col min="12" max="12" width="8.625" style="1" customWidth="1"/>
    <col min="13" max="13" width="9.75390625" style="1" customWidth="1"/>
    <col min="14" max="14" width="10.375" style="1" customWidth="1"/>
    <col min="15" max="16384" width="9.125" style="1" customWidth="1"/>
  </cols>
  <sheetData>
    <row r="1" spans="1:14" ht="12.75">
      <c r="A1" s="198" t="s">
        <v>82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1:11" ht="9.7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14.25" customHeight="1">
      <c r="A3" s="46"/>
      <c r="B3" s="46"/>
      <c r="C3" s="47"/>
      <c r="D3" s="47"/>
      <c r="E3" s="47"/>
      <c r="F3" s="47"/>
      <c r="G3" s="47"/>
      <c r="H3" s="47"/>
      <c r="I3" s="48"/>
      <c r="J3" s="48"/>
      <c r="K3" s="49" t="s">
        <v>65</v>
      </c>
    </row>
    <row r="4" spans="1:14" ht="12.75" customHeight="1">
      <c r="A4" s="50" t="s">
        <v>39</v>
      </c>
      <c r="B4" s="50"/>
      <c r="C4" s="51"/>
      <c r="D4" s="193" t="s">
        <v>76</v>
      </c>
      <c r="E4" s="193" t="s">
        <v>77</v>
      </c>
      <c r="F4" s="193" t="s">
        <v>84</v>
      </c>
      <c r="G4" s="200" t="s">
        <v>66</v>
      </c>
      <c r="H4" s="200" t="s">
        <v>67</v>
      </c>
      <c r="I4" s="200" t="s">
        <v>68</v>
      </c>
      <c r="J4" s="200" t="s">
        <v>69</v>
      </c>
      <c r="K4" s="193" t="s">
        <v>83</v>
      </c>
      <c r="L4" s="193" t="s">
        <v>85</v>
      </c>
      <c r="M4" s="193" t="s">
        <v>78</v>
      </c>
      <c r="N4" s="193" t="s">
        <v>79</v>
      </c>
    </row>
    <row r="5" spans="1:14" ht="27.75" customHeight="1">
      <c r="A5" s="52" t="s">
        <v>44</v>
      </c>
      <c r="B5" s="52"/>
      <c r="C5" s="53" t="s">
        <v>16</v>
      </c>
      <c r="D5" s="194"/>
      <c r="E5" s="194"/>
      <c r="F5" s="194"/>
      <c r="G5" s="201"/>
      <c r="H5" s="201"/>
      <c r="I5" s="201"/>
      <c r="J5" s="201"/>
      <c r="K5" s="194"/>
      <c r="L5" s="194"/>
      <c r="M5" s="194"/>
      <c r="N5" s="194"/>
    </row>
    <row r="6" spans="1:14" ht="39.75" customHeight="1">
      <c r="A6" s="52"/>
      <c r="B6" s="52"/>
      <c r="C6" s="53"/>
      <c r="D6" s="195"/>
      <c r="E6" s="195"/>
      <c r="F6" s="195"/>
      <c r="G6" s="202"/>
      <c r="H6" s="202"/>
      <c r="I6" s="202"/>
      <c r="J6" s="202"/>
      <c r="K6" s="195"/>
      <c r="L6" s="195"/>
      <c r="M6" s="195"/>
      <c r="N6" s="195"/>
    </row>
    <row r="7" spans="1:14" ht="12.75">
      <c r="A7" s="196" t="s">
        <v>22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</row>
    <row r="8" spans="1:14" ht="12.75">
      <c r="A8" s="82" t="s">
        <v>3</v>
      </c>
      <c r="B8" s="63"/>
      <c r="C8" s="69" t="s">
        <v>64</v>
      </c>
      <c r="D8" s="62">
        <f aca="true" t="shared" si="0" ref="D8:J8">D9+D11+D12+D13+D15+D16+D18+D20+D14+D21+D17+D19+D10</f>
        <v>810292.5000000001</v>
      </c>
      <c r="E8" s="62">
        <f t="shared" si="0"/>
        <v>810292.5000000001</v>
      </c>
      <c r="F8" s="62">
        <f>F9+F11+F12+F13+F15+F16+F18+F20+F14+F21+F17+F19+F10</f>
        <v>411684.8000000001</v>
      </c>
      <c r="G8" s="62">
        <f t="shared" si="0"/>
        <v>189630.3</v>
      </c>
      <c r="H8" s="62">
        <f t="shared" si="0"/>
        <v>222054.50000000003</v>
      </c>
      <c r="I8" s="62">
        <f t="shared" si="0"/>
        <v>185044.40000000002</v>
      </c>
      <c r="J8" s="62">
        <f t="shared" si="0"/>
        <v>213563.29999999996</v>
      </c>
      <c r="K8" s="62">
        <f>K9+K11+K12+K13+K15+K16+K18+K20+K14+K21+K17+K19+K10</f>
        <v>314766.2</v>
      </c>
      <c r="L8" s="62">
        <f aca="true" t="shared" si="1" ref="L8:L13">K8*100/F8</f>
        <v>76.45805723213486</v>
      </c>
      <c r="M8" s="24">
        <f aca="true" t="shared" si="2" ref="M8:M13">K8*100/E8</f>
        <v>38.84599697022988</v>
      </c>
      <c r="N8" s="24">
        <f aca="true" t="shared" si="3" ref="N8:N21">K8*100/D8</f>
        <v>38.84599697022988</v>
      </c>
    </row>
    <row r="9" spans="1:14" ht="12.75">
      <c r="A9" s="35" t="s">
        <v>74</v>
      </c>
      <c r="B9" s="12"/>
      <c r="C9" s="54" t="s">
        <v>75</v>
      </c>
      <c r="D9" s="45">
        <v>602385.5</v>
      </c>
      <c r="E9" s="45">
        <f>G9+H9+I9+J9</f>
        <v>602385.5</v>
      </c>
      <c r="F9" s="45">
        <f>G9+H9</f>
        <v>304457.8</v>
      </c>
      <c r="G9" s="45">
        <v>147767</v>
      </c>
      <c r="H9" s="45">
        <v>156690.8</v>
      </c>
      <c r="I9" s="20">
        <v>137881.1</v>
      </c>
      <c r="J9" s="70">
        <v>160046.6</v>
      </c>
      <c r="K9" s="70">
        <v>221468</v>
      </c>
      <c r="L9" s="20">
        <f t="shared" si="1"/>
        <v>72.7417724229762</v>
      </c>
      <c r="M9" s="70">
        <f t="shared" si="2"/>
        <v>36.765161180008484</v>
      </c>
      <c r="N9" s="18">
        <f t="shared" si="3"/>
        <v>36.765161180008484</v>
      </c>
    </row>
    <row r="10" spans="1:14" ht="25.5" customHeight="1">
      <c r="A10" s="35" t="s">
        <v>73</v>
      </c>
      <c r="B10" s="12"/>
      <c r="C10" s="28" t="s">
        <v>72</v>
      </c>
      <c r="D10" s="59">
        <v>3868.9</v>
      </c>
      <c r="E10" s="59">
        <f aca="true" t="shared" si="4" ref="E10:E26">G10+H10+I10+J10</f>
        <v>3868.9000000000005</v>
      </c>
      <c r="F10" s="45">
        <f aca="true" t="shared" si="5" ref="F10:F26">G10+H10</f>
        <v>1934.4</v>
      </c>
      <c r="G10" s="59">
        <v>967.2</v>
      </c>
      <c r="H10" s="59">
        <v>967.2</v>
      </c>
      <c r="I10" s="17">
        <v>967.2</v>
      </c>
      <c r="J10" s="18">
        <v>967.3</v>
      </c>
      <c r="K10" s="18">
        <v>1356</v>
      </c>
      <c r="L10" s="20">
        <f t="shared" si="1"/>
        <v>70.09925558312655</v>
      </c>
      <c r="M10" s="18">
        <f t="shared" si="2"/>
        <v>35.04872185892631</v>
      </c>
      <c r="N10" s="18">
        <f t="shared" si="3"/>
        <v>35.04872185892631</v>
      </c>
    </row>
    <row r="11" spans="1:14" ht="12.75">
      <c r="A11" s="35" t="s">
        <v>8</v>
      </c>
      <c r="B11" s="12"/>
      <c r="C11" s="28" t="s">
        <v>5</v>
      </c>
      <c r="D11" s="59">
        <v>53331.5</v>
      </c>
      <c r="E11" s="59">
        <f t="shared" si="4"/>
        <v>53331.5</v>
      </c>
      <c r="F11" s="45">
        <f t="shared" si="5"/>
        <v>38546.7</v>
      </c>
      <c r="G11" s="59">
        <v>12598.8</v>
      </c>
      <c r="H11" s="59">
        <v>25947.9</v>
      </c>
      <c r="I11" s="17">
        <v>7981</v>
      </c>
      <c r="J11" s="18">
        <v>6803.8</v>
      </c>
      <c r="K11" s="18">
        <v>26806.2</v>
      </c>
      <c r="L11" s="20">
        <f t="shared" si="1"/>
        <v>69.54213979406798</v>
      </c>
      <c r="M11" s="18">
        <f t="shared" si="2"/>
        <v>50.26335280275259</v>
      </c>
      <c r="N11" s="18">
        <f t="shared" si="3"/>
        <v>50.26335280275259</v>
      </c>
    </row>
    <row r="12" spans="1:14" ht="12.75">
      <c r="A12" s="35" t="s">
        <v>9</v>
      </c>
      <c r="B12" s="12"/>
      <c r="C12" s="28" t="s">
        <v>6</v>
      </c>
      <c r="D12" s="59">
        <v>8680</v>
      </c>
      <c r="E12" s="59">
        <f t="shared" si="4"/>
        <v>8680</v>
      </c>
      <c r="F12" s="45">
        <f t="shared" si="5"/>
        <v>3330</v>
      </c>
      <c r="G12" s="59">
        <v>1630</v>
      </c>
      <c r="H12" s="59">
        <v>1700</v>
      </c>
      <c r="I12" s="17">
        <v>1595</v>
      </c>
      <c r="J12" s="18">
        <v>3755</v>
      </c>
      <c r="K12" s="18">
        <v>3886.4</v>
      </c>
      <c r="L12" s="20">
        <f t="shared" si="1"/>
        <v>116.70870870870871</v>
      </c>
      <c r="M12" s="18">
        <f t="shared" si="2"/>
        <v>44.774193548387096</v>
      </c>
      <c r="N12" s="18">
        <f t="shared" si="3"/>
        <v>44.774193548387096</v>
      </c>
    </row>
    <row r="13" spans="1:14" ht="12.75">
      <c r="A13" s="35" t="s">
        <v>10</v>
      </c>
      <c r="B13" s="12"/>
      <c r="C13" s="28" t="s">
        <v>21</v>
      </c>
      <c r="D13" s="59">
        <v>3802</v>
      </c>
      <c r="E13" s="59">
        <f t="shared" si="4"/>
        <v>3802</v>
      </c>
      <c r="F13" s="45">
        <f t="shared" si="5"/>
        <v>1850</v>
      </c>
      <c r="G13" s="59">
        <v>850</v>
      </c>
      <c r="H13" s="59">
        <v>1000</v>
      </c>
      <c r="I13" s="17">
        <v>1000</v>
      </c>
      <c r="J13" s="18">
        <v>952</v>
      </c>
      <c r="K13" s="18">
        <v>1690.8</v>
      </c>
      <c r="L13" s="20">
        <f t="shared" si="1"/>
        <v>91.3945945945946</v>
      </c>
      <c r="M13" s="18">
        <f t="shared" si="2"/>
        <v>44.471330878485006</v>
      </c>
      <c r="N13" s="18">
        <f t="shared" si="3"/>
        <v>44.471330878485006</v>
      </c>
    </row>
    <row r="14" spans="1:14" ht="21.75" customHeight="1" hidden="1">
      <c r="A14" s="35" t="s">
        <v>35</v>
      </c>
      <c r="B14" s="12"/>
      <c r="C14" s="28" t="s">
        <v>36</v>
      </c>
      <c r="D14" s="59"/>
      <c r="E14" s="59">
        <f t="shared" si="4"/>
        <v>0</v>
      </c>
      <c r="F14" s="45">
        <f t="shared" si="5"/>
        <v>0</v>
      </c>
      <c r="G14" s="59"/>
      <c r="H14" s="59"/>
      <c r="I14" s="17"/>
      <c r="J14" s="18"/>
      <c r="K14" s="18"/>
      <c r="L14" s="20"/>
      <c r="M14" s="18"/>
      <c r="N14" s="18" t="e">
        <f t="shared" si="3"/>
        <v>#DIV/0!</v>
      </c>
    </row>
    <row r="15" spans="1:14" ht="24">
      <c r="A15" s="39" t="s">
        <v>11</v>
      </c>
      <c r="B15" s="13"/>
      <c r="C15" s="28" t="s">
        <v>17</v>
      </c>
      <c r="D15" s="59">
        <v>106610.9</v>
      </c>
      <c r="E15" s="59">
        <f t="shared" si="4"/>
        <v>106610.9</v>
      </c>
      <c r="F15" s="45">
        <f t="shared" si="5"/>
        <v>46790.2</v>
      </c>
      <c r="G15" s="59">
        <v>18575</v>
      </c>
      <c r="H15" s="59">
        <v>28215.2</v>
      </c>
      <c r="I15" s="17">
        <v>26102.5</v>
      </c>
      <c r="J15" s="18">
        <v>33718.2</v>
      </c>
      <c r="K15" s="18">
        <v>38734.1</v>
      </c>
      <c r="L15" s="20">
        <f aca="true" t="shared" si="6" ref="L15:L20">K15*100/F15</f>
        <v>82.78250573838112</v>
      </c>
      <c r="M15" s="18">
        <f aca="true" t="shared" si="7" ref="M15:M20">K15*100/E15</f>
        <v>36.33221368546744</v>
      </c>
      <c r="N15" s="18">
        <f t="shared" si="3"/>
        <v>36.33221368546744</v>
      </c>
    </row>
    <row r="16" spans="1:14" ht="12.75">
      <c r="A16" s="40" t="s">
        <v>14</v>
      </c>
      <c r="B16" s="29"/>
      <c r="C16" s="28" t="s">
        <v>13</v>
      </c>
      <c r="D16" s="59">
        <v>18177.1</v>
      </c>
      <c r="E16" s="59">
        <f t="shared" si="4"/>
        <v>18177.1</v>
      </c>
      <c r="F16" s="45">
        <f t="shared" si="5"/>
        <v>9088.9</v>
      </c>
      <c r="G16" s="59">
        <v>4544.4</v>
      </c>
      <c r="H16" s="59">
        <v>4544.5</v>
      </c>
      <c r="I16" s="17">
        <v>4544.5</v>
      </c>
      <c r="J16" s="18">
        <v>4543.7</v>
      </c>
      <c r="K16" s="18">
        <v>7813.2</v>
      </c>
      <c r="L16" s="20">
        <f t="shared" si="6"/>
        <v>85.9641980877774</v>
      </c>
      <c r="M16" s="18">
        <f t="shared" si="7"/>
        <v>42.98375428423676</v>
      </c>
      <c r="N16" s="18">
        <f t="shared" si="3"/>
        <v>42.98375428423676</v>
      </c>
    </row>
    <row r="17" spans="1:14" ht="24">
      <c r="A17" s="41" t="s">
        <v>40</v>
      </c>
      <c r="B17" s="30"/>
      <c r="C17" s="28" t="s">
        <v>41</v>
      </c>
      <c r="D17" s="59">
        <v>740.3</v>
      </c>
      <c r="E17" s="59">
        <f t="shared" si="4"/>
        <v>785.3</v>
      </c>
      <c r="F17" s="45">
        <f t="shared" si="5"/>
        <v>376</v>
      </c>
      <c r="G17" s="59">
        <v>47.4</v>
      </c>
      <c r="H17" s="59">
        <v>328.6</v>
      </c>
      <c r="I17" s="17">
        <v>320.8</v>
      </c>
      <c r="J17" s="18">
        <f>43.5+45</f>
        <v>88.5</v>
      </c>
      <c r="K17" s="18">
        <v>-359</v>
      </c>
      <c r="L17" s="20">
        <f t="shared" si="6"/>
        <v>-95.47872340425532</v>
      </c>
      <c r="M17" s="18">
        <f t="shared" si="7"/>
        <v>-45.715013370686364</v>
      </c>
      <c r="N17" s="18">
        <f t="shared" si="3"/>
        <v>-48.49385384303661</v>
      </c>
    </row>
    <row r="18" spans="1:14" ht="24">
      <c r="A18" s="41" t="s">
        <v>18</v>
      </c>
      <c r="B18" s="30"/>
      <c r="C18" s="28" t="s">
        <v>15</v>
      </c>
      <c r="D18" s="59">
        <v>8611.5</v>
      </c>
      <c r="E18" s="59">
        <f t="shared" si="4"/>
        <v>8611.5</v>
      </c>
      <c r="F18" s="45">
        <f t="shared" si="5"/>
        <v>3305.4</v>
      </c>
      <c r="G18" s="59">
        <v>1652.7</v>
      </c>
      <c r="H18" s="59">
        <v>1652.7</v>
      </c>
      <c r="I18" s="17">
        <v>3652.7</v>
      </c>
      <c r="J18" s="18">
        <v>1653.4</v>
      </c>
      <c r="K18" s="18">
        <v>6673.3</v>
      </c>
      <c r="L18" s="20">
        <f t="shared" si="6"/>
        <v>201.89084528347553</v>
      </c>
      <c r="M18" s="18">
        <f t="shared" si="7"/>
        <v>77.49288741798757</v>
      </c>
      <c r="N18" s="18">
        <f t="shared" si="3"/>
        <v>77.49288741798757</v>
      </c>
    </row>
    <row r="19" spans="1:14" ht="12.75">
      <c r="A19" s="41" t="s">
        <v>57</v>
      </c>
      <c r="B19" s="30"/>
      <c r="C19" s="28" t="s">
        <v>58</v>
      </c>
      <c r="D19" s="59">
        <v>11</v>
      </c>
      <c r="E19" s="59">
        <f t="shared" si="4"/>
        <v>11</v>
      </c>
      <c r="F19" s="45">
        <f t="shared" si="5"/>
        <v>4</v>
      </c>
      <c r="G19" s="59">
        <v>2</v>
      </c>
      <c r="H19" s="59">
        <v>2</v>
      </c>
      <c r="I19" s="17">
        <v>2</v>
      </c>
      <c r="J19" s="18">
        <v>5</v>
      </c>
      <c r="K19" s="18">
        <v>43</v>
      </c>
      <c r="L19" s="20">
        <f t="shared" si="6"/>
        <v>1075</v>
      </c>
      <c r="M19" s="18">
        <f t="shared" si="7"/>
        <v>390.90909090909093</v>
      </c>
      <c r="N19" s="18">
        <f t="shared" si="3"/>
        <v>390.90909090909093</v>
      </c>
    </row>
    <row r="20" spans="1:14" ht="12.75">
      <c r="A20" s="37" t="s">
        <v>12</v>
      </c>
      <c r="B20" s="21"/>
      <c r="C20" s="28" t="s">
        <v>7</v>
      </c>
      <c r="D20" s="59">
        <v>4028.8</v>
      </c>
      <c r="E20" s="59">
        <f t="shared" si="4"/>
        <v>4028.8</v>
      </c>
      <c r="F20" s="45">
        <f t="shared" si="5"/>
        <v>2001.4</v>
      </c>
      <c r="G20" s="59">
        <v>995.8</v>
      </c>
      <c r="H20" s="59">
        <v>1005.6</v>
      </c>
      <c r="I20" s="17">
        <v>997.6</v>
      </c>
      <c r="J20" s="18">
        <v>1029.8</v>
      </c>
      <c r="K20" s="18">
        <v>6657.2</v>
      </c>
      <c r="L20" s="20">
        <f t="shared" si="6"/>
        <v>332.62716098730886</v>
      </c>
      <c r="M20" s="18">
        <f t="shared" si="7"/>
        <v>165.24027005559967</v>
      </c>
      <c r="N20" s="18">
        <f t="shared" si="3"/>
        <v>165.24027005559967</v>
      </c>
    </row>
    <row r="21" spans="1:14" ht="12.75">
      <c r="A21" s="83" t="s">
        <v>37</v>
      </c>
      <c r="B21" s="61"/>
      <c r="C21" s="16" t="s">
        <v>38</v>
      </c>
      <c r="D21" s="59">
        <v>45</v>
      </c>
      <c r="E21" s="59">
        <f t="shared" si="4"/>
        <v>0</v>
      </c>
      <c r="F21" s="45">
        <f t="shared" si="5"/>
        <v>0</v>
      </c>
      <c r="G21" s="59"/>
      <c r="H21" s="59"/>
      <c r="I21" s="17"/>
      <c r="J21" s="18"/>
      <c r="K21" s="18">
        <v>-3</v>
      </c>
      <c r="L21" s="20"/>
      <c r="M21" s="18"/>
      <c r="N21" s="18">
        <f t="shared" si="3"/>
        <v>-6.666666666666667</v>
      </c>
    </row>
    <row r="22" spans="1:14" ht="12.75">
      <c r="A22" s="36" t="s">
        <v>1</v>
      </c>
      <c r="B22" s="25"/>
      <c r="C22" s="31" t="s">
        <v>0</v>
      </c>
      <c r="D22" s="32">
        <f aca="true" t="shared" si="8" ref="D22:J22">D23+D24+D26+D25</f>
        <v>3698820.7</v>
      </c>
      <c r="E22" s="32">
        <f>E23+E24+E26+E25</f>
        <v>3746838.9000000004</v>
      </c>
      <c r="F22" s="32">
        <f t="shared" si="8"/>
        <v>1711465.9999999998</v>
      </c>
      <c r="G22" s="32">
        <f t="shared" si="8"/>
        <v>678504.7999999999</v>
      </c>
      <c r="H22" s="32">
        <f t="shared" si="8"/>
        <v>1032961.2</v>
      </c>
      <c r="I22" s="32">
        <f t="shared" si="8"/>
        <v>687963.6</v>
      </c>
      <c r="J22" s="32">
        <f t="shared" si="8"/>
        <v>1347409.3</v>
      </c>
      <c r="K22" s="32">
        <f>K23+K24+K26+K25</f>
        <v>926402.9999999999</v>
      </c>
      <c r="L22" s="27">
        <f aca="true" t="shared" si="9" ref="L22:L27">K22*100/F22</f>
        <v>54.129208526491325</v>
      </c>
      <c r="M22" s="24">
        <f aca="true" t="shared" si="10" ref="M22:M27">K22*100/E22</f>
        <v>24.724922120350563</v>
      </c>
      <c r="N22" s="24">
        <f>K22*100/D22</f>
        <v>25.04590179242805</v>
      </c>
    </row>
    <row r="23" spans="1:14" ht="24">
      <c r="A23" s="83" t="s">
        <v>63</v>
      </c>
      <c r="B23" s="12"/>
      <c r="C23" s="33" t="s">
        <v>20</v>
      </c>
      <c r="D23" s="58">
        <v>3698820.7</v>
      </c>
      <c r="E23" s="59">
        <f t="shared" si="4"/>
        <v>3717917.7</v>
      </c>
      <c r="F23" s="45">
        <f t="shared" si="5"/>
        <v>1717844.7999999998</v>
      </c>
      <c r="G23" s="59">
        <v>684883.6</v>
      </c>
      <c r="H23" s="59">
        <v>1032961.2</v>
      </c>
      <c r="I23" s="18">
        <v>682963.6</v>
      </c>
      <c r="J23" s="18">
        <v>1317109.3</v>
      </c>
      <c r="K23" s="18">
        <v>925112.7</v>
      </c>
      <c r="L23" s="20">
        <f t="shared" si="9"/>
        <v>53.85310128132647</v>
      </c>
      <c r="M23" s="18">
        <f t="shared" si="10"/>
        <v>24.882549175308533</v>
      </c>
      <c r="N23" s="18">
        <f>K23*100/D23</f>
        <v>25.011017700858005</v>
      </c>
    </row>
    <row r="24" spans="1:14" ht="18.75" customHeight="1">
      <c r="A24" s="83" t="s">
        <v>71</v>
      </c>
      <c r="B24" s="14"/>
      <c r="C24" s="34" t="s">
        <v>19</v>
      </c>
      <c r="D24" s="65"/>
      <c r="E24" s="59">
        <f t="shared" si="4"/>
        <v>35300</v>
      </c>
      <c r="F24" s="45">
        <f t="shared" si="5"/>
        <v>0</v>
      </c>
      <c r="G24" s="65"/>
      <c r="H24" s="65"/>
      <c r="I24" s="18">
        <v>5000</v>
      </c>
      <c r="J24" s="18">
        <v>30300</v>
      </c>
      <c r="K24" s="18">
        <v>7669.1</v>
      </c>
      <c r="L24" s="20"/>
      <c r="M24" s="18">
        <f t="shared" si="10"/>
        <v>21.725495750708216</v>
      </c>
      <c r="N24" s="18"/>
    </row>
    <row r="25" spans="1:14" ht="61.5" customHeight="1" hidden="1">
      <c r="A25" s="83" t="s">
        <v>70</v>
      </c>
      <c r="B25" s="15" t="s">
        <v>61</v>
      </c>
      <c r="C25" s="16" t="s">
        <v>61</v>
      </c>
      <c r="D25" s="59"/>
      <c r="E25" s="59">
        <f t="shared" si="4"/>
        <v>0</v>
      </c>
      <c r="F25" s="45">
        <f t="shared" si="5"/>
        <v>0</v>
      </c>
      <c r="G25" s="59"/>
      <c r="H25" s="59"/>
      <c r="I25" s="18"/>
      <c r="J25" s="18"/>
      <c r="K25" s="18"/>
      <c r="L25" s="20" t="e">
        <f t="shared" si="9"/>
        <v>#DIV/0!</v>
      </c>
      <c r="M25" s="18" t="e">
        <f t="shared" si="10"/>
        <v>#DIV/0!</v>
      </c>
      <c r="N25" s="18"/>
    </row>
    <row r="26" spans="1:14" ht="39" customHeight="1">
      <c r="A26" s="83" t="s">
        <v>62</v>
      </c>
      <c r="B26" s="66"/>
      <c r="C26" s="19" t="s">
        <v>60</v>
      </c>
      <c r="D26" s="71"/>
      <c r="E26" s="59">
        <f t="shared" si="4"/>
        <v>-6378.8</v>
      </c>
      <c r="F26" s="45">
        <f t="shared" si="5"/>
        <v>-6378.8</v>
      </c>
      <c r="G26" s="71">
        <v>-6378.8</v>
      </c>
      <c r="H26" s="71"/>
      <c r="I26" s="18"/>
      <c r="J26" s="18"/>
      <c r="K26" s="18">
        <v>-6378.8</v>
      </c>
      <c r="L26" s="20">
        <f t="shared" si="9"/>
        <v>100</v>
      </c>
      <c r="M26" s="18">
        <f t="shared" si="10"/>
        <v>100</v>
      </c>
      <c r="N26" s="18"/>
    </row>
    <row r="27" spans="1:14" ht="12.75">
      <c r="A27" s="37"/>
      <c r="B27" s="22"/>
      <c r="C27" s="23" t="s">
        <v>4</v>
      </c>
      <c r="D27" s="24">
        <f aca="true" t="shared" si="11" ref="D27:J27">D22+D8</f>
        <v>4509113.2</v>
      </c>
      <c r="E27" s="24">
        <f t="shared" si="11"/>
        <v>4557131.4</v>
      </c>
      <c r="F27" s="24">
        <f t="shared" si="11"/>
        <v>2123150.8</v>
      </c>
      <c r="G27" s="24">
        <f t="shared" si="11"/>
        <v>868135.0999999999</v>
      </c>
      <c r="H27" s="24">
        <f t="shared" si="11"/>
        <v>1255015.7</v>
      </c>
      <c r="I27" s="24">
        <f t="shared" si="11"/>
        <v>873008</v>
      </c>
      <c r="J27" s="24">
        <f t="shared" si="11"/>
        <v>1560972.6</v>
      </c>
      <c r="K27" s="24">
        <f>K22+K8</f>
        <v>1241169.2</v>
      </c>
      <c r="L27" s="27">
        <f t="shared" si="9"/>
        <v>58.45883391796758</v>
      </c>
      <c r="M27" s="24">
        <f t="shared" si="10"/>
        <v>27.235756247888748</v>
      </c>
      <c r="N27" s="24">
        <f>K27*100/D27</f>
        <v>27.525793763616313</v>
      </c>
    </row>
    <row r="28" spans="1:14" ht="12.75">
      <c r="A28" s="190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27"/>
      <c r="M28" s="24"/>
      <c r="N28" s="18"/>
    </row>
    <row r="29" spans="1:14" ht="12.75">
      <c r="A29" s="196" t="s">
        <v>23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</row>
    <row r="30" spans="1:14" ht="12.75">
      <c r="A30" s="36" t="s">
        <v>3</v>
      </c>
      <c r="B30" s="25"/>
      <c r="C30" s="26" t="s">
        <v>64</v>
      </c>
      <c r="D30" s="27">
        <f aca="true" t="shared" si="12" ref="D30:J30">D31+D33+D35+D37+D34+D36+D39+D32</f>
        <v>19719.7</v>
      </c>
      <c r="E30" s="27">
        <f t="shared" si="12"/>
        <v>19925.6</v>
      </c>
      <c r="F30" s="27">
        <f t="shared" si="12"/>
        <v>10190.599999999999</v>
      </c>
      <c r="G30" s="27">
        <f t="shared" si="12"/>
        <v>4576.9</v>
      </c>
      <c r="H30" s="27">
        <f t="shared" si="12"/>
        <v>5613.7</v>
      </c>
      <c r="I30" s="27">
        <f t="shared" si="12"/>
        <v>4525.400000000001</v>
      </c>
      <c r="J30" s="27">
        <f t="shared" si="12"/>
        <v>5209.6</v>
      </c>
      <c r="K30" s="27">
        <f>K31+K33+K35+K37+K34+K36+K39+K32+K38</f>
        <v>6689.599999999999</v>
      </c>
      <c r="L30" s="27">
        <f aca="true" t="shared" si="13" ref="L30:L36">K30*100/F30</f>
        <v>65.64480992287011</v>
      </c>
      <c r="M30" s="24">
        <f aca="true" t="shared" si="14" ref="M30:M35">K30*100/E30</f>
        <v>33.57289115509696</v>
      </c>
      <c r="N30" s="24">
        <f aca="true" t="shared" si="15" ref="N30:N36">K30*100/D30</f>
        <v>33.92343696912225</v>
      </c>
    </row>
    <row r="31" spans="1:18" ht="12.75">
      <c r="A31" s="35" t="s">
        <v>74</v>
      </c>
      <c r="B31" s="12"/>
      <c r="C31" s="54" t="s">
        <v>75</v>
      </c>
      <c r="D31" s="45">
        <v>16000</v>
      </c>
      <c r="E31" s="59">
        <f aca="true" t="shared" si="16" ref="E31:E37">G31+H31+I31+J31</f>
        <v>16000</v>
      </c>
      <c r="F31" s="45">
        <f aca="true" t="shared" si="17" ref="F31:F41">G31+H31</f>
        <v>8685.5</v>
      </c>
      <c r="G31" s="45">
        <v>3704.1</v>
      </c>
      <c r="H31" s="45">
        <v>4981.4</v>
      </c>
      <c r="I31" s="17">
        <v>3757.6</v>
      </c>
      <c r="J31" s="18">
        <v>3556.9</v>
      </c>
      <c r="K31" s="70">
        <v>5569.7</v>
      </c>
      <c r="L31" s="20">
        <f t="shared" si="13"/>
        <v>64.12641759253928</v>
      </c>
      <c r="M31" s="18">
        <f t="shared" si="14"/>
        <v>34.810625</v>
      </c>
      <c r="N31" s="18">
        <f t="shared" si="15"/>
        <v>34.810625</v>
      </c>
      <c r="R31" s="2"/>
    </row>
    <row r="32" spans="1:14" ht="25.5" customHeight="1">
      <c r="A32" s="35" t="s">
        <v>73</v>
      </c>
      <c r="B32" s="12"/>
      <c r="C32" s="28" t="s">
        <v>72</v>
      </c>
      <c r="D32" s="59">
        <v>1802.4</v>
      </c>
      <c r="E32" s="59">
        <f t="shared" si="16"/>
        <v>1950.8</v>
      </c>
      <c r="F32" s="45">
        <f t="shared" si="17"/>
        <v>1049</v>
      </c>
      <c r="G32" s="45">
        <v>598.7</v>
      </c>
      <c r="H32" s="45">
        <v>450.3</v>
      </c>
      <c r="I32" s="17">
        <v>450.6</v>
      </c>
      <c r="J32" s="18">
        <v>451.2</v>
      </c>
      <c r="K32" s="70">
        <v>631.7</v>
      </c>
      <c r="L32" s="20">
        <f t="shared" si="13"/>
        <v>60.21925643469972</v>
      </c>
      <c r="M32" s="18">
        <f t="shared" si="14"/>
        <v>32.38158704121386</v>
      </c>
      <c r="N32" s="18">
        <f t="shared" si="15"/>
        <v>35.04771415889925</v>
      </c>
    </row>
    <row r="33" spans="1:14" ht="12.75">
      <c r="A33" s="35" t="s">
        <v>9</v>
      </c>
      <c r="B33" s="12"/>
      <c r="C33" s="28" t="s">
        <v>6</v>
      </c>
      <c r="D33" s="59">
        <v>1250</v>
      </c>
      <c r="E33" s="59">
        <f t="shared" si="16"/>
        <v>1250</v>
      </c>
      <c r="F33" s="45">
        <f t="shared" si="17"/>
        <v>104.80000000000001</v>
      </c>
      <c r="G33" s="59">
        <v>66.2</v>
      </c>
      <c r="H33" s="59">
        <v>38.6</v>
      </c>
      <c r="I33" s="17">
        <v>229.8</v>
      </c>
      <c r="J33" s="18">
        <v>915.4</v>
      </c>
      <c r="K33" s="18">
        <v>153.4</v>
      </c>
      <c r="L33" s="20">
        <f t="shared" si="13"/>
        <v>146.3740458015267</v>
      </c>
      <c r="M33" s="18">
        <f t="shared" si="14"/>
        <v>12.272</v>
      </c>
      <c r="N33" s="18">
        <f t="shared" si="15"/>
        <v>12.272</v>
      </c>
    </row>
    <row r="34" spans="1:14" ht="12.75">
      <c r="A34" s="35" t="s">
        <v>10</v>
      </c>
      <c r="B34" s="12"/>
      <c r="C34" s="28" t="s">
        <v>21</v>
      </c>
      <c r="D34" s="59">
        <v>12.3</v>
      </c>
      <c r="E34" s="59">
        <f t="shared" si="16"/>
        <v>12.3</v>
      </c>
      <c r="F34" s="45">
        <f t="shared" si="17"/>
        <v>6</v>
      </c>
      <c r="G34" s="59">
        <v>3</v>
      </c>
      <c r="H34" s="59">
        <v>3</v>
      </c>
      <c r="I34" s="17">
        <v>3</v>
      </c>
      <c r="J34" s="18">
        <v>3.3</v>
      </c>
      <c r="K34" s="18">
        <v>1.1</v>
      </c>
      <c r="L34" s="20">
        <f t="shared" si="13"/>
        <v>18.333333333333336</v>
      </c>
      <c r="M34" s="18">
        <f t="shared" si="14"/>
        <v>8.94308943089431</v>
      </c>
      <c r="N34" s="18">
        <f t="shared" si="15"/>
        <v>8.94308943089431</v>
      </c>
    </row>
    <row r="35" spans="1:14" ht="24">
      <c r="A35" s="39" t="s">
        <v>11</v>
      </c>
      <c r="B35" s="13"/>
      <c r="C35" s="28" t="s">
        <v>17</v>
      </c>
      <c r="D35" s="59">
        <v>505</v>
      </c>
      <c r="E35" s="59">
        <f t="shared" si="16"/>
        <v>505</v>
      </c>
      <c r="F35" s="45">
        <f t="shared" si="17"/>
        <v>238</v>
      </c>
      <c r="G35" s="59">
        <v>122.5</v>
      </c>
      <c r="H35" s="59">
        <v>115.5</v>
      </c>
      <c r="I35" s="17">
        <v>59.5</v>
      </c>
      <c r="J35" s="18">
        <v>207.5</v>
      </c>
      <c r="K35" s="18">
        <v>212.3</v>
      </c>
      <c r="L35" s="20">
        <f t="shared" si="13"/>
        <v>89.2016806722689</v>
      </c>
      <c r="M35" s="18">
        <f t="shared" si="14"/>
        <v>42.039603960396036</v>
      </c>
      <c r="N35" s="18">
        <f t="shared" si="15"/>
        <v>42.039603960396036</v>
      </c>
    </row>
    <row r="36" spans="1:14" ht="24" customHeight="1">
      <c r="A36" s="41" t="s">
        <v>40</v>
      </c>
      <c r="B36" s="30"/>
      <c r="C36" s="28" t="s">
        <v>41</v>
      </c>
      <c r="D36" s="59">
        <v>50</v>
      </c>
      <c r="E36" s="59">
        <f t="shared" si="16"/>
        <v>107.5</v>
      </c>
      <c r="F36" s="45">
        <f t="shared" si="17"/>
        <v>57.5</v>
      </c>
      <c r="G36" s="59">
        <v>57.5</v>
      </c>
      <c r="H36" s="59"/>
      <c r="I36" s="17"/>
      <c r="J36" s="18">
        <v>50</v>
      </c>
      <c r="K36" s="18">
        <v>108.4</v>
      </c>
      <c r="L36" s="20">
        <f t="shared" si="13"/>
        <v>188.52173913043478</v>
      </c>
      <c r="M36" s="18">
        <f>K36*100/E36</f>
        <v>100.83720930232558</v>
      </c>
      <c r="N36" s="18">
        <f t="shared" si="15"/>
        <v>216.8</v>
      </c>
    </row>
    <row r="37" spans="1:14" ht="13.5" customHeight="1">
      <c r="A37" s="40" t="s">
        <v>18</v>
      </c>
      <c r="B37" s="29"/>
      <c r="C37" s="28" t="s">
        <v>15</v>
      </c>
      <c r="D37" s="59">
        <v>100</v>
      </c>
      <c r="E37" s="59">
        <f t="shared" si="16"/>
        <v>99.99999999999999</v>
      </c>
      <c r="F37" s="45">
        <f t="shared" si="17"/>
        <v>49.8</v>
      </c>
      <c r="G37" s="59">
        <v>24.9</v>
      </c>
      <c r="H37" s="59">
        <v>24.9</v>
      </c>
      <c r="I37" s="17">
        <v>24.9</v>
      </c>
      <c r="J37" s="18">
        <v>25.3</v>
      </c>
      <c r="K37" s="18">
        <v>5.9</v>
      </c>
      <c r="L37" s="20">
        <f>K37*100/F37</f>
        <v>11.847389558232932</v>
      </c>
      <c r="M37" s="18">
        <f>K37*100/E37</f>
        <v>5.900000000000001</v>
      </c>
      <c r="N37" s="18">
        <f>K37*100/D37</f>
        <v>5.9</v>
      </c>
    </row>
    <row r="38" spans="1:14" ht="14.25" customHeight="1" hidden="1">
      <c r="A38" s="37" t="s">
        <v>12</v>
      </c>
      <c r="B38" s="60"/>
      <c r="C38" s="28" t="s">
        <v>7</v>
      </c>
      <c r="D38" s="72"/>
      <c r="E38" s="59"/>
      <c r="F38" s="45">
        <f t="shared" si="17"/>
        <v>0</v>
      </c>
      <c r="G38" s="59"/>
      <c r="H38" s="59"/>
      <c r="I38" s="17"/>
      <c r="J38" s="18"/>
      <c r="K38" s="18"/>
      <c r="L38" s="20"/>
      <c r="M38" s="18"/>
      <c r="N38" s="18"/>
    </row>
    <row r="39" spans="1:14" ht="15.75" customHeight="1">
      <c r="A39" s="83" t="s">
        <v>37</v>
      </c>
      <c r="B39" s="61"/>
      <c r="C39" s="16" t="s">
        <v>38</v>
      </c>
      <c r="D39" s="59"/>
      <c r="E39" s="28"/>
      <c r="F39" s="45">
        <f t="shared" si="17"/>
        <v>0</v>
      </c>
      <c r="G39" s="59"/>
      <c r="H39" s="59"/>
      <c r="I39" s="17"/>
      <c r="J39" s="18"/>
      <c r="K39" s="18">
        <v>7.1</v>
      </c>
      <c r="L39" s="27"/>
      <c r="M39" s="24"/>
      <c r="N39" s="18"/>
    </row>
    <row r="40" spans="1:14" ht="12.75">
      <c r="A40" s="36" t="s">
        <v>1</v>
      </c>
      <c r="B40" s="25"/>
      <c r="C40" s="31" t="s">
        <v>0</v>
      </c>
      <c r="D40" s="32">
        <f aca="true" t="shared" si="18" ref="D40:J40">D41+D42</f>
        <v>6852.5</v>
      </c>
      <c r="E40" s="32">
        <f t="shared" si="18"/>
        <v>7052.499999999999</v>
      </c>
      <c r="F40" s="32">
        <f t="shared" si="18"/>
        <v>3625.7</v>
      </c>
      <c r="G40" s="32">
        <f t="shared" si="18"/>
        <v>1912.8</v>
      </c>
      <c r="H40" s="32">
        <f t="shared" si="18"/>
        <v>1712.9</v>
      </c>
      <c r="I40" s="32">
        <f t="shared" si="18"/>
        <v>1713.1</v>
      </c>
      <c r="J40" s="32">
        <f t="shared" si="18"/>
        <v>1713.7</v>
      </c>
      <c r="K40" s="32">
        <f>K41+K42</f>
        <v>1802</v>
      </c>
      <c r="L40" s="27">
        <f>K40*100/F40</f>
        <v>49.7007474418733</v>
      </c>
      <c r="M40" s="24">
        <f>K40*100/E40</f>
        <v>25.55122297057781</v>
      </c>
      <c r="N40" s="24">
        <f>K40*100/D40</f>
        <v>26.29697190806275</v>
      </c>
    </row>
    <row r="41" spans="1:14" ht="23.25" customHeight="1">
      <c r="A41" s="83" t="s">
        <v>63</v>
      </c>
      <c r="B41" s="12"/>
      <c r="C41" s="33" t="s">
        <v>20</v>
      </c>
      <c r="D41" s="58">
        <v>6852.5</v>
      </c>
      <c r="E41" s="59">
        <f>G41+H41+I41+J41</f>
        <v>7052.499999999999</v>
      </c>
      <c r="F41" s="45">
        <f t="shared" si="17"/>
        <v>3625.7</v>
      </c>
      <c r="G41" s="58">
        <v>1912.8</v>
      </c>
      <c r="H41" s="58">
        <v>1712.9</v>
      </c>
      <c r="I41" s="17">
        <v>1713.1</v>
      </c>
      <c r="J41" s="58">
        <v>1713.7</v>
      </c>
      <c r="K41" s="18">
        <v>1802</v>
      </c>
      <c r="L41" s="20">
        <f>K41*100/F41</f>
        <v>49.7007474418733</v>
      </c>
      <c r="M41" s="18">
        <f>K41*100/E41</f>
        <v>25.55122297057781</v>
      </c>
      <c r="N41" s="18">
        <f>K41*100/D41</f>
        <v>26.29697190806275</v>
      </c>
    </row>
    <row r="42" spans="1:14" ht="37.5" customHeight="1" hidden="1">
      <c r="A42" s="14" t="s">
        <v>62</v>
      </c>
      <c r="B42" s="66"/>
      <c r="C42" s="19" t="s">
        <v>60</v>
      </c>
      <c r="D42" s="71"/>
      <c r="E42" s="59">
        <f>G42+H42+I42+J42</f>
        <v>0</v>
      </c>
      <c r="F42" s="45">
        <f>G42</f>
        <v>0</v>
      </c>
      <c r="G42" s="58"/>
      <c r="H42" s="58"/>
      <c r="I42" s="17"/>
      <c r="J42" s="58"/>
      <c r="K42" s="18"/>
      <c r="L42" s="20"/>
      <c r="M42" s="18"/>
      <c r="N42" s="18"/>
    </row>
    <row r="43" spans="1:14" ht="12.75">
      <c r="A43" s="21"/>
      <c r="B43" s="22"/>
      <c r="C43" s="23" t="s">
        <v>4</v>
      </c>
      <c r="D43" s="24">
        <f aca="true" t="shared" si="19" ref="D43:J43">D40+D30</f>
        <v>26572.2</v>
      </c>
      <c r="E43" s="24">
        <f t="shared" si="19"/>
        <v>26978.1</v>
      </c>
      <c r="F43" s="24">
        <f t="shared" si="19"/>
        <v>13816.3</v>
      </c>
      <c r="G43" s="24">
        <f t="shared" si="19"/>
        <v>6489.7</v>
      </c>
      <c r="H43" s="24">
        <f t="shared" si="19"/>
        <v>7326.6</v>
      </c>
      <c r="I43" s="24">
        <f t="shared" si="19"/>
        <v>6238.5</v>
      </c>
      <c r="J43" s="24">
        <f t="shared" si="19"/>
        <v>6923.3</v>
      </c>
      <c r="K43" s="24">
        <f>K40+K30</f>
        <v>8491.599999999999</v>
      </c>
      <c r="L43" s="27">
        <f>K43*100/F43</f>
        <v>61.460738403190426</v>
      </c>
      <c r="M43" s="24">
        <f>K43*100/E43</f>
        <v>31.475900823260346</v>
      </c>
      <c r="N43" s="24">
        <f>K43*100/D43</f>
        <v>31.956706633248277</v>
      </c>
    </row>
    <row r="44" spans="1:14" ht="12.75">
      <c r="A44" s="55"/>
      <c r="B44" s="56"/>
      <c r="C44" s="192"/>
      <c r="D44" s="192"/>
      <c r="E44" s="192"/>
      <c r="F44" s="192"/>
      <c r="G44" s="192"/>
      <c r="H44" s="192"/>
      <c r="I44" s="192"/>
      <c r="J44" s="192"/>
      <c r="K44" s="192"/>
      <c r="L44" s="27"/>
      <c r="M44" s="24"/>
      <c r="N44" s="18"/>
    </row>
    <row r="45" spans="1:14" ht="12.75">
      <c r="A45" s="196" t="s">
        <v>24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</row>
    <row r="46" spans="1:14" ht="12.75">
      <c r="A46" s="36" t="s">
        <v>3</v>
      </c>
      <c r="B46" s="25"/>
      <c r="C46" s="26" t="s">
        <v>64</v>
      </c>
      <c r="D46" s="27">
        <f aca="true" t="shared" si="20" ref="D46:J46">D47+D50+D52+D54+D55+D56+D51+D49+D48+D53</f>
        <v>22750.7</v>
      </c>
      <c r="E46" s="27">
        <f t="shared" si="20"/>
        <v>23103.300000000003</v>
      </c>
      <c r="F46" s="27">
        <f t="shared" si="20"/>
        <v>11180</v>
      </c>
      <c r="G46" s="27">
        <f t="shared" si="20"/>
        <v>5616</v>
      </c>
      <c r="H46" s="27">
        <f t="shared" si="20"/>
        <v>5564</v>
      </c>
      <c r="I46" s="27">
        <f t="shared" si="20"/>
        <v>5048.1</v>
      </c>
      <c r="J46" s="27">
        <f t="shared" si="20"/>
        <v>6875.2</v>
      </c>
      <c r="K46" s="27">
        <f>K47+K50+K52+K54+K55+K56+K51+K49+K48+K53+0.1</f>
        <v>6988.5</v>
      </c>
      <c r="L46" s="27">
        <f>K46*100/F46</f>
        <v>62.508944543828264</v>
      </c>
      <c r="M46" s="24">
        <f>K46*100/E46</f>
        <v>30.24892547817844</v>
      </c>
      <c r="N46" s="24">
        <f aca="true" t="shared" si="21" ref="N46:N52">K46*100/D46</f>
        <v>30.717736157568776</v>
      </c>
    </row>
    <row r="47" spans="1:18" ht="13.5" customHeight="1">
      <c r="A47" s="35" t="s">
        <v>74</v>
      </c>
      <c r="B47" s="12"/>
      <c r="C47" s="54" t="s">
        <v>75</v>
      </c>
      <c r="D47" s="45">
        <v>14200</v>
      </c>
      <c r="E47" s="59">
        <f aca="true" t="shared" si="22" ref="E47:E60">G47+H47+I47+J47</f>
        <v>14200</v>
      </c>
      <c r="F47" s="45">
        <f aca="true" t="shared" si="23" ref="F47:F58">G47+H47</f>
        <v>7060</v>
      </c>
      <c r="G47" s="59">
        <v>3128</v>
      </c>
      <c r="H47" s="59">
        <v>3932</v>
      </c>
      <c r="I47" s="17">
        <v>3434</v>
      </c>
      <c r="J47" s="18">
        <v>3706</v>
      </c>
      <c r="K47" s="70">
        <v>4107.2</v>
      </c>
      <c r="L47" s="20">
        <f>K47*100/F47</f>
        <v>58.17563739376771</v>
      </c>
      <c r="M47" s="18">
        <f>K47*100/E47</f>
        <v>28.92394366197183</v>
      </c>
      <c r="N47" s="18">
        <f t="shared" si="21"/>
        <v>28.92394366197183</v>
      </c>
      <c r="R47" s="2"/>
    </row>
    <row r="48" spans="1:14" ht="25.5" customHeight="1">
      <c r="A48" s="35" t="s">
        <v>73</v>
      </c>
      <c r="B48" s="12"/>
      <c r="C48" s="28" t="s">
        <v>72</v>
      </c>
      <c r="D48" s="59">
        <v>4245.2</v>
      </c>
      <c r="E48" s="59">
        <f t="shared" si="22"/>
        <v>4594.9</v>
      </c>
      <c r="F48" s="45">
        <f t="shared" si="23"/>
        <v>2470.7</v>
      </c>
      <c r="G48" s="59">
        <v>1409.6</v>
      </c>
      <c r="H48" s="59">
        <v>1061.1</v>
      </c>
      <c r="I48" s="17">
        <v>1061.2</v>
      </c>
      <c r="J48" s="18">
        <v>1063</v>
      </c>
      <c r="K48" s="70">
        <v>1487.9</v>
      </c>
      <c r="L48" s="20">
        <f>K48*100/F48</f>
        <v>60.22179949002307</v>
      </c>
      <c r="M48" s="18">
        <f>K48*100/E48</f>
        <v>32.38155346144639</v>
      </c>
      <c r="N48" s="18">
        <f t="shared" si="21"/>
        <v>35.048996513709604</v>
      </c>
    </row>
    <row r="49" spans="1:14" ht="12.75">
      <c r="A49" s="35" t="s">
        <v>8</v>
      </c>
      <c r="B49" s="12"/>
      <c r="C49" s="28" t="s">
        <v>5</v>
      </c>
      <c r="D49" s="59">
        <v>19</v>
      </c>
      <c r="E49" s="59">
        <f t="shared" si="22"/>
        <v>19</v>
      </c>
      <c r="F49" s="45">
        <f t="shared" si="23"/>
        <v>17</v>
      </c>
      <c r="G49" s="59">
        <v>2</v>
      </c>
      <c r="H49" s="59">
        <v>15</v>
      </c>
      <c r="I49" s="17">
        <v>2</v>
      </c>
      <c r="J49" s="18"/>
      <c r="K49" s="70">
        <v>23.9</v>
      </c>
      <c r="L49" s="20">
        <f>K49*100/F49</f>
        <v>140.58823529411765</v>
      </c>
      <c r="M49" s="18">
        <f>K49*100/E49</f>
        <v>125.78947368421052</v>
      </c>
      <c r="N49" s="18">
        <f t="shared" si="21"/>
        <v>125.78947368421052</v>
      </c>
    </row>
    <row r="50" spans="1:14" ht="13.5" customHeight="1">
      <c r="A50" s="35" t="s">
        <v>9</v>
      </c>
      <c r="B50" s="12"/>
      <c r="C50" s="28" t="s">
        <v>6</v>
      </c>
      <c r="D50" s="59">
        <v>3510</v>
      </c>
      <c r="E50" s="59">
        <f t="shared" si="22"/>
        <v>3510</v>
      </c>
      <c r="F50" s="45">
        <f t="shared" si="23"/>
        <v>1252</v>
      </c>
      <c r="G50" s="59">
        <v>903</v>
      </c>
      <c r="H50" s="59">
        <v>349</v>
      </c>
      <c r="I50" s="17">
        <v>362.5</v>
      </c>
      <c r="J50" s="18">
        <v>1895.5</v>
      </c>
      <c r="K50" s="18">
        <v>851.8</v>
      </c>
      <c r="L50" s="20">
        <f>K50*100/F50</f>
        <v>68.03514376996804</v>
      </c>
      <c r="M50" s="18">
        <f>K50*100/E50</f>
        <v>24.267806267806268</v>
      </c>
      <c r="N50" s="18">
        <f t="shared" si="21"/>
        <v>24.267806267806268</v>
      </c>
    </row>
    <row r="51" spans="1:14" ht="20.25" customHeight="1" hidden="1">
      <c r="A51" s="35" t="s">
        <v>10</v>
      </c>
      <c r="B51" s="12"/>
      <c r="C51" s="28" t="s">
        <v>21</v>
      </c>
      <c r="D51" s="59"/>
      <c r="E51" s="59">
        <f t="shared" si="22"/>
        <v>0</v>
      </c>
      <c r="F51" s="45">
        <f t="shared" si="23"/>
        <v>0</v>
      </c>
      <c r="G51" s="59"/>
      <c r="H51" s="59"/>
      <c r="I51" s="17"/>
      <c r="J51" s="18"/>
      <c r="K51" s="18"/>
      <c r="L51" s="20"/>
      <c r="M51" s="18"/>
      <c r="N51" s="18" t="e">
        <f t="shared" si="21"/>
        <v>#DIV/0!</v>
      </c>
    </row>
    <row r="52" spans="1:14" ht="24">
      <c r="A52" s="39" t="s">
        <v>11</v>
      </c>
      <c r="B52" s="13"/>
      <c r="C52" s="28" t="s">
        <v>17</v>
      </c>
      <c r="D52" s="59">
        <v>626.5</v>
      </c>
      <c r="E52" s="59">
        <f t="shared" si="22"/>
        <v>626.5</v>
      </c>
      <c r="F52" s="45">
        <f t="shared" si="23"/>
        <v>302.4</v>
      </c>
      <c r="G52" s="59">
        <v>133</v>
      </c>
      <c r="H52" s="59">
        <v>169.4</v>
      </c>
      <c r="I52" s="17">
        <v>150.9</v>
      </c>
      <c r="J52" s="18">
        <v>173.2</v>
      </c>
      <c r="K52" s="18">
        <v>322.8</v>
      </c>
      <c r="L52" s="20">
        <f>K52*100/F52</f>
        <v>106.74603174603176</v>
      </c>
      <c r="M52" s="18">
        <f>K52*100/E52</f>
        <v>51.524341580207505</v>
      </c>
      <c r="N52" s="18">
        <f t="shared" si="21"/>
        <v>51.524341580207505</v>
      </c>
    </row>
    <row r="53" spans="1:14" ht="24.75" customHeight="1" hidden="1">
      <c r="A53" s="41" t="s">
        <v>40</v>
      </c>
      <c r="B53" s="30"/>
      <c r="C53" s="28" t="s">
        <v>41</v>
      </c>
      <c r="D53" s="59">
        <v>0</v>
      </c>
      <c r="E53" s="59">
        <f t="shared" si="22"/>
        <v>0</v>
      </c>
      <c r="F53" s="45">
        <f t="shared" si="23"/>
        <v>0</v>
      </c>
      <c r="G53" s="59"/>
      <c r="H53" s="59"/>
      <c r="I53" s="17"/>
      <c r="J53" s="18"/>
      <c r="K53" s="18"/>
      <c r="L53" s="20" t="e">
        <f>K53*100/F53</f>
        <v>#DIV/0!</v>
      </c>
      <c r="M53" s="18" t="e">
        <f>K53*100/E53</f>
        <v>#DIV/0!</v>
      </c>
      <c r="N53" s="18"/>
    </row>
    <row r="54" spans="1:14" ht="24">
      <c r="A54" s="41" t="s">
        <v>18</v>
      </c>
      <c r="B54" s="30"/>
      <c r="C54" s="28" t="s">
        <v>15</v>
      </c>
      <c r="D54" s="59">
        <v>150</v>
      </c>
      <c r="E54" s="59">
        <f t="shared" si="22"/>
        <v>150</v>
      </c>
      <c r="F54" s="45">
        <f t="shared" si="23"/>
        <v>75</v>
      </c>
      <c r="G54" s="59">
        <v>37.5</v>
      </c>
      <c r="H54" s="59">
        <v>37.5</v>
      </c>
      <c r="I54" s="17">
        <v>37.5</v>
      </c>
      <c r="J54" s="18">
        <v>37.5</v>
      </c>
      <c r="K54" s="18">
        <v>25.5</v>
      </c>
      <c r="L54" s="20">
        <f>K54*100/F54</f>
        <v>34</v>
      </c>
      <c r="M54" s="18">
        <f>K54*100/E54</f>
        <v>17</v>
      </c>
      <c r="N54" s="18">
        <f>K54*100/D54</f>
        <v>17</v>
      </c>
    </row>
    <row r="55" spans="1:14" ht="21" customHeight="1">
      <c r="A55" s="37" t="s">
        <v>12</v>
      </c>
      <c r="B55" s="21"/>
      <c r="C55" s="28" t="s">
        <v>7</v>
      </c>
      <c r="D55" s="59"/>
      <c r="E55" s="59">
        <f t="shared" si="22"/>
        <v>2.9</v>
      </c>
      <c r="F55" s="45">
        <f t="shared" si="23"/>
        <v>2.9</v>
      </c>
      <c r="G55" s="59">
        <v>2.9</v>
      </c>
      <c r="H55" s="59"/>
      <c r="I55" s="17"/>
      <c r="J55" s="18"/>
      <c r="K55" s="18">
        <v>2.9</v>
      </c>
      <c r="L55" s="20">
        <f>K55*100/F55</f>
        <v>100</v>
      </c>
      <c r="M55" s="18">
        <f>K55*100/E55</f>
        <v>100</v>
      </c>
      <c r="N55" s="18"/>
    </row>
    <row r="56" spans="1:14" ht="14.25" customHeight="1">
      <c r="A56" s="84" t="s">
        <v>37</v>
      </c>
      <c r="B56" s="61"/>
      <c r="C56" s="16" t="s">
        <v>38</v>
      </c>
      <c r="D56" s="59"/>
      <c r="E56" s="59">
        <f t="shared" si="22"/>
        <v>0</v>
      </c>
      <c r="F56" s="45">
        <f t="shared" si="23"/>
        <v>0</v>
      </c>
      <c r="G56" s="59"/>
      <c r="H56" s="59"/>
      <c r="I56" s="17"/>
      <c r="J56" s="18"/>
      <c r="K56" s="18">
        <v>166.4</v>
      </c>
      <c r="L56" s="20"/>
      <c r="M56" s="18"/>
      <c r="N56" s="18"/>
    </row>
    <row r="57" spans="1:14" ht="12.75">
      <c r="A57" s="82" t="s">
        <v>1</v>
      </c>
      <c r="B57" s="63"/>
      <c r="C57" s="31" t="s">
        <v>0</v>
      </c>
      <c r="D57" s="32">
        <f>D58+D60+D59</f>
        <v>19897.1</v>
      </c>
      <c r="E57" s="32">
        <f>E58+E60+E59</f>
        <v>25147.1</v>
      </c>
      <c r="F57" s="32">
        <f aca="true" t="shared" si="24" ref="F57:K57">F58+F60+F59</f>
        <v>15197.400000000001</v>
      </c>
      <c r="G57" s="32">
        <f t="shared" si="24"/>
        <v>10223.7</v>
      </c>
      <c r="H57" s="32">
        <f t="shared" si="24"/>
        <v>4973.7</v>
      </c>
      <c r="I57" s="32">
        <f t="shared" si="24"/>
        <v>4973.8</v>
      </c>
      <c r="J57" s="32">
        <f t="shared" si="24"/>
        <v>4975.9</v>
      </c>
      <c r="K57" s="32">
        <f t="shared" si="24"/>
        <v>3583.7</v>
      </c>
      <c r="L57" s="27">
        <f>K57*100/F57</f>
        <v>23.581007277560634</v>
      </c>
      <c r="M57" s="24">
        <f>K57*100/E57</f>
        <v>14.250947425349246</v>
      </c>
      <c r="N57" s="24">
        <f>K57*100/D57</f>
        <v>18.011167456564024</v>
      </c>
    </row>
    <row r="58" spans="1:14" ht="23.25" customHeight="1">
      <c r="A58" s="83" t="s">
        <v>63</v>
      </c>
      <c r="B58" s="12"/>
      <c r="C58" s="33" t="s">
        <v>20</v>
      </c>
      <c r="D58" s="58">
        <v>19897.1</v>
      </c>
      <c r="E58" s="59">
        <f>G58+H58+I58+J58</f>
        <v>25147.1</v>
      </c>
      <c r="F58" s="45">
        <f t="shared" si="23"/>
        <v>15197.400000000001</v>
      </c>
      <c r="G58" s="58">
        <v>10223.7</v>
      </c>
      <c r="H58" s="58">
        <v>4973.7</v>
      </c>
      <c r="I58" s="17">
        <v>4973.8</v>
      </c>
      <c r="J58" s="17">
        <v>4975.9</v>
      </c>
      <c r="K58" s="18">
        <v>3583.7</v>
      </c>
      <c r="L58" s="20">
        <f>K58*100/F58</f>
        <v>23.581007277560634</v>
      </c>
      <c r="M58" s="18">
        <f>K58*100/E58</f>
        <v>14.250947425349246</v>
      </c>
      <c r="N58" s="18">
        <f>K58*100/D58</f>
        <v>18.011167456564024</v>
      </c>
    </row>
    <row r="59" spans="1:14" ht="51" customHeight="1" hidden="1">
      <c r="A59" s="14" t="s">
        <v>70</v>
      </c>
      <c r="B59" s="15" t="s">
        <v>61</v>
      </c>
      <c r="C59" s="16" t="s">
        <v>61</v>
      </c>
      <c r="D59" s="34"/>
      <c r="E59" s="59">
        <f>G59+H59+I59+J59</f>
        <v>0</v>
      </c>
      <c r="F59" s="45">
        <f>G59+H59+I59</f>
        <v>0</v>
      </c>
      <c r="G59" s="58"/>
      <c r="H59" s="58"/>
      <c r="I59" s="17"/>
      <c r="J59" s="73"/>
      <c r="K59" s="18"/>
      <c r="L59" s="20" t="e">
        <f>K59*100/F59</f>
        <v>#DIV/0!</v>
      </c>
      <c r="M59" s="18" t="e">
        <f>K59*100/E59</f>
        <v>#DIV/0!</v>
      </c>
      <c r="N59" s="18"/>
    </row>
    <row r="60" spans="1:14" ht="29.25" customHeight="1" hidden="1">
      <c r="A60" s="14" t="s">
        <v>62</v>
      </c>
      <c r="B60" s="66"/>
      <c r="C60" s="19" t="s">
        <v>60</v>
      </c>
      <c r="D60" s="19"/>
      <c r="E60" s="59">
        <f t="shared" si="22"/>
        <v>0</v>
      </c>
      <c r="F60" s="59">
        <f>G60</f>
        <v>0</v>
      </c>
      <c r="G60" s="74"/>
      <c r="H60" s="74"/>
      <c r="I60" s="17"/>
      <c r="J60" s="73"/>
      <c r="K60" s="18"/>
      <c r="L60" s="20"/>
      <c r="M60" s="18"/>
      <c r="N60" s="18" t="e">
        <f>K60*100/D60</f>
        <v>#DIV/0!</v>
      </c>
    </row>
    <row r="61" spans="1:14" ht="12.75">
      <c r="A61" s="13"/>
      <c r="B61" s="75"/>
      <c r="C61" s="76" t="s">
        <v>4</v>
      </c>
      <c r="D61" s="77">
        <f aca="true" t="shared" si="25" ref="D61:K61">D57+D46</f>
        <v>42647.8</v>
      </c>
      <c r="E61" s="77">
        <f t="shared" si="25"/>
        <v>48250.4</v>
      </c>
      <c r="F61" s="77">
        <f t="shared" si="25"/>
        <v>26377.4</v>
      </c>
      <c r="G61" s="77">
        <f t="shared" si="25"/>
        <v>15839.7</v>
      </c>
      <c r="H61" s="77">
        <f t="shared" si="25"/>
        <v>10537.7</v>
      </c>
      <c r="I61" s="77">
        <f t="shared" si="25"/>
        <v>10021.900000000001</v>
      </c>
      <c r="J61" s="77">
        <f t="shared" si="25"/>
        <v>11851.099999999999</v>
      </c>
      <c r="K61" s="77">
        <f t="shared" si="25"/>
        <v>10572.2</v>
      </c>
      <c r="L61" s="27">
        <f>K61*100/F61</f>
        <v>40.08052347843229</v>
      </c>
      <c r="M61" s="24">
        <f>K61*100/E61</f>
        <v>21.9111136902492</v>
      </c>
      <c r="N61" s="24">
        <f>K61*100/D61</f>
        <v>24.789555381520266</v>
      </c>
    </row>
    <row r="62" spans="1:14" ht="12.75">
      <c r="A62" s="190"/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27"/>
      <c r="M62" s="24"/>
      <c r="N62" s="18"/>
    </row>
    <row r="63" spans="1:14" ht="12.75">
      <c r="A63" s="196" t="s">
        <v>25</v>
      </c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</row>
    <row r="64" spans="1:14" ht="12.75">
      <c r="A64" s="82" t="s">
        <v>3</v>
      </c>
      <c r="B64" s="63"/>
      <c r="C64" s="69" t="s">
        <v>64</v>
      </c>
      <c r="D64" s="62">
        <f aca="true" t="shared" si="26" ref="D64:J64">D65+D68+D70+D72+D69+D74+D73+D67+D71+D66</f>
        <v>43589.5</v>
      </c>
      <c r="E64" s="62">
        <f t="shared" si="26"/>
        <v>45989.5</v>
      </c>
      <c r="F64" s="62">
        <f t="shared" si="26"/>
        <v>21120.6</v>
      </c>
      <c r="G64" s="62">
        <f t="shared" si="26"/>
        <v>11825.300000000001</v>
      </c>
      <c r="H64" s="62">
        <f t="shared" si="26"/>
        <v>9295.300000000001</v>
      </c>
      <c r="I64" s="62">
        <f t="shared" si="26"/>
        <v>11305.2</v>
      </c>
      <c r="J64" s="62">
        <f t="shared" si="26"/>
        <v>13563.699999999999</v>
      </c>
      <c r="K64" s="62">
        <f>K65+K68+K70+K72+K69+K74+K73+K67+K71+K66</f>
        <v>18512.3</v>
      </c>
      <c r="L64" s="27">
        <f aca="true" t="shared" si="27" ref="L64:L72">K64*100/F64</f>
        <v>87.65044553658514</v>
      </c>
      <c r="M64" s="24">
        <f aca="true" t="shared" si="28" ref="M64:M70">K64*100/E64</f>
        <v>40.2533186923102</v>
      </c>
      <c r="N64" s="24">
        <f aca="true" t="shared" si="29" ref="N64:N70">K64*100/D64</f>
        <v>42.46963144794044</v>
      </c>
    </row>
    <row r="65" spans="1:18" ht="12.75">
      <c r="A65" s="35" t="s">
        <v>74</v>
      </c>
      <c r="B65" s="12"/>
      <c r="C65" s="54" t="s">
        <v>75</v>
      </c>
      <c r="D65" s="45">
        <v>22000</v>
      </c>
      <c r="E65" s="59">
        <f>G65+H65+I65+J65</f>
        <v>22000</v>
      </c>
      <c r="F65" s="45">
        <f aca="true" t="shared" si="30" ref="F65:F76">G65+H65</f>
        <v>10835</v>
      </c>
      <c r="G65" s="78">
        <v>5302.5</v>
      </c>
      <c r="H65" s="78">
        <v>5532.5</v>
      </c>
      <c r="I65" s="20">
        <v>5732.5</v>
      </c>
      <c r="J65" s="20">
        <v>5432.5</v>
      </c>
      <c r="K65" s="20">
        <v>8146.3</v>
      </c>
      <c r="L65" s="20">
        <f t="shared" si="27"/>
        <v>75.18504845408398</v>
      </c>
      <c r="M65" s="18">
        <f t="shared" si="28"/>
        <v>37.028636363636366</v>
      </c>
      <c r="N65" s="18">
        <f t="shared" si="29"/>
        <v>37.028636363636366</v>
      </c>
      <c r="R65" s="2"/>
    </row>
    <row r="66" spans="1:14" ht="23.25" customHeight="1">
      <c r="A66" s="35" t="s">
        <v>73</v>
      </c>
      <c r="B66" s="12"/>
      <c r="C66" s="28" t="s">
        <v>72</v>
      </c>
      <c r="D66" s="59">
        <v>7209.5</v>
      </c>
      <c r="E66" s="59">
        <f>G66+H66+I66+J66</f>
        <v>7209.500000000001</v>
      </c>
      <c r="F66" s="45">
        <f t="shared" si="30"/>
        <v>3624.8</v>
      </c>
      <c r="G66" s="78">
        <v>1792.4</v>
      </c>
      <c r="H66" s="78">
        <v>1832.4</v>
      </c>
      <c r="I66" s="20">
        <v>1792.4</v>
      </c>
      <c r="J66" s="20">
        <v>1792.3</v>
      </c>
      <c r="K66" s="20">
        <v>2526.8</v>
      </c>
      <c r="L66" s="20">
        <f t="shared" si="27"/>
        <v>69.70867358199074</v>
      </c>
      <c r="M66" s="18">
        <f t="shared" si="28"/>
        <v>35.048200291282335</v>
      </c>
      <c r="N66" s="18">
        <f t="shared" si="29"/>
        <v>35.04820029128234</v>
      </c>
    </row>
    <row r="67" spans="1:14" ht="12.75">
      <c r="A67" s="35" t="s">
        <v>8</v>
      </c>
      <c r="B67" s="12"/>
      <c r="C67" s="28" t="s">
        <v>5</v>
      </c>
      <c r="D67" s="59">
        <v>45</v>
      </c>
      <c r="E67" s="59">
        <f aca="true" t="shared" si="31" ref="E67:E77">G67+H67+I67+J67</f>
        <v>45</v>
      </c>
      <c r="F67" s="45">
        <f t="shared" si="30"/>
        <v>22.5</v>
      </c>
      <c r="G67" s="58">
        <v>11.2</v>
      </c>
      <c r="H67" s="58">
        <v>11.3</v>
      </c>
      <c r="I67" s="17">
        <v>11.2</v>
      </c>
      <c r="J67" s="17">
        <v>11.3</v>
      </c>
      <c r="K67" s="17">
        <v>17.2</v>
      </c>
      <c r="L67" s="20">
        <f t="shared" si="27"/>
        <v>76.44444444444444</v>
      </c>
      <c r="M67" s="18">
        <f t="shared" si="28"/>
        <v>38.22222222222222</v>
      </c>
      <c r="N67" s="18">
        <f t="shared" si="29"/>
        <v>38.22222222222222</v>
      </c>
    </row>
    <row r="68" spans="1:14" ht="12.75">
      <c r="A68" s="35" t="s">
        <v>9</v>
      </c>
      <c r="B68" s="12"/>
      <c r="C68" s="28" t="s">
        <v>6</v>
      </c>
      <c r="D68" s="59">
        <v>8160</v>
      </c>
      <c r="E68" s="59">
        <f t="shared" si="31"/>
        <v>10560</v>
      </c>
      <c r="F68" s="45">
        <f t="shared" si="30"/>
        <v>3550</v>
      </c>
      <c r="G68" s="58">
        <v>3175</v>
      </c>
      <c r="H68" s="58">
        <v>375</v>
      </c>
      <c r="I68" s="17">
        <v>2225</v>
      </c>
      <c r="J68" s="17">
        <v>4785</v>
      </c>
      <c r="K68" s="17">
        <v>4804.3</v>
      </c>
      <c r="L68" s="20">
        <f t="shared" si="27"/>
        <v>135.33239436619718</v>
      </c>
      <c r="M68" s="18">
        <f t="shared" si="28"/>
        <v>45.49526515151515</v>
      </c>
      <c r="N68" s="18">
        <f t="shared" si="29"/>
        <v>58.87622549019608</v>
      </c>
    </row>
    <row r="69" spans="1:14" ht="18.75" customHeight="1">
      <c r="A69" s="35" t="s">
        <v>10</v>
      </c>
      <c r="B69" s="12"/>
      <c r="C69" s="28" t="s">
        <v>21</v>
      </c>
      <c r="D69" s="59">
        <v>56.4</v>
      </c>
      <c r="E69" s="59">
        <f t="shared" si="31"/>
        <v>56.4</v>
      </c>
      <c r="F69" s="45">
        <f t="shared" si="30"/>
        <v>28.2</v>
      </c>
      <c r="G69" s="58">
        <v>14.1</v>
      </c>
      <c r="H69" s="58">
        <v>14.1</v>
      </c>
      <c r="I69" s="17">
        <v>14.1</v>
      </c>
      <c r="J69" s="17">
        <v>14.1</v>
      </c>
      <c r="K69" s="17">
        <v>28.8</v>
      </c>
      <c r="L69" s="20">
        <f t="shared" si="27"/>
        <v>102.12765957446808</v>
      </c>
      <c r="M69" s="18">
        <f t="shared" si="28"/>
        <v>51.06382978723404</v>
      </c>
      <c r="N69" s="18">
        <f t="shared" si="29"/>
        <v>51.06382978723404</v>
      </c>
    </row>
    <row r="70" spans="1:14" ht="23.25" customHeight="1">
      <c r="A70" s="39" t="s">
        <v>11</v>
      </c>
      <c r="B70" s="13"/>
      <c r="C70" s="28" t="s">
        <v>17</v>
      </c>
      <c r="D70" s="59">
        <v>5938.6</v>
      </c>
      <c r="E70" s="59">
        <f t="shared" si="31"/>
        <v>5938.6</v>
      </c>
      <c r="F70" s="45">
        <f t="shared" si="30"/>
        <v>2970.1</v>
      </c>
      <c r="G70" s="58">
        <v>1485.1</v>
      </c>
      <c r="H70" s="58">
        <v>1485</v>
      </c>
      <c r="I70" s="17">
        <v>1485</v>
      </c>
      <c r="J70" s="17">
        <v>1483.5</v>
      </c>
      <c r="K70" s="17">
        <v>2775.1</v>
      </c>
      <c r="L70" s="20">
        <f t="shared" si="27"/>
        <v>93.43456449277802</v>
      </c>
      <c r="M70" s="18">
        <f t="shared" si="28"/>
        <v>46.72986899269188</v>
      </c>
      <c r="N70" s="18">
        <f t="shared" si="29"/>
        <v>46.72986899269188</v>
      </c>
    </row>
    <row r="71" spans="1:14" ht="14.25" customHeight="1" hidden="1">
      <c r="A71" s="41" t="s">
        <v>40</v>
      </c>
      <c r="B71" s="30"/>
      <c r="C71" s="28" t="s">
        <v>41</v>
      </c>
      <c r="D71" s="59"/>
      <c r="E71" s="59">
        <f t="shared" si="31"/>
        <v>0</v>
      </c>
      <c r="F71" s="45">
        <f t="shared" si="30"/>
        <v>0</v>
      </c>
      <c r="G71" s="58"/>
      <c r="H71" s="58"/>
      <c r="I71" s="17"/>
      <c r="J71" s="17"/>
      <c r="K71" s="17"/>
      <c r="L71" s="20" t="e">
        <f t="shared" si="27"/>
        <v>#DIV/0!</v>
      </c>
      <c r="M71" s="18"/>
      <c r="N71" s="18"/>
    </row>
    <row r="72" spans="1:14" ht="24">
      <c r="A72" s="40" t="s">
        <v>18</v>
      </c>
      <c r="B72" s="29"/>
      <c r="C72" s="28" t="s">
        <v>15</v>
      </c>
      <c r="D72" s="59">
        <v>180</v>
      </c>
      <c r="E72" s="59">
        <f t="shared" si="31"/>
        <v>180</v>
      </c>
      <c r="F72" s="45">
        <f t="shared" si="30"/>
        <v>90</v>
      </c>
      <c r="G72" s="58">
        <v>45</v>
      </c>
      <c r="H72" s="58">
        <v>45</v>
      </c>
      <c r="I72" s="17">
        <v>45</v>
      </c>
      <c r="J72" s="17">
        <v>45</v>
      </c>
      <c r="K72" s="17">
        <v>211</v>
      </c>
      <c r="L72" s="20">
        <f t="shared" si="27"/>
        <v>234.44444444444446</v>
      </c>
      <c r="M72" s="18">
        <f>K72*100/E72</f>
        <v>117.22222222222223</v>
      </c>
      <c r="N72" s="18">
        <f>K72*100/D72</f>
        <v>117.22222222222223</v>
      </c>
    </row>
    <row r="73" spans="1:14" ht="18" customHeight="1">
      <c r="A73" s="37" t="s">
        <v>12</v>
      </c>
      <c r="B73" s="21"/>
      <c r="C73" s="28" t="s">
        <v>7</v>
      </c>
      <c r="D73" s="59"/>
      <c r="E73" s="59">
        <f t="shared" si="31"/>
        <v>0</v>
      </c>
      <c r="F73" s="45">
        <f t="shared" si="30"/>
        <v>0</v>
      </c>
      <c r="G73" s="58"/>
      <c r="H73" s="58"/>
      <c r="I73" s="17"/>
      <c r="J73" s="17"/>
      <c r="K73" s="17">
        <v>2.8</v>
      </c>
      <c r="L73" s="20"/>
      <c r="M73" s="18"/>
      <c r="N73" s="18"/>
    </row>
    <row r="74" spans="1:14" ht="16.5" customHeight="1">
      <c r="A74" s="83" t="s">
        <v>37</v>
      </c>
      <c r="B74" s="61"/>
      <c r="C74" s="16" t="s">
        <v>38</v>
      </c>
      <c r="D74" s="59"/>
      <c r="E74" s="59">
        <f t="shared" si="31"/>
        <v>0</v>
      </c>
      <c r="F74" s="45">
        <f t="shared" si="30"/>
        <v>0</v>
      </c>
      <c r="G74" s="58"/>
      <c r="H74" s="58"/>
      <c r="I74" s="17"/>
      <c r="J74" s="17"/>
      <c r="K74" s="17"/>
      <c r="L74" s="20"/>
      <c r="M74" s="18"/>
      <c r="N74" s="18"/>
    </row>
    <row r="75" spans="1:14" ht="12.75">
      <c r="A75" s="36" t="s">
        <v>1</v>
      </c>
      <c r="B75" s="25"/>
      <c r="C75" s="31" t="s">
        <v>0</v>
      </c>
      <c r="D75" s="32">
        <f aca="true" t="shared" si="32" ref="D75:K75">D76+D77</f>
        <v>38231.5</v>
      </c>
      <c r="E75" s="32">
        <f t="shared" si="32"/>
        <v>44766.299999999996</v>
      </c>
      <c r="F75" s="32">
        <f t="shared" si="32"/>
        <v>24597.1</v>
      </c>
      <c r="G75" s="32">
        <f t="shared" si="32"/>
        <v>9338.8</v>
      </c>
      <c r="H75" s="32">
        <f t="shared" si="32"/>
        <v>15258.3</v>
      </c>
      <c r="I75" s="32">
        <f t="shared" si="32"/>
        <v>10072.8</v>
      </c>
      <c r="J75" s="32">
        <f t="shared" si="32"/>
        <v>10096.4</v>
      </c>
      <c r="K75" s="32">
        <f t="shared" si="32"/>
        <v>16028.4</v>
      </c>
      <c r="L75" s="27">
        <f>K75*100/F75</f>
        <v>65.16377946993752</v>
      </c>
      <c r="M75" s="24">
        <f>K75*100/E75</f>
        <v>35.80461195140094</v>
      </c>
      <c r="N75" s="24">
        <f>K75*100/D75</f>
        <v>41.924590978643266</v>
      </c>
    </row>
    <row r="76" spans="1:14" ht="24">
      <c r="A76" s="83" t="s">
        <v>63</v>
      </c>
      <c r="B76" s="12"/>
      <c r="C76" s="33" t="s">
        <v>20</v>
      </c>
      <c r="D76" s="58">
        <v>38231.5</v>
      </c>
      <c r="E76" s="59">
        <f t="shared" si="31"/>
        <v>44766.299999999996</v>
      </c>
      <c r="F76" s="45">
        <f t="shared" si="30"/>
        <v>24597.1</v>
      </c>
      <c r="G76" s="58">
        <v>9338.8</v>
      </c>
      <c r="H76" s="58">
        <v>15258.3</v>
      </c>
      <c r="I76" s="17">
        <v>10072.8</v>
      </c>
      <c r="J76" s="18">
        <v>10096.4</v>
      </c>
      <c r="K76" s="18">
        <v>16018.4</v>
      </c>
      <c r="L76" s="20">
        <f>K76*100/F76</f>
        <v>65.12312427074737</v>
      </c>
      <c r="M76" s="18">
        <f>K76*100/E76</f>
        <v>35.782273719293315</v>
      </c>
      <c r="N76" s="18">
        <f>K76*100/D76</f>
        <v>41.89843453696559</v>
      </c>
    </row>
    <row r="77" spans="1:14" ht="18.75" customHeight="1">
      <c r="A77" s="83" t="s">
        <v>71</v>
      </c>
      <c r="B77" s="14"/>
      <c r="C77" s="34" t="s">
        <v>19</v>
      </c>
      <c r="D77" s="65"/>
      <c r="E77" s="59">
        <f t="shared" si="31"/>
        <v>0</v>
      </c>
      <c r="F77" s="45">
        <f>G77</f>
        <v>0</v>
      </c>
      <c r="G77" s="74"/>
      <c r="H77" s="74"/>
      <c r="I77" s="17"/>
      <c r="J77" s="18"/>
      <c r="K77" s="18">
        <v>10</v>
      </c>
      <c r="L77" s="20"/>
      <c r="M77" s="18"/>
      <c r="N77" s="18"/>
    </row>
    <row r="78" spans="1:14" ht="12.75">
      <c r="A78" s="21"/>
      <c r="B78" s="22"/>
      <c r="C78" s="23" t="s">
        <v>4</v>
      </c>
      <c r="D78" s="24">
        <f aca="true" t="shared" si="33" ref="D78:K78">D75+D64</f>
        <v>81821</v>
      </c>
      <c r="E78" s="24">
        <f t="shared" si="33"/>
        <v>90755.79999999999</v>
      </c>
      <c r="F78" s="24">
        <f t="shared" si="33"/>
        <v>45717.7</v>
      </c>
      <c r="G78" s="24">
        <f t="shared" si="33"/>
        <v>21164.1</v>
      </c>
      <c r="H78" s="24">
        <f t="shared" si="33"/>
        <v>24553.6</v>
      </c>
      <c r="I78" s="24">
        <f t="shared" si="33"/>
        <v>21378</v>
      </c>
      <c r="J78" s="24">
        <f t="shared" si="33"/>
        <v>23660.1</v>
      </c>
      <c r="K78" s="24">
        <f t="shared" si="33"/>
        <v>34540.7</v>
      </c>
      <c r="L78" s="27">
        <f>K78*100/F78</f>
        <v>75.55213844965954</v>
      </c>
      <c r="M78" s="24">
        <f>K78*100/E78</f>
        <v>38.05894499304728</v>
      </c>
      <c r="N78" s="24">
        <f>K78*100/D78</f>
        <v>42.2149570403686</v>
      </c>
    </row>
    <row r="79" spans="1:14" ht="12.75">
      <c r="A79" s="190"/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27"/>
      <c r="M79" s="24"/>
      <c r="N79" s="18"/>
    </row>
    <row r="80" spans="1:14" ht="12.75">
      <c r="A80" s="196" t="s">
        <v>26</v>
      </c>
      <c r="B80" s="197"/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</row>
    <row r="81" spans="1:14" ht="12.75">
      <c r="A81" s="36" t="s">
        <v>3</v>
      </c>
      <c r="B81" s="25"/>
      <c r="C81" s="26" t="s">
        <v>64</v>
      </c>
      <c r="D81" s="27">
        <f aca="true" t="shared" si="34" ref="D81:J81">D82+D84+D85+D86+D87+D88+D89+D90+D91+D83</f>
        <v>37495.899999999994</v>
      </c>
      <c r="E81" s="27">
        <f t="shared" si="34"/>
        <v>37877.7</v>
      </c>
      <c r="F81" s="27">
        <f t="shared" si="34"/>
        <v>19302</v>
      </c>
      <c r="G81" s="27">
        <f t="shared" si="34"/>
        <v>10135.4</v>
      </c>
      <c r="H81" s="27">
        <f t="shared" si="34"/>
        <v>9166.6</v>
      </c>
      <c r="I81" s="27">
        <f t="shared" si="34"/>
        <v>8590.5</v>
      </c>
      <c r="J81" s="27">
        <f t="shared" si="34"/>
        <v>9985.199999999999</v>
      </c>
      <c r="K81" s="27">
        <f>K82+K84+K85+K86+K87+K88+K89+K90+K91+K83</f>
        <v>10580.7</v>
      </c>
      <c r="L81" s="27">
        <f aca="true" t="shared" si="35" ref="L81:L87">K81*100/F81</f>
        <v>54.81659931613304</v>
      </c>
      <c r="M81" s="24">
        <f aca="true" t="shared" si="36" ref="M81:M87">K81*100/E81</f>
        <v>27.933850260179476</v>
      </c>
      <c r="N81" s="24">
        <f aca="true" t="shared" si="37" ref="N81:N87">K81*100/D81</f>
        <v>28.218285199181782</v>
      </c>
    </row>
    <row r="82" spans="1:18" ht="13.5" customHeight="1">
      <c r="A82" s="35" t="s">
        <v>74</v>
      </c>
      <c r="B82" s="12"/>
      <c r="C82" s="54" t="s">
        <v>75</v>
      </c>
      <c r="D82" s="59">
        <v>25000</v>
      </c>
      <c r="E82" s="59">
        <f>G82+H82+I82+J82</f>
        <v>25000</v>
      </c>
      <c r="F82" s="45">
        <f aca="true" t="shared" si="38" ref="F82:F91">G82+H82</f>
        <v>14000</v>
      </c>
      <c r="G82" s="58">
        <v>8250</v>
      </c>
      <c r="H82" s="58">
        <v>5750</v>
      </c>
      <c r="I82" s="17">
        <v>5500</v>
      </c>
      <c r="J82" s="17">
        <v>5500</v>
      </c>
      <c r="K82" s="18">
        <v>5580.8</v>
      </c>
      <c r="L82" s="20">
        <f t="shared" si="35"/>
        <v>39.862857142857145</v>
      </c>
      <c r="M82" s="18">
        <f t="shared" si="36"/>
        <v>22.3232</v>
      </c>
      <c r="N82" s="18">
        <f t="shared" si="37"/>
        <v>22.3232</v>
      </c>
      <c r="R82" s="2"/>
    </row>
    <row r="83" spans="1:14" ht="24.75" customHeight="1">
      <c r="A83" s="35" t="s">
        <v>73</v>
      </c>
      <c r="B83" s="12"/>
      <c r="C83" s="28" t="s">
        <v>72</v>
      </c>
      <c r="D83" s="59">
        <v>4634.7</v>
      </c>
      <c r="E83" s="59">
        <f>G83+H83+I83+J83</f>
        <v>5016.5</v>
      </c>
      <c r="F83" s="45">
        <f t="shared" si="38"/>
        <v>2537.6</v>
      </c>
      <c r="G83" s="58">
        <v>1199</v>
      </c>
      <c r="H83" s="58">
        <v>1338.6</v>
      </c>
      <c r="I83" s="17">
        <v>1419.5</v>
      </c>
      <c r="J83" s="17">
        <v>1059.4</v>
      </c>
      <c r="K83" s="18">
        <v>1624.4</v>
      </c>
      <c r="L83" s="20">
        <f t="shared" si="35"/>
        <v>64.01324085750315</v>
      </c>
      <c r="M83" s="18">
        <f t="shared" si="36"/>
        <v>32.38114223063889</v>
      </c>
      <c r="N83" s="18">
        <f t="shared" si="37"/>
        <v>35.048654713357934</v>
      </c>
    </row>
    <row r="84" spans="1:14" ht="15" customHeight="1" hidden="1">
      <c r="A84" s="35" t="s">
        <v>8</v>
      </c>
      <c r="B84" s="12"/>
      <c r="C84" s="28" t="s">
        <v>5</v>
      </c>
      <c r="D84" s="59"/>
      <c r="E84" s="59">
        <f aca="true" t="shared" si="39" ref="E84:E91">G84+H84+I84+J84</f>
        <v>0</v>
      </c>
      <c r="F84" s="45">
        <f t="shared" si="38"/>
        <v>0</v>
      </c>
      <c r="G84" s="58"/>
      <c r="H84" s="58"/>
      <c r="I84" s="17"/>
      <c r="J84" s="17"/>
      <c r="K84" s="18"/>
      <c r="L84" s="20" t="e">
        <f t="shared" si="35"/>
        <v>#DIV/0!</v>
      </c>
      <c r="M84" s="18" t="e">
        <f t="shared" si="36"/>
        <v>#DIV/0!</v>
      </c>
      <c r="N84" s="18" t="e">
        <f t="shared" si="37"/>
        <v>#DIV/0!</v>
      </c>
    </row>
    <row r="85" spans="1:14" ht="12.75">
      <c r="A85" s="35" t="s">
        <v>9</v>
      </c>
      <c r="B85" s="12"/>
      <c r="C85" s="28" t="s">
        <v>6</v>
      </c>
      <c r="D85" s="59">
        <v>2670</v>
      </c>
      <c r="E85" s="59">
        <f t="shared" si="39"/>
        <v>2670</v>
      </c>
      <c r="F85" s="45">
        <f t="shared" si="38"/>
        <v>626</v>
      </c>
      <c r="G85" s="58">
        <v>339</v>
      </c>
      <c r="H85" s="58">
        <v>287</v>
      </c>
      <c r="I85" s="17">
        <v>482.5</v>
      </c>
      <c r="J85" s="17">
        <v>1561.5</v>
      </c>
      <c r="K85" s="18">
        <v>604.5</v>
      </c>
      <c r="L85" s="20">
        <f t="shared" si="35"/>
        <v>96.56549520766774</v>
      </c>
      <c r="M85" s="18">
        <f t="shared" si="36"/>
        <v>22.640449438202246</v>
      </c>
      <c r="N85" s="18">
        <f t="shared" si="37"/>
        <v>22.640449438202246</v>
      </c>
    </row>
    <row r="86" spans="1:14" ht="12.75" hidden="1">
      <c r="A86" s="35" t="s">
        <v>10</v>
      </c>
      <c r="B86" s="12"/>
      <c r="C86" s="28" t="s">
        <v>21</v>
      </c>
      <c r="D86" s="59"/>
      <c r="E86" s="59">
        <f t="shared" si="39"/>
        <v>0</v>
      </c>
      <c r="F86" s="45">
        <f t="shared" si="38"/>
        <v>0</v>
      </c>
      <c r="G86" s="58"/>
      <c r="H86" s="58"/>
      <c r="I86" s="17"/>
      <c r="J86" s="17"/>
      <c r="K86" s="18"/>
      <c r="L86" s="20" t="e">
        <f t="shared" si="35"/>
        <v>#DIV/0!</v>
      </c>
      <c r="M86" s="18" t="e">
        <f t="shared" si="36"/>
        <v>#DIV/0!</v>
      </c>
      <c r="N86" s="18" t="e">
        <f t="shared" si="37"/>
        <v>#DIV/0!</v>
      </c>
    </row>
    <row r="87" spans="1:14" ht="26.25" customHeight="1">
      <c r="A87" s="39" t="s">
        <v>11</v>
      </c>
      <c r="B87" s="13"/>
      <c r="C87" s="28" t="s">
        <v>17</v>
      </c>
      <c r="D87" s="59">
        <v>5159.7</v>
      </c>
      <c r="E87" s="59">
        <f t="shared" si="39"/>
        <v>5159.7</v>
      </c>
      <c r="F87" s="45">
        <f t="shared" si="38"/>
        <v>2115.4</v>
      </c>
      <c r="G87" s="58">
        <v>335.4</v>
      </c>
      <c r="H87" s="58">
        <f>1780</f>
        <v>1780</v>
      </c>
      <c r="I87" s="17">
        <v>1180</v>
      </c>
      <c r="J87" s="17">
        <v>1864.3</v>
      </c>
      <c r="K87" s="18">
        <v>2475.7</v>
      </c>
      <c r="L87" s="20">
        <f t="shared" si="35"/>
        <v>117.03223976552896</v>
      </c>
      <c r="M87" s="18">
        <f t="shared" si="36"/>
        <v>47.9814717909956</v>
      </c>
      <c r="N87" s="18">
        <f t="shared" si="37"/>
        <v>47.9814717909956</v>
      </c>
    </row>
    <row r="88" spans="1:14" ht="23.25" customHeight="1">
      <c r="A88" s="41" t="s">
        <v>40</v>
      </c>
      <c r="B88" s="30"/>
      <c r="C88" s="28" t="s">
        <v>41</v>
      </c>
      <c r="D88" s="59"/>
      <c r="E88" s="59">
        <f t="shared" si="39"/>
        <v>0</v>
      </c>
      <c r="F88" s="45">
        <f t="shared" si="38"/>
        <v>0</v>
      </c>
      <c r="G88" s="58"/>
      <c r="H88" s="58"/>
      <c r="I88" s="17"/>
      <c r="J88" s="17"/>
      <c r="K88" s="18">
        <v>207.2</v>
      </c>
      <c r="L88" s="20"/>
      <c r="M88" s="18"/>
      <c r="N88" s="18"/>
    </row>
    <row r="89" spans="1:14" ht="24">
      <c r="A89" s="40" t="s">
        <v>18</v>
      </c>
      <c r="B89" s="29"/>
      <c r="C89" s="28" t="s">
        <v>15</v>
      </c>
      <c r="D89" s="59">
        <v>31.5</v>
      </c>
      <c r="E89" s="59">
        <f t="shared" si="39"/>
        <v>31.5</v>
      </c>
      <c r="F89" s="45">
        <f t="shared" si="38"/>
        <v>23</v>
      </c>
      <c r="G89" s="58">
        <v>12</v>
      </c>
      <c r="H89" s="58">
        <v>11</v>
      </c>
      <c r="I89" s="17">
        <v>8.5</v>
      </c>
      <c r="J89" s="17"/>
      <c r="K89" s="18">
        <v>83.7</v>
      </c>
      <c r="L89" s="20">
        <f>K89*100/F89</f>
        <v>363.9130434782609</v>
      </c>
      <c r="M89" s="18">
        <f>K89*100/E89</f>
        <v>265.7142857142857</v>
      </c>
      <c r="N89" s="18">
        <f>K89*100/D89</f>
        <v>265.7142857142857</v>
      </c>
    </row>
    <row r="90" spans="1:14" ht="15.75" customHeight="1">
      <c r="A90" s="37" t="s">
        <v>12</v>
      </c>
      <c r="B90" s="21"/>
      <c r="C90" s="28" t="s">
        <v>7</v>
      </c>
      <c r="D90" s="59"/>
      <c r="E90" s="59">
        <f t="shared" si="39"/>
        <v>0</v>
      </c>
      <c r="F90" s="45">
        <f t="shared" si="38"/>
        <v>0</v>
      </c>
      <c r="G90" s="58"/>
      <c r="H90" s="58"/>
      <c r="I90" s="17"/>
      <c r="J90" s="17"/>
      <c r="K90" s="18">
        <v>5</v>
      </c>
      <c r="L90" s="20"/>
      <c r="M90" s="18"/>
      <c r="N90" s="18"/>
    </row>
    <row r="91" spans="1:14" ht="12.75">
      <c r="A91" s="83" t="s">
        <v>37</v>
      </c>
      <c r="B91" s="61"/>
      <c r="C91" s="16" t="s">
        <v>38</v>
      </c>
      <c r="D91" s="59"/>
      <c r="E91" s="59">
        <f t="shared" si="39"/>
        <v>0</v>
      </c>
      <c r="F91" s="45">
        <f t="shared" si="38"/>
        <v>0</v>
      </c>
      <c r="G91" s="58"/>
      <c r="H91" s="58"/>
      <c r="I91" s="17"/>
      <c r="J91" s="17"/>
      <c r="K91" s="18">
        <v>-0.6</v>
      </c>
      <c r="L91" s="20"/>
      <c r="M91" s="18"/>
      <c r="N91" s="18"/>
    </row>
    <row r="92" spans="1:14" ht="12.75" hidden="1">
      <c r="A92" s="83" t="s">
        <v>42</v>
      </c>
      <c r="B92" s="61"/>
      <c r="C92" s="16" t="s">
        <v>43</v>
      </c>
      <c r="D92" s="72"/>
      <c r="E92" s="16"/>
      <c r="F92" s="45">
        <f>G92+H92</f>
        <v>0</v>
      </c>
      <c r="G92" s="58"/>
      <c r="H92" s="58"/>
      <c r="I92" s="17" t="e">
        <f>J92+#REF!+#REF!+#REF!</f>
        <v>#REF!</v>
      </c>
      <c r="J92" s="17"/>
      <c r="K92" s="18"/>
      <c r="L92" s="27" t="e">
        <f>K92*100/F92</f>
        <v>#DIV/0!</v>
      </c>
      <c r="M92" s="24" t="e">
        <f>K92*100/E92</f>
        <v>#DIV/0!</v>
      </c>
      <c r="N92" s="18" t="e">
        <f>K92*100/D92</f>
        <v>#DIV/0!</v>
      </c>
    </row>
    <row r="93" spans="1:14" ht="12.75">
      <c r="A93" s="36" t="s">
        <v>1</v>
      </c>
      <c r="B93" s="25"/>
      <c r="C93" s="31" t="s">
        <v>0</v>
      </c>
      <c r="D93" s="32">
        <f aca="true" t="shared" si="40" ref="D93:K93">D94+D95</f>
        <v>53397.2</v>
      </c>
      <c r="E93" s="32">
        <f t="shared" si="40"/>
        <v>81195.8</v>
      </c>
      <c r="F93" s="79">
        <f t="shared" si="40"/>
        <v>44531.2</v>
      </c>
      <c r="G93" s="32">
        <f t="shared" si="40"/>
        <v>13451.2</v>
      </c>
      <c r="H93" s="32">
        <f t="shared" si="40"/>
        <v>31080</v>
      </c>
      <c r="I93" s="32">
        <f t="shared" si="40"/>
        <v>26378.4</v>
      </c>
      <c r="J93" s="32">
        <f t="shared" si="40"/>
        <v>10286.2</v>
      </c>
      <c r="K93" s="32">
        <f t="shared" si="40"/>
        <v>22683.5</v>
      </c>
      <c r="L93" s="27">
        <f>K93*100/F93</f>
        <v>50.938443158953724</v>
      </c>
      <c r="M93" s="24">
        <f>K93*100/E93</f>
        <v>27.93678983395693</v>
      </c>
      <c r="N93" s="24">
        <f>K93*100/D93</f>
        <v>42.4806918714839</v>
      </c>
    </row>
    <row r="94" spans="1:14" ht="24">
      <c r="A94" s="83" t="s">
        <v>63</v>
      </c>
      <c r="B94" s="12"/>
      <c r="C94" s="33" t="s">
        <v>20</v>
      </c>
      <c r="D94" s="58">
        <v>53397.2</v>
      </c>
      <c r="E94" s="59">
        <f>G94+H94+I94+J94</f>
        <v>81195.8</v>
      </c>
      <c r="F94" s="45">
        <f>G94+H94</f>
        <v>44531.2</v>
      </c>
      <c r="G94" s="58">
        <v>13451.2</v>
      </c>
      <c r="H94" s="58">
        <f>30960+120</f>
        <v>31080</v>
      </c>
      <c r="I94" s="17">
        <v>26378.4</v>
      </c>
      <c r="J94" s="17">
        <v>10286.2</v>
      </c>
      <c r="K94" s="18">
        <v>22683.5</v>
      </c>
      <c r="L94" s="20">
        <f>K94*100/F94</f>
        <v>50.938443158953724</v>
      </c>
      <c r="M94" s="18">
        <f>K94*100/E94</f>
        <v>27.93678983395693</v>
      </c>
      <c r="N94" s="18">
        <f>K94*100/D94</f>
        <v>42.4806918714839</v>
      </c>
    </row>
    <row r="95" spans="1:14" ht="12.75" hidden="1">
      <c r="A95" s="14" t="s">
        <v>71</v>
      </c>
      <c r="B95" s="14"/>
      <c r="C95" s="34" t="s">
        <v>19</v>
      </c>
      <c r="D95" s="65"/>
      <c r="E95" s="59">
        <f>G95+H95+I95+J95</f>
        <v>0</v>
      </c>
      <c r="F95" s="45">
        <f>G95</f>
        <v>0</v>
      </c>
      <c r="G95" s="68"/>
      <c r="H95" s="68"/>
      <c r="I95" s="17"/>
      <c r="J95" s="17"/>
      <c r="K95" s="18"/>
      <c r="L95" s="20" t="e">
        <f>K95*100/F95</f>
        <v>#DIV/0!</v>
      </c>
      <c r="M95" s="18" t="e">
        <f>K95*100/E95</f>
        <v>#DIV/0!</v>
      </c>
      <c r="N95" s="18"/>
    </row>
    <row r="96" spans="1:14" ht="12.75">
      <c r="A96" s="21"/>
      <c r="B96" s="22"/>
      <c r="C96" s="23" t="s">
        <v>4</v>
      </c>
      <c r="D96" s="24">
        <f aca="true" t="shared" si="41" ref="D96:K96">D93+D81</f>
        <v>90893.09999999999</v>
      </c>
      <c r="E96" s="24">
        <f t="shared" si="41"/>
        <v>119073.5</v>
      </c>
      <c r="F96" s="24">
        <f t="shared" si="41"/>
        <v>63833.2</v>
      </c>
      <c r="G96" s="24">
        <f t="shared" si="41"/>
        <v>23586.6</v>
      </c>
      <c r="H96" s="24">
        <f t="shared" si="41"/>
        <v>40246.6</v>
      </c>
      <c r="I96" s="24">
        <f t="shared" si="41"/>
        <v>34968.9</v>
      </c>
      <c r="J96" s="24">
        <f t="shared" si="41"/>
        <v>20271.4</v>
      </c>
      <c r="K96" s="24">
        <f t="shared" si="41"/>
        <v>33264.2</v>
      </c>
      <c r="L96" s="27">
        <f>K96*100/F96</f>
        <v>52.11112712506971</v>
      </c>
      <c r="M96" s="24">
        <f>K96*100/E96</f>
        <v>27.935854745178393</v>
      </c>
      <c r="N96" s="24">
        <f>K96*100/D96</f>
        <v>36.597057422400596</v>
      </c>
    </row>
    <row r="97" spans="1:14" ht="12.75">
      <c r="A97" s="190"/>
      <c r="B97" s="191"/>
      <c r="C97" s="191"/>
      <c r="D97" s="191"/>
      <c r="E97" s="191"/>
      <c r="F97" s="191"/>
      <c r="G97" s="191"/>
      <c r="H97" s="191"/>
      <c r="I97" s="191"/>
      <c r="J97" s="191"/>
      <c r="K97" s="191"/>
      <c r="L97" s="27"/>
      <c r="M97" s="24"/>
      <c r="N97" s="18"/>
    </row>
    <row r="98" spans="1:14" ht="12.75">
      <c r="A98" s="196" t="s">
        <v>27</v>
      </c>
      <c r="B98" s="197"/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</row>
    <row r="99" spans="1:14" ht="12.75">
      <c r="A99" s="36" t="s">
        <v>3</v>
      </c>
      <c r="B99" s="25"/>
      <c r="C99" s="26" t="s">
        <v>64</v>
      </c>
      <c r="D99" s="27">
        <f aca="true" t="shared" si="42" ref="D99:J99">D100+D103+D107+D104+D105+D108+D106+D102+D101</f>
        <v>3174.8</v>
      </c>
      <c r="E99" s="27">
        <f t="shared" si="42"/>
        <v>3174.8</v>
      </c>
      <c r="F99" s="27">
        <f t="shared" si="42"/>
        <v>1583.4</v>
      </c>
      <c r="G99" s="27">
        <f t="shared" si="42"/>
        <v>787.9000000000001</v>
      </c>
      <c r="H99" s="27">
        <f t="shared" si="42"/>
        <v>795.5</v>
      </c>
      <c r="I99" s="27">
        <f t="shared" si="42"/>
        <v>795.5999999999999</v>
      </c>
      <c r="J99" s="27">
        <f t="shared" si="42"/>
        <v>795.8</v>
      </c>
      <c r="K99" s="27">
        <f>K100+K103+K107+K104+K105+K108+K106+K102+K101</f>
        <v>989</v>
      </c>
      <c r="L99" s="27">
        <f aca="true" t="shared" si="43" ref="L99:L105">K99*100/F99</f>
        <v>62.46052797776935</v>
      </c>
      <c r="M99" s="24">
        <f aca="true" t="shared" si="44" ref="M99:M105">K99*100/E99</f>
        <v>31.15156860274663</v>
      </c>
      <c r="N99" s="24">
        <f aca="true" t="shared" si="45" ref="N99:N105">K99*100/D99</f>
        <v>31.15156860274663</v>
      </c>
    </row>
    <row r="100" spans="1:18" ht="12.75">
      <c r="A100" s="35" t="s">
        <v>74</v>
      </c>
      <c r="B100" s="12"/>
      <c r="C100" s="54" t="s">
        <v>75</v>
      </c>
      <c r="D100" s="59">
        <v>1400</v>
      </c>
      <c r="E100" s="59">
        <f>G100+H100+I100+J100</f>
        <v>1400</v>
      </c>
      <c r="F100" s="45">
        <f aca="true" t="shared" si="46" ref="F100:F110">G100+H100</f>
        <v>700</v>
      </c>
      <c r="G100" s="58">
        <v>350</v>
      </c>
      <c r="H100" s="58">
        <v>350</v>
      </c>
      <c r="I100" s="17">
        <v>350</v>
      </c>
      <c r="J100" s="18">
        <v>350</v>
      </c>
      <c r="K100" s="18">
        <v>332.6</v>
      </c>
      <c r="L100" s="20">
        <f t="shared" si="43"/>
        <v>47.51428571428571</v>
      </c>
      <c r="M100" s="18">
        <f t="shared" si="44"/>
        <v>23.757142857142856</v>
      </c>
      <c r="N100" s="18">
        <f t="shared" si="45"/>
        <v>23.757142857142856</v>
      </c>
      <c r="R100" s="2"/>
    </row>
    <row r="101" spans="1:14" ht="25.5" customHeight="1">
      <c r="A101" s="35" t="s">
        <v>73</v>
      </c>
      <c r="B101" s="12"/>
      <c r="C101" s="28" t="s">
        <v>72</v>
      </c>
      <c r="D101" s="59">
        <v>1505.3</v>
      </c>
      <c r="E101" s="59">
        <f>G101+H101+I101+J101</f>
        <v>1505.3000000000002</v>
      </c>
      <c r="F101" s="45">
        <f t="shared" si="46"/>
        <v>752.6</v>
      </c>
      <c r="G101" s="58">
        <v>376.3</v>
      </c>
      <c r="H101" s="58">
        <v>376.3</v>
      </c>
      <c r="I101" s="17">
        <v>376.3</v>
      </c>
      <c r="J101" s="18">
        <v>376.4</v>
      </c>
      <c r="K101" s="18">
        <v>527.6</v>
      </c>
      <c r="L101" s="20">
        <f t="shared" si="43"/>
        <v>70.10364071219772</v>
      </c>
      <c r="M101" s="18">
        <f t="shared" si="44"/>
        <v>35.04949179565535</v>
      </c>
      <c r="N101" s="18">
        <f t="shared" si="45"/>
        <v>35.04949179565535</v>
      </c>
    </row>
    <row r="102" spans="1:14" ht="12.75" hidden="1">
      <c r="A102" s="35" t="s">
        <v>8</v>
      </c>
      <c r="B102" s="12"/>
      <c r="C102" s="28" t="s">
        <v>5</v>
      </c>
      <c r="D102" s="59"/>
      <c r="E102" s="59">
        <f>G102+H102+I102+J102</f>
        <v>0</v>
      </c>
      <c r="F102" s="45">
        <f t="shared" si="46"/>
        <v>0</v>
      </c>
      <c r="G102" s="58"/>
      <c r="H102" s="58"/>
      <c r="I102" s="17"/>
      <c r="J102" s="18"/>
      <c r="K102" s="18"/>
      <c r="L102" s="20" t="e">
        <f t="shared" si="43"/>
        <v>#DIV/0!</v>
      </c>
      <c r="M102" s="18" t="e">
        <f t="shared" si="44"/>
        <v>#DIV/0!</v>
      </c>
      <c r="N102" s="18" t="e">
        <f t="shared" si="45"/>
        <v>#DIV/0!</v>
      </c>
    </row>
    <row r="103" spans="1:14" ht="12.75">
      <c r="A103" s="35" t="s">
        <v>9</v>
      </c>
      <c r="B103" s="12"/>
      <c r="C103" s="28" t="s">
        <v>6</v>
      </c>
      <c r="D103" s="59">
        <v>228</v>
      </c>
      <c r="E103" s="59">
        <f aca="true" t="shared" si="47" ref="E103:E111">G103+H103+I103+J103</f>
        <v>228</v>
      </c>
      <c r="F103" s="45">
        <f t="shared" si="46"/>
        <v>110.2</v>
      </c>
      <c r="G103" s="58">
        <v>51.5</v>
      </c>
      <c r="H103" s="58">
        <v>58.7</v>
      </c>
      <c r="I103" s="17">
        <v>58.9</v>
      </c>
      <c r="J103" s="18">
        <v>58.9</v>
      </c>
      <c r="K103" s="18">
        <v>110.6</v>
      </c>
      <c r="L103" s="20">
        <f t="shared" si="43"/>
        <v>100.36297640653358</v>
      </c>
      <c r="M103" s="18">
        <f t="shared" si="44"/>
        <v>48.50877192982456</v>
      </c>
      <c r="N103" s="18">
        <f t="shared" si="45"/>
        <v>48.50877192982456</v>
      </c>
    </row>
    <row r="104" spans="1:14" ht="12.75">
      <c r="A104" s="35" t="s">
        <v>10</v>
      </c>
      <c r="B104" s="12"/>
      <c r="C104" s="28" t="s">
        <v>21</v>
      </c>
      <c r="D104" s="59">
        <v>1.5</v>
      </c>
      <c r="E104" s="59">
        <f t="shared" si="47"/>
        <v>1.5</v>
      </c>
      <c r="F104" s="45">
        <f t="shared" si="46"/>
        <v>0.6</v>
      </c>
      <c r="G104" s="58">
        <v>0.1</v>
      </c>
      <c r="H104" s="58">
        <v>0.5</v>
      </c>
      <c r="I104" s="17">
        <v>0.4</v>
      </c>
      <c r="J104" s="18">
        <v>0.5</v>
      </c>
      <c r="K104" s="18">
        <v>0.2</v>
      </c>
      <c r="L104" s="20">
        <f t="shared" si="43"/>
        <v>33.333333333333336</v>
      </c>
      <c r="M104" s="18">
        <f t="shared" si="44"/>
        <v>13.333333333333334</v>
      </c>
      <c r="N104" s="18">
        <f t="shared" si="45"/>
        <v>13.333333333333334</v>
      </c>
    </row>
    <row r="105" spans="1:14" ht="24">
      <c r="A105" s="39" t="s">
        <v>11</v>
      </c>
      <c r="B105" s="13"/>
      <c r="C105" s="28" t="s">
        <v>17</v>
      </c>
      <c r="D105" s="59">
        <v>40</v>
      </c>
      <c r="E105" s="59">
        <f t="shared" si="47"/>
        <v>40</v>
      </c>
      <c r="F105" s="45">
        <f t="shared" si="46"/>
        <v>20</v>
      </c>
      <c r="G105" s="58">
        <v>10</v>
      </c>
      <c r="H105" s="58">
        <v>10</v>
      </c>
      <c r="I105" s="17">
        <v>10</v>
      </c>
      <c r="J105" s="18">
        <v>10</v>
      </c>
      <c r="K105" s="18">
        <v>18</v>
      </c>
      <c r="L105" s="20">
        <f t="shared" si="43"/>
        <v>90</v>
      </c>
      <c r="M105" s="18">
        <f t="shared" si="44"/>
        <v>45</v>
      </c>
      <c r="N105" s="18">
        <f t="shared" si="45"/>
        <v>45</v>
      </c>
    </row>
    <row r="106" spans="1:14" ht="24" customHeight="1">
      <c r="A106" s="41" t="s">
        <v>40</v>
      </c>
      <c r="B106" s="30"/>
      <c r="C106" s="28" t="s">
        <v>41</v>
      </c>
      <c r="D106" s="59"/>
      <c r="E106" s="59">
        <f t="shared" si="47"/>
        <v>0</v>
      </c>
      <c r="F106" s="45">
        <f t="shared" si="46"/>
        <v>0</v>
      </c>
      <c r="G106" s="58"/>
      <c r="H106" s="58"/>
      <c r="I106" s="17"/>
      <c r="J106" s="18"/>
      <c r="K106" s="18">
        <v>5</v>
      </c>
      <c r="L106" s="20"/>
      <c r="M106" s="18"/>
      <c r="N106" s="18"/>
    </row>
    <row r="107" spans="1:14" ht="14.25" customHeight="1" hidden="1">
      <c r="A107" s="37" t="s">
        <v>12</v>
      </c>
      <c r="B107" s="21"/>
      <c r="C107" s="80" t="s">
        <v>7</v>
      </c>
      <c r="D107" s="59"/>
      <c r="E107" s="59">
        <f t="shared" si="47"/>
        <v>0</v>
      </c>
      <c r="F107" s="45">
        <f t="shared" si="46"/>
        <v>0</v>
      </c>
      <c r="G107" s="58"/>
      <c r="H107" s="58"/>
      <c r="I107" s="17"/>
      <c r="J107" s="18"/>
      <c r="K107" s="18"/>
      <c r="L107" s="20"/>
      <c r="M107" s="18"/>
      <c r="N107" s="18"/>
    </row>
    <row r="108" spans="1:14" ht="16.5" customHeight="1">
      <c r="A108" s="41" t="s">
        <v>37</v>
      </c>
      <c r="B108" s="67"/>
      <c r="C108" s="16" t="s">
        <v>38</v>
      </c>
      <c r="D108" s="59"/>
      <c r="E108" s="59">
        <f t="shared" si="47"/>
        <v>0</v>
      </c>
      <c r="F108" s="45">
        <f t="shared" si="46"/>
        <v>0</v>
      </c>
      <c r="G108" s="58"/>
      <c r="H108" s="58"/>
      <c r="I108" s="17"/>
      <c r="J108" s="18"/>
      <c r="K108" s="18">
        <v>-5</v>
      </c>
      <c r="L108" s="27"/>
      <c r="M108" s="24"/>
      <c r="N108" s="18"/>
    </row>
    <row r="109" spans="1:14" ht="12.75">
      <c r="A109" s="82" t="s">
        <v>1</v>
      </c>
      <c r="B109" s="63"/>
      <c r="C109" s="31" t="s">
        <v>0</v>
      </c>
      <c r="D109" s="32">
        <f aca="true" t="shared" si="48" ref="D109:K109">D110+D111</f>
        <v>25449.7</v>
      </c>
      <c r="E109" s="32">
        <f t="shared" si="48"/>
        <v>24841.300000000003</v>
      </c>
      <c r="F109" s="32">
        <f t="shared" si="48"/>
        <v>12112</v>
      </c>
      <c r="G109" s="32">
        <f t="shared" si="48"/>
        <v>5747.3</v>
      </c>
      <c r="H109" s="32">
        <f t="shared" si="48"/>
        <v>6364.7</v>
      </c>
      <c r="I109" s="32">
        <f t="shared" si="48"/>
        <v>6364.7</v>
      </c>
      <c r="J109" s="32">
        <f t="shared" si="48"/>
        <v>6364.6</v>
      </c>
      <c r="K109" s="32">
        <f t="shared" si="48"/>
        <v>11455.1</v>
      </c>
      <c r="L109" s="27">
        <f>K109*100/F109</f>
        <v>94.57645310435932</v>
      </c>
      <c r="M109" s="24">
        <f>K109*100/E109</f>
        <v>46.1131261246392</v>
      </c>
      <c r="N109" s="24">
        <f>K109*100/D109</f>
        <v>45.01074668856607</v>
      </c>
    </row>
    <row r="110" spans="1:14" ht="24">
      <c r="A110" s="83" t="s">
        <v>63</v>
      </c>
      <c r="B110" s="12"/>
      <c r="C110" s="33" t="s">
        <v>20</v>
      </c>
      <c r="D110" s="58">
        <v>25449.7</v>
      </c>
      <c r="E110" s="59">
        <f>G110+H110+I110+J110</f>
        <v>24841.300000000003</v>
      </c>
      <c r="F110" s="45">
        <f t="shared" si="46"/>
        <v>12112</v>
      </c>
      <c r="G110" s="58">
        <v>5747.3</v>
      </c>
      <c r="H110" s="58">
        <v>6364.7</v>
      </c>
      <c r="I110" s="17">
        <v>6364.7</v>
      </c>
      <c r="J110" s="18">
        <v>6364.6</v>
      </c>
      <c r="K110" s="18">
        <v>11455.1</v>
      </c>
      <c r="L110" s="20">
        <f>K110*100/F110</f>
        <v>94.57645310435932</v>
      </c>
      <c r="M110" s="18">
        <f>K110*100/E110</f>
        <v>46.1131261246392</v>
      </c>
      <c r="N110" s="18">
        <f>K110*100/D110</f>
        <v>45.01074668856607</v>
      </c>
    </row>
    <row r="111" spans="1:14" ht="24" customHeight="1" hidden="1">
      <c r="A111" s="81" t="s">
        <v>71</v>
      </c>
      <c r="B111" s="14"/>
      <c r="C111" s="34" t="s">
        <v>19</v>
      </c>
      <c r="D111" s="34"/>
      <c r="E111" s="59">
        <f t="shared" si="47"/>
        <v>0</v>
      </c>
      <c r="F111" s="45">
        <f>G111</f>
        <v>0</v>
      </c>
      <c r="G111" s="68"/>
      <c r="H111" s="68"/>
      <c r="I111" s="17"/>
      <c r="J111" s="18"/>
      <c r="K111" s="18"/>
      <c r="L111" s="27"/>
      <c r="M111" s="24"/>
      <c r="N111" s="18"/>
    </row>
    <row r="112" spans="1:14" ht="12.75">
      <c r="A112" s="21"/>
      <c r="B112" s="22"/>
      <c r="C112" s="23" t="s">
        <v>4</v>
      </c>
      <c r="D112" s="24">
        <f aca="true" t="shared" si="49" ref="D112:K112">D109+D99</f>
        <v>28624.5</v>
      </c>
      <c r="E112" s="24">
        <f t="shared" si="49"/>
        <v>28016.100000000002</v>
      </c>
      <c r="F112" s="62">
        <f t="shared" si="49"/>
        <v>13695.4</v>
      </c>
      <c r="G112" s="62">
        <f t="shared" si="49"/>
        <v>6535.200000000001</v>
      </c>
      <c r="H112" s="62">
        <f>H109+H99</f>
        <v>7160.2</v>
      </c>
      <c r="I112" s="24">
        <f t="shared" si="49"/>
        <v>7160.299999999999</v>
      </c>
      <c r="J112" s="24">
        <f t="shared" si="49"/>
        <v>7160.400000000001</v>
      </c>
      <c r="K112" s="24">
        <f t="shared" si="49"/>
        <v>12444.1</v>
      </c>
      <c r="L112" s="27">
        <f>K112*100/F112</f>
        <v>90.86335557924559</v>
      </c>
      <c r="M112" s="24">
        <f>K112*100/E112</f>
        <v>44.417674123093505</v>
      </c>
      <c r="N112" s="24">
        <f>K112*100/D112</f>
        <v>43.473597792101174</v>
      </c>
    </row>
    <row r="113" spans="1:14" ht="12.75">
      <c r="A113" s="190"/>
      <c r="B113" s="191"/>
      <c r="C113" s="191"/>
      <c r="D113" s="191"/>
      <c r="E113" s="191"/>
      <c r="F113" s="191"/>
      <c r="G113" s="191"/>
      <c r="H113" s="191"/>
      <c r="I113" s="191"/>
      <c r="J113" s="191"/>
      <c r="K113" s="191"/>
      <c r="L113" s="27"/>
      <c r="M113" s="24"/>
      <c r="N113" s="18"/>
    </row>
    <row r="114" spans="1:14" ht="12.75">
      <c r="A114" s="196" t="s">
        <v>28</v>
      </c>
      <c r="B114" s="197"/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</row>
    <row r="115" spans="1:14" ht="12.75">
      <c r="A115" s="36" t="s">
        <v>3</v>
      </c>
      <c r="B115" s="25"/>
      <c r="C115" s="26" t="s">
        <v>64</v>
      </c>
      <c r="D115" s="27">
        <f>D116+D120+D124+D121+D122+D125+D123+D126+D117+D118+D119</f>
        <v>5481.3</v>
      </c>
      <c r="E115" s="27">
        <f aca="true" t="shared" si="50" ref="E115:J115">E116+E120+E124+E121+E122+E125+E123+E126+E117+E118+E119</f>
        <v>5481.3</v>
      </c>
      <c r="F115" s="27">
        <f t="shared" si="50"/>
        <v>2809.2</v>
      </c>
      <c r="G115" s="27">
        <f t="shared" si="50"/>
        <v>1382.6</v>
      </c>
      <c r="H115" s="27">
        <f t="shared" si="50"/>
        <v>1426.6</v>
      </c>
      <c r="I115" s="27">
        <f t="shared" si="50"/>
        <v>1379.1</v>
      </c>
      <c r="J115" s="27">
        <f t="shared" si="50"/>
        <v>1293</v>
      </c>
      <c r="K115" s="27">
        <f>K116+K120+K124+K121+K122+K125+K123+K126+K117+K118+K119</f>
        <v>1694.1999999999998</v>
      </c>
      <c r="L115" s="27">
        <f>K115*100/F115</f>
        <v>60.308984764345716</v>
      </c>
      <c r="M115" s="24">
        <f>K115*100/E115</f>
        <v>30.90872603214565</v>
      </c>
      <c r="N115" s="24">
        <f>K115*100/D115</f>
        <v>30.90872603214565</v>
      </c>
    </row>
    <row r="116" spans="1:18" ht="12.75">
      <c r="A116" s="35" t="s">
        <v>74</v>
      </c>
      <c r="B116" s="12"/>
      <c r="C116" s="54" t="s">
        <v>75</v>
      </c>
      <c r="D116" s="59">
        <v>1470</v>
      </c>
      <c r="E116" s="59">
        <f>G116+H116+I116+J116</f>
        <v>1470</v>
      </c>
      <c r="F116" s="45">
        <f aca="true" t="shared" si="51" ref="F116:F128">G116+H116</f>
        <v>735</v>
      </c>
      <c r="G116" s="59">
        <v>367.5</v>
      </c>
      <c r="H116" s="59">
        <v>367.5</v>
      </c>
      <c r="I116" s="18">
        <v>367.5</v>
      </c>
      <c r="J116" s="18">
        <v>367.5</v>
      </c>
      <c r="K116" s="18">
        <v>366.1</v>
      </c>
      <c r="L116" s="20">
        <f>K116*100/F116</f>
        <v>49.80952380952381</v>
      </c>
      <c r="M116" s="18">
        <f>K116*100/E116</f>
        <v>24.904761904761905</v>
      </c>
      <c r="N116" s="18">
        <f>K116*100/D116</f>
        <v>24.904761904761905</v>
      </c>
      <c r="R116" s="2"/>
    </row>
    <row r="117" spans="1:14" ht="36" hidden="1">
      <c r="A117" s="35" t="s">
        <v>73</v>
      </c>
      <c r="B117" s="12"/>
      <c r="C117" s="28" t="s">
        <v>72</v>
      </c>
      <c r="D117" s="59"/>
      <c r="E117" s="59">
        <f>G117+H117+I117+J117</f>
        <v>0</v>
      </c>
      <c r="F117" s="45">
        <f t="shared" si="51"/>
        <v>0</v>
      </c>
      <c r="G117" s="59"/>
      <c r="H117" s="59"/>
      <c r="I117" s="18"/>
      <c r="J117" s="18"/>
      <c r="K117" s="18"/>
      <c r="L117" s="20" t="e">
        <f>K117*100/F117</f>
        <v>#DIV/0!</v>
      </c>
      <c r="M117" s="18" t="e">
        <f>K117*100/E117</f>
        <v>#DIV/0!</v>
      </c>
      <c r="N117" s="18" t="e">
        <f>K117*100/D117</f>
        <v>#DIV/0!</v>
      </c>
    </row>
    <row r="118" spans="1:14" ht="26.25" customHeight="1">
      <c r="A118" s="35" t="s">
        <v>73</v>
      </c>
      <c r="B118" s="12"/>
      <c r="C118" s="28" t="s">
        <v>72</v>
      </c>
      <c r="D118" s="59">
        <v>3261.5</v>
      </c>
      <c r="E118" s="59">
        <f>G118+H118+I118+J118</f>
        <v>3261.5</v>
      </c>
      <c r="F118" s="45">
        <f t="shared" si="51"/>
        <v>1670.8</v>
      </c>
      <c r="G118" s="59">
        <v>819.9</v>
      </c>
      <c r="H118" s="59">
        <v>850.9</v>
      </c>
      <c r="I118" s="18">
        <v>850.9</v>
      </c>
      <c r="J118" s="18">
        <v>739.8</v>
      </c>
      <c r="K118" s="18">
        <v>1143.1</v>
      </c>
      <c r="L118" s="20">
        <f>K118*100/F118</f>
        <v>68.4163275077807</v>
      </c>
      <c r="M118" s="18">
        <f>K118*100/E118</f>
        <v>35.04829066380499</v>
      </c>
      <c r="N118" s="18">
        <f>K118*100/D118</f>
        <v>35.04829066380499</v>
      </c>
    </row>
    <row r="119" spans="1:14" ht="16.5" customHeight="1">
      <c r="A119" s="35" t="s">
        <v>8</v>
      </c>
      <c r="B119" s="12"/>
      <c r="C119" s="28" t="s">
        <v>5</v>
      </c>
      <c r="D119" s="59">
        <v>10</v>
      </c>
      <c r="E119" s="59">
        <f>G119+H119+I119+J119</f>
        <v>10</v>
      </c>
      <c r="F119" s="45">
        <f t="shared" si="51"/>
        <v>10</v>
      </c>
      <c r="G119" s="59">
        <v>10</v>
      </c>
      <c r="H119" s="59"/>
      <c r="I119" s="18"/>
      <c r="J119" s="18"/>
      <c r="K119" s="18"/>
      <c r="L119" s="20"/>
      <c r="M119" s="18"/>
      <c r="N119" s="18"/>
    </row>
    <row r="120" spans="1:14" ht="12.75">
      <c r="A120" s="35" t="s">
        <v>9</v>
      </c>
      <c r="B120" s="12"/>
      <c r="C120" s="28" t="s">
        <v>6</v>
      </c>
      <c r="D120" s="59">
        <v>259</v>
      </c>
      <c r="E120" s="59">
        <f aca="true" t="shared" si="52" ref="E120:E128">G120+H120+I120+J120</f>
        <v>259</v>
      </c>
      <c r="F120" s="45">
        <f t="shared" si="51"/>
        <v>153</v>
      </c>
      <c r="G120" s="59">
        <v>65</v>
      </c>
      <c r="H120" s="59">
        <v>88</v>
      </c>
      <c r="I120" s="18">
        <v>40.5</v>
      </c>
      <c r="J120" s="18">
        <v>65.5</v>
      </c>
      <c r="K120" s="18">
        <v>33.3</v>
      </c>
      <c r="L120" s="20">
        <f>K120*100/F120</f>
        <v>21.76470588235294</v>
      </c>
      <c r="M120" s="18">
        <f>K120*100/E120</f>
        <v>12.857142857142856</v>
      </c>
      <c r="N120" s="18">
        <f>K120*100/D120</f>
        <v>12.857142857142856</v>
      </c>
    </row>
    <row r="121" spans="1:14" ht="12.75">
      <c r="A121" s="35" t="s">
        <v>10</v>
      </c>
      <c r="B121" s="12"/>
      <c r="C121" s="28" t="s">
        <v>21</v>
      </c>
      <c r="D121" s="59">
        <v>13.5</v>
      </c>
      <c r="E121" s="59">
        <f t="shared" si="52"/>
        <v>13.5</v>
      </c>
      <c r="F121" s="45">
        <f t="shared" si="51"/>
        <v>6.8</v>
      </c>
      <c r="G121" s="59">
        <v>3.4</v>
      </c>
      <c r="H121" s="59">
        <v>3.4</v>
      </c>
      <c r="I121" s="18">
        <v>3.4</v>
      </c>
      <c r="J121" s="18">
        <v>3.3</v>
      </c>
      <c r="K121" s="18">
        <v>4</v>
      </c>
      <c r="L121" s="20">
        <f>K121*100/F121</f>
        <v>58.82352941176471</v>
      </c>
      <c r="M121" s="18">
        <f>K121*100/E121</f>
        <v>29.62962962962963</v>
      </c>
      <c r="N121" s="18">
        <f>K121*100/D121</f>
        <v>29.62962962962963</v>
      </c>
    </row>
    <row r="122" spans="1:14" ht="23.25" customHeight="1">
      <c r="A122" s="39" t="s">
        <v>11</v>
      </c>
      <c r="B122" s="13"/>
      <c r="C122" s="28" t="s">
        <v>17</v>
      </c>
      <c r="D122" s="59">
        <v>467.3</v>
      </c>
      <c r="E122" s="59">
        <f t="shared" si="52"/>
        <v>467.29999999999995</v>
      </c>
      <c r="F122" s="45">
        <f t="shared" si="51"/>
        <v>233.6</v>
      </c>
      <c r="G122" s="59">
        <v>116.8</v>
      </c>
      <c r="H122" s="59">
        <v>116.8</v>
      </c>
      <c r="I122" s="18">
        <v>116.8</v>
      </c>
      <c r="J122" s="18">
        <v>116.9</v>
      </c>
      <c r="K122" s="18">
        <v>147.7</v>
      </c>
      <c r="L122" s="20">
        <f>K122*100/F122</f>
        <v>63.227739726027394</v>
      </c>
      <c r="M122" s="18">
        <f>K122*100/E122</f>
        <v>31.607104643697838</v>
      </c>
      <c r="N122" s="18">
        <f>K122*100/D122</f>
        <v>31.607104643697834</v>
      </c>
    </row>
    <row r="123" spans="1:14" ht="24.75" customHeight="1">
      <c r="A123" s="41" t="s">
        <v>40</v>
      </c>
      <c r="B123" s="30"/>
      <c r="C123" s="28" t="s">
        <v>41</v>
      </c>
      <c r="D123" s="59"/>
      <c r="E123" s="59">
        <f t="shared" si="52"/>
        <v>0</v>
      </c>
      <c r="F123" s="45">
        <f t="shared" si="51"/>
        <v>0</v>
      </c>
      <c r="G123" s="59"/>
      <c r="H123" s="59"/>
      <c r="I123" s="18"/>
      <c r="J123" s="18"/>
      <c r="K123" s="18"/>
      <c r="L123" s="20"/>
      <c r="M123" s="18"/>
      <c r="N123" s="18"/>
    </row>
    <row r="124" spans="1:14" ht="27" customHeight="1" hidden="1">
      <c r="A124" s="40" t="s">
        <v>18</v>
      </c>
      <c r="B124" s="29"/>
      <c r="C124" s="28" t="s">
        <v>15</v>
      </c>
      <c r="D124" s="59"/>
      <c r="E124" s="59">
        <f t="shared" si="52"/>
        <v>0</v>
      </c>
      <c r="F124" s="45">
        <f t="shared" si="51"/>
        <v>0</v>
      </c>
      <c r="G124" s="59"/>
      <c r="H124" s="59"/>
      <c r="I124" s="18"/>
      <c r="J124" s="18"/>
      <c r="K124" s="18"/>
      <c r="L124" s="20"/>
      <c r="M124" s="18"/>
      <c r="N124" s="18"/>
    </row>
    <row r="125" spans="1:14" ht="23.25" customHeight="1" hidden="1">
      <c r="A125" s="37" t="s">
        <v>12</v>
      </c>
      <c r="B125" s="21"/>
      <c r="C125" s="28" t="s">
        <v>7</v>
      </c>
      <c r="D125" s="59"/>
      <c r="E125" s="59">
        <f t="shared" si="52"/>
        <v>0</v>
      </c>
      <c r="F125" s="45">
        <f t="shared" si="51"/>
        <v>0</v>
      </c>
      <c r="G125" s="59"/>
      <c r="H125" s="59"/>
      <c r="I125" s="18"/>
      <c r="J125" s="18"/>
      <c r="K125" s="18"/>
      <c r="L125" s="27" t="e">
        <f>K125*100/F125</f>
        <v>#DIV/0!</v>
      </c>
      <c r="M125" s="24" t="e">
        <f>K125*100/E125</f>
        <v>#DIV/0!</v>
      </c>
      <c r="N125" s="18" t="e">
        <f>K125*100/D125</f>
        <v>#DIV/0!</v>
      </c>
    </row>
    <row r="126" spans="1:14" ht="14.25" customHeight="1">
      <c r="A126" s="40" t="s">
        <v>37</v>
      </c>
      <c r="B126" s="67"/>
      <c r="C126" s="16" t="s">
        <v>38</v>
      </c>
      <c r="D126" s="59"/>
      <c r="E126" s="59">
        <f t="shared" si="52"/>
        <v>0</v>
      </c>
      <c r="F126" s="45">
        <f t="shared" si="51"/>
        <v>0</v>
      </c>
      <c r="G126" s="59"/>
      <c r="H126" s="59"/>
      <c r="I126" s="18"/>
      <c r="J126" s="18"/>
      <c r="K126" s="18"/>
      <c r="L126" s="27"/>
      <c r="M126" s="24"/>
      <c r="N126" s="18"/>
    </row>
    <row r="127" spans="1:14" ht="12.75">
      <c r="A127" s="36" t="s">
        <v>1</v>
      </c>
      <c r="B127" s="25"/>
      <c r="C127" s="31" t="s">
        <v>0</v>
      </c>
      <c r="D127" s="32">
        <f>D128+D129</f>
        <v>26468.9</v>
      </c>
      <c r="E127" s="32">
        <f aca="true" t="shared" si="53" ref="E127:K127">E128+E129</f>
        <v>29525</v>
      </c>
      <c r="F127" s="32">
        <f t="shared" si="53"/>
        <v>16300.499999999998</v>
      </c>
      <c r="G127" s="32">
        <f t="shared" si="53"/>
        <v>9204.9</v>
      </c>
      <c r="H127" s="32">
        <f t="shared" si="53"/>
        <v>7095.599999999999</v>
      </c>
      <c r="I127" s="32">
        <f t="shared" si="53"/>
        <v>6622.2</v>
      </c>
      <c r="J127" s="32">
        <f t="shared" si="53"/>
        <v>6602.3</v>
      </c>
      <c r="K127" s="32">
        <f t="shared" si="53"/>
        <v>12008.5</v>
      </c>
      <c r="L127" s="27">
        <f>K127*100/F127</f>
        <v>73.66951933989756</v>
      </c>
      <c r="M127" s="24">
        <f>K127*100/E127</f>
        <v>40.672311600338695</v>
      </c>
      <c r="N127" s="24">
        <f>K127*100/D127</f>
        <v>45.36833793621948</v>
      </c>
    </row>
    <row r="128" spans="1:14" ht="24">
      <c r="A128" s="83" t="s">
        <v>63</v>
      </c>
      <c r="B128" s="12"/>
      <c r="C128" s="33" t="s">
        <v>20</v>
      </c>
      <c r="D128" s="58">
        <v>26468.9</v>
      </c>
      <c r="E128" s="59">
        <f t="shared" si="52"/>
        <v>29171.6</v>
      </c>
      <c r="F128" s="45">
        <f t="shared" si="51"/>
        <v>15947.099999999999</v>
      </c>
      <c r="G128" s="59">
        <v>9204.9</v>
      </c>
      <c r="H128" s="59">
        <v>6742.2</v>
      </c>
      <c r="I128" s="18">
        <v>6622.2</v>
      </c>
      <c r="J128" s="18">
        <v>6602.3</v>
      </c>
      <c r="K128" s="18">
        <v>11655.1</v>
      </c>
      <c r="L128" s="20">
        <f>K128*100/F128</f>
        <v>73.08601563920713</v>
      </c>
      <c r="M128" s="18">
        <f>K128*100/E128</f>
        <v>39.953584993623934</v>
      </c>
      <c r="N128" s="18">
        <f>K128*100/D128</f>
        <v>44.03318611653676</v>
      </c>
    </row>
    <row r="129" spans="1:14" ht="24">
      <c r="A129" s="83" t="s">
        <v>80</v>
      </c>
      <c r="B129" s="14"/>
      <c r="C129" s="28" t="s">
        <v>81</v>
      </c>
      <c r="D129" s="58"/>
      <c r="E129" s="59">
        <f>G129+H129+I129+J129</f>
        <v>353.4</v>
      </c>
      <c r="F129" s="45">
        <f>G129+H129</f>
        <v>353.4</v>
      </c>
      <c r="G129" s="59"/>
      <c r="H129" s="59">
        <v>353.4</v>
      </c>
      <c r="I129" s="18"/>
      <c r="J129" s="18"/>
      <c r="K129" s="18">
        <v>353.4</v>
      </c>
      <c r="L129" s="20"/>
      <c r="M129" s="18"/>
      <c r="N129" s="18"/>
    </row>
    <row r="130" spans="1:14" ht="12.75">
      <c r="A130" s="21"/>
      <c r="B130" s="22"/>
      <c r="C130" s="23" t="s">
        <v>4</v>
      </c>
      <c r="D130" s="24">
        <f aca="true" t="shared" si="54" ref="D130:K130">D127+D115</f>
        <v>31950.2</v>
      </c>
      <c r="E130" s="24">
        <f t="shared" si="54"/>
        <v>35006.3</v>
      </c>
      <c r="F130" s="24">
        <f t="shared" si="54"/>
        <v>19109.699999999997</v>
      </c>
      <c r="G130" s="24">
        <f t="shared" si="54"/>
        <v>10587.5</v>
      </c>
      <c r="H130" s="24">
        <f t="shared" si="54"/>
        <v>8522.199999999999</v>
      </c>
      <c r="I130" s="24">
        <f t="shared" si="54"/>
        <v>8001.299999999999</v>
      </c>
      <c r="J130" s="24">
        <f t="shared" si="54"/>
        <v>7895.3</v>
      </c>
      <c r="K130" s="24">
        <f t="shared" si="54"/>
        <v>13702.7</v>
      </c>
      <c r="L130" s="27">
        <f>K130*100/F130</f>
        <v>71.70546895032366</v>
      </c>
      <c r="M130" s="24">
        <f>K130*100/E130</f>
        <v>39.14352559396451</v>
      </c>
      <c r="N130" s="24">
        <f>K130*100/D130</f>
        <v>42.887681454263195</v>
      </c>
    </row>
    <row r="131" spans="1:14" ht="12.75">
      <c r="A131" s="190"/>
      <c r="B131" s="191"/>
      <c r="C131" s="191"/>
      <c r="D131" s="191"/>
      <c r="E131" s="191"/>
      <c r="F131" s="191"/>
      <c r="G131" s="191"/>
      <c r="H131" s="191"/>
      <c r="I131" s="191"/>
      <c r="J131" s="191"/>
      <c r="K131" s="191"/>
      <c r="L131" s="27"/>
      <c r="M131" s="24"/>
      <c r="N131" s="18"/>
    </row>
    <row r="132" spans="1:14" ht="12.75">
      <c r="A132" s="196" t="s">
        <v>29</v>
      </c>
      <c r="B132" s="197"/>
      <c r="C132" s="197"/>
      <c r="D132" s="197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</row>
    <row r="133" spans="1:14" ht="12.75">
      <c r="A133" s="36" t="s">
        <v>3</v>
      </c>
      <c r="B133" s="25"/>
      <c r="C133" s="26" t="s">
        <v>64</v>
      </c>
      <c r="D133" s="27">
        <f aca="true" t="shared" si="55" ref="D133:J133">D134+D136+D137+D138+D140+D142+D139+D141+D135</f>
        <v>10865.7</v>
      </c>
      <c r="E133" s="27">
        <f t="shared" si="55"/>
        <v>10865.7</v>
      </c>
      <c r="F133" s="27">
        <f t="shared" si="55"/>
        <v>5676.4</v>
      </c>
      <c r="G133" s="27">
        <f t="shared" si="55"/>
        <v>2861.5</v>
      </c>
      <c r="H133" s="27">
        <f t="shared" si="55"/>
        <v>2814.8999999999996</v>
      </c>
      <c r="I133" s="27">
        <f t="shared" si="55"/>
        <v>2692.5</v>
      </c>
      <c r="J133" s="27">
        <f t="shared" si="55"/>
        <v>2496.8</v>
      </c>
      <c r="K133" s="27">
        <f>K134+K136+K137+K138+K140+K142+K139+K141+K135</f>
        <v>3597.3999999999996</v>
      </c>
      <c r="L133" s="27">
        <f aca="true" t="shared" si="56" ref="L133:L138">K133*100/F133</f>
        <v>63.37467408921147</v>
      </c>
      <c r="M133" s="24">
        <f aca="true" t="shared" si="57" ref="M133:M138">K133*100/E133</f>
        <v>33.10785315258105</v>
      </c>
      <c r="N133" s="24">
        <f aca="true" t="shared" si="58" ref="N133:N138">K133*100/D133</f>
        <v>33.10785315258105</v>
      </c>
    </row>
    <row r="134" spans="1:18" ht="12.75">
      <c r="A134" s="35" t="s">
        <v>74</v>
      </c>
      <c r="B134" s="12"/>
      <c r="C134" s="54" t="s">
        <v>75</v>
      </c>
      <c r="D134" s="59">
        <v>3050</v>
      </c>
      <c r="E134" s="59">
        <f>G134+H134+I134+J134</f>
        <v>3050</v>
      </c>
      <c r="F134" s="45">
        <f aca="true" t="shared" si="59" ref="F134:F144">G134+H134</f>
        <v>1550</v>
      </c>
      <c r="G134" s="58">
        <v>800</v>
      </c>
      <c r="H134" s="58">
        <v>750</v>
      </c>
      <c r="I134" s="17">
        <v>750</v>
      </c>
      <c r="J134" s="18">
        <v>750</v>
      </c>
      <c r="K134" s="18">
        <v>767</v>
      </c>
      <c r="L134" s="20">
        <f t="shared" si="56"/>
        <v>49.483870967741936</v>
      </c>
      <c r="M134" s="18">
        <f t="shared" si="57"/>
        <v>25.147540983606557</v>
      </c>
      <c r="N134" s="18">
        <f t="shared" si="58"/>
        <v>25.147540983606557</v>
      </c>
      <c r="R134" s="2"/>
    </row>
    <row r="135" spans="1:14" ht="23.25" customHeight="1">
      <c r="A135" s="35" t="s">
        <v>73</v>
      </c>
      <c r="B135" s="12"/>
      <c r="C135" s="28" t="s">
        <v>72</v>
      </c>
      <c r="D135" s="59">
        <v>7123.7</v>
      </c>
      <c r="E135" s="59">
        <f>G135+H135+I135+J135</f>
        <v>7123.7</v>
      </c>
      <c r="F135" s="45">
        <f t="shared" si="59"/>
        <v>3792.3</v>
      </c>
      <c r="G135" s="58">
        <v>1896.2</v>
      </c>
      <c r="H135" s="58">
        <v>1896.1</v>
      </c>
      <c r="I135" s="17">
        <v>1769.2</v>
      </c>
      <c r="J135" s="18">
        <v>1562.2</v>
      </c>
      <c r="K135" s="18">
        <v>2496.7</v>
      </c>
      <c r="L135" s="20">
        <f t="shared" si="56"/>
        <v>65.83603617857236</v>
      </c>
      <c r="M135" s="18">
        <f t="shared" si="57"/>
        <v>35.047798194758336</v>
      </c>
      <c r="N135" s="18">
        <f t="shared" si="58"/>
        <v>35.047798194758336</v>
      </c>
    </row>
    <row r="136" spans="1:14" ht="12.75">
      <c r="A136" s="35" t="s">
        <v>9</v>
      </c>
      <c r="B136" s="12"/>
      <c r="C136" s="28" t="s">
        <v>6</v>
      </c>
      <c r="D136" s="59">
        <v>602</v>
      </c>
      <c r="E136" s="59">
        <f aca="true" t="shared" si="60" ref="E136:E147">G136+H136+I136+J136</f>
        <v>602</v>
      </c>
      <c r="F136" s="45">
        <f t="shared" si="59"/>
        <v>294</v>
      </c>
      <c r="G136" s="58">
        <v>147</v>
      </c>
      <c r="H136" s="58">
        <v>147</v>
      </c>
      <c r="I136" s="17">
        <v>149</v>
      </c>
      <c r="J136" s="18">
        <v>159</v>
      </c>
      <c r="K136" s="18">
        <v>107.7</v>
      </c>
      <c r="L136" s="20">
        <f t="shared" si="56"/>
        <v>36.63265306122449</v>
      </c>
      <c r="M136" s="18">
        <f t="shared" si="57"/>
        <v>17.890365448504983</v>
      </c>
      <c r="N136" s="18">
        <f t="shared" si="58"/>
        <v>17.890365448504983</v>
      </c>
    </row>
    <row r="137" spans="1:14" ht="12.75">
      <c r="A137" s="35" t="s">
        <v>10</v>
      </c>
      <c r="B137" s="12"/>
      <c r="C137" s="28" t="s">
        <v>21</v>
      </c>
      <c r="D137" s="59">
        <v>20</v>
      </c>
      <c r="E137" s="59">
        <f t="shared" si="60"/>
        <v>20</v>
      </c>
      <c r="F137" s="45">
        <f t="shared" si="59"/>
        <v>9.6</v>
      </c>
      <c r="G137" s="58">
        <v>4.8</v>
      </c>
      <c r="H137" s="58">
        <v>4.8</v>
      </c>
      <c r="I137" s="17">
        <v>4.8</v>
      </c>
      <c r="J137" s="18">
        <v>5.6</v>
      </c>
      <c r="K137" s="18">
        <v>7.4</v>
      </c>
      <c r="L137" s="20">
        <f t="shared" si="56"/>
        <v>77.08333333333334</v>
      </c>
      <c r="M137" s="18">
        <f t="shared" si="57"/>
        <v>37</v>
      </c>
      <c r="N137" s="18">
        <f t="shared" si="58"/>
        <v>37</v>
      </c>
    </row>
    <row r="138" spans="1:14" ht="24">
      <c r="A138" s="39" t="s">
        <v>11</v>
      </c>
      <c r="B138" s="13"/>
      <c r="C138" s="28" t="s">
        <v>17</v>
      </c>
      <c r="D138" s="59">
        <v>70</v>
      </c>
      <c r="E138" s="59">
        <f t="shared" si="60"/>
        <v>70</v>
      </c>
      <c r="F138" s="45">
        <f t="shared" si="59"/>
        <v>30.5</v>
      </c>
      <c r="G138" s="58">
        <v>13.5</v>
      </c>
      <c r="H138" s="58">
        <v>17</v>
      </c>
      <c r="I138" s="17">
        <v>19.5</v>
      </c>
      <c r="J138" s="18">
        <v>20</v>
      </c>
      <c r="K138" s="18">
        <v>166.2</v>
      </c>
      <c r="L138" s="20">
        <f t="shared" si="56"/>
        <v>544.9180327868852</v>
      </c>
      <c r="M138" s="18">
        <f t="shared" si="57"/>
        <v>237.42857142857142</v>
      </c>
      <c r="N138" s="18">
        <f t="shared" si="58"/>
        <v>237.42857142857142</v>
      </c>
    </row>
    <row r="139" spans="1:14" ht="24" hidden="1">
      <c r="A139" s="41" t="s">
        <v>40</v>
      </c>
      <c r="B139" s="30"/>
      <c r="C139" s="28" t="s">
        <v>41</v>
      </c>
      <c r="D139" s="59"/>
      <c r="E139" s="59">
        <f t="shared" si="60"/>
        <v>0</v>
      </c>
      <c r="F139" s="45">
        <f t="shared" si="59"/>
        <v>0</v>
      </c>
      <c r="G139" s="58"/>
      <c r="H139" s="58"/>
      <c r="I139" s="17"/>
      <c r="J139" s="18"/>
      <c r="K139" s="18"/>
      <c r="L139" s="20"/>
      <c r="M139" s="18"/>
      <c r="N139" s="18"/>
    </row>
    <row r="140" spans="1:14" ht="18.75" customHeight="1" hidden="1">
      <c r="A140" s="41" t="s">
        <v>18</v>
      </c>
      <c r="B140" s="30"/>
      <c r="C140" s="28" t="s">
        <v>15</v>
      </c>
      <c r="D140" s="59"/>
      <c r="E140" s="59">
        <f t="shared" si="60"/>
        <v>0</v>
      </c>
      <c r="F140" s="45">
        <f t="shared" si="59"/>
        <v>0</v>
      </c>
      <c r="G140" s="58"/>
      <c r="H140" s="58"/>
      <c r="I140" s="17"/>
      <c r="J140" s="18"/>
      <c r="K140" s="18"/>
      <c r="L140" s="20" t="e">
        <f>K140*100/F140</f>
        <v>#DIV/0!</v>
      </c>
      <c r="M140" s="18" t="e">
        <f>K140*100/E140</f>
        <v>#DIV/0!</v>
      </c>
      <c r="N140" s="18"/>
    </row>
    <row r="141" spans="1:14" ht="15" customHeight="1" hidden="1">
      <c r="A141" s="37" t="s">
        <v>12</v>
      </c>
      <c r="B141" s="21"/>
      <c r="C141" s="28" t="s">
        <v>7</v>
      </c>
      <c r="D141" s="59"/>
      <c r="E141" s="59">
        <f t="shared" si="60"/>
        <v>0</v>
      </c>
      <c r="F141" s="45">
        <f t="shared" si="59"/>
        <v>0</v>
      </c>
      <c r="G141" s="58"/>
      <c r="H141" s="58"/>
      <c r="I141" s="17"/>
      <c r="J141" s="18"/>
      <c r="K141" s="18"/>
      <c r="L141" s="20"/>
      <c r="M141" s="18"/>
      <c r="N141" s="18"/>
    </row>
    <row r="142" spans="1:14" ht="18" customHeight="1">
      <c r="A142" s="41" t="s">
        <v>37</v>
      </c>
      <c r="B142" s="67"/>
      <c r="C142" s="16" t="s">
        <v>38</v>
      </c>
      <c r="D142" s="59"/>
      <c r="E142" s="59">
        <f t="shared" si="60"/>
        <v>0</v>
      </c>
      <c r="F142" s="45">
        <f t="shared" si="59"/>
        <v>0</v>
      </c>
      <c r="G142" s="58"/>
      <c r="H142" s="58"/>
      <c r="I142" s="17"/>
      <c r="J142" s="18"/>
      <c r="K142" s="17">
        <v>52.4</v>
      </c>
      <c r="L142" s="20"/>
      <c r="M142" s="18"/>
      <c r="N142" s="18"/>
    </row>
    <row r="143" spans="1:14" ht="18" customHeight="1">
      <c r="A143" s="82" t="s">
        <v>1</v>
      </c>
      <c r="B143" s="63"/>
      <c r="C143" s="31" t="s">
        <v>0</v>
      </c>
      <c r="D143" s="32">
        <f aca="true" t="shared" si="61" ref="D143:J143">D144+D145+D146</f>
        <v>45067.3</v>
      </c>
      <c r="E143" s="32">
        <f>E144+E145+E147</f>
        <v>48655.4</v>
      </c>
      <c r="F143" s="32">
        <f t="shared" si="61"/>
        <v>22364.8</v>
      </c>
      <c r="G143" s="32">
        <f>G144+G145+G146+G147</f>
        <v>12976.3</v>
      </c>
      <c r="H143" s="32">
        <f t="shared" si="61"/>
        <v>9388.5</v>
      </c>
      <c r="I143" s="32">
        <f t="shared" si="61"/>
        <v>10888.5</v>
      </c>
      <c r="J143" s="32">
        <f t="shared" si="61"/>
        <v>15402.1</v>
      </c>
      <c r="K143" s="32">
        <f>K144+K145+K146+K147</f>
        <v>12983.7</v>
      </c>
      <c r="L143" s="27">
        <f aca="true" t="shared" si="62" ref="L143:L148">K143*100/F143</f>
        <v>58.05417441694091</v>
      </c>
      <c r="M143" s="24">
        <f aca="true" t="shared" si="63" ref="M143:M148">K143*100/E143</f>
        <v>26.685013379809845</v>
      </c>
      <c r="N143" s="24">
        <f>K143*100/D143</f>
        <v>28.80958033873784</v>
      </c>
    </row>
    <row r="144" spans="1:14" ht="24">
      <c r="A144" s="83" t="s">
        <v>63</v>
      </c>
      <c r="B144" s="12"/>
      <c r="C144" s="33" t="s">
        <v>20</v>
      </c>
      <c r="D144" s="58">
        <v>45067.3</v>
      </c>
      <c r="E144" s="59">
        <f>G144+H144+I144+J144</f>
        <v>48655.4</v>
      </c>
      <c r="F144" s="45">
        <f t="shared" si="59"/>
        <v>22364.8</v>
      </c>
      <c r="G144" s="58">
        <v>12976.3</v>
      </c>
      <c r="H144" s="58">
        <v>9388.5</v>
      </c>
      <c r="I144" s="17">
        <v>10888.5</v>
      </c>
      <c r="J144" s="18">
        <v>15402.1</v>
      </c>
      <c r="K144" s="18">
        <v>12983.7</v>
      </c>
      <c r="L144" s="20">
        <f t="shared" si="62"/>
        <v>58.05417441694091</v>
      </c>
      <c r="M144" s="18">
        <f t="shared" si="63"/>
        <v>26.685013379809845</v>
      </c>
      <c r="N144" s="18">
        <f>K144*100/D144</f>
        <v>28.80958033873784</v>
      </c>
    </row>
    <row r="145" spans="1:14" ht="12.75" customHeight="1" hidden="1">
      <c r="A145" s="81" t="s">
        <v>2</v>
      </c>
      <c r="B145" s="14"/>
      <c r="C145" s="34" t="s">
        <v>19</v>
      </c>
      <c r="D145" s="34"/>
      <c r="E145" s="59">
        <f t="shared" si="60"/>
        <v>0</v>
      </c>
      <c r="F145" s="45">
        <f>G145</f>
        <v>0</v>
      </c>
      <c r="G145" s="68"/>
      <c r="H145" s="68"/>
      <c r="I145" s="17"/>
      <c r="J145" s="18"/>
      <c r="K145" s="18"/>
      <c r="L145" s="20" t="e">
        <f t="shared" si="62"/>
        <v>#DIV/0!</v>
      </c>
      <c r="M145" s="18" t="e">
        <f t="shared" si="63"/>
        <v>#DIV/0!</v>
      </c>
      <c r="N145" s="18" t="e">
        <f>K145*100/D145</f>
        <v>#DIV/0!</v>
      </c>
    </row>
    <row r="146" spans="1:14" ht="33" customHeight="1" hidden="1">
      <c r="A146" s="81" t="s">
        <v>62</v>
      </c>
      <c r="B146" s="66"/>
      <c r="C146" s="19" t="s">
        <v>60</v>
      </c>
      <c r="D146" s="34"/>
      <c r="E146" s="59">
        <f t="shared" si="60"/>
        <v>0</v>
      </c>
      <c r="F146" s="45">
        <f>G146</f>
        <v>0</v>
      </c>
      <c r="G146" s="68"/>
      <c r="H146" s="68"/>
      <c r="I146" s="17"/>
      <c r="J146" s="18"/>
      <c r="K146" s="18"/>
      <c r="L146" s="20" t="e">
        <f t="shared" si="62"/>
        <v>#DIV/0!</v>
      </c>
      <c r="M146" s="18" t="e">
        <f t="shared" si="63"/>
        <v>#DIV/0!</v>
      </c>
      <c r="N146" s="18" t="e">
        <f>K146*100/D146</f>
        <v>#DIV/0!</v>
      </c>
    </row>
    <row r="147" spans="1:14" ht="16.5" customHeight="1" hidden="1">
      <c r="A147" s="81" t="s">
        <v>71</v>
      </c>
      <c r="B147" s="14"/>
      <c r="C147" s="34" t="s">
        <v>19</v>
      </c>
      <c r="D147" s="34"/>
      <c r="E147" s="59">
        <f t="shared" si="60"/>
        <v>0</v>
      </c>
      <c r="F147" s="45">
        <f>G147</f>
        <v>0</v>
      </c>
      <c r="G147" s="68"/>
      <c r="H147" s="68"/>
      <c r="I147" s="17"/>
      <c r="J147" s="18"/>
      <c r="K147" s="18"/>
      <c r="L147" s="20"/>
      <c r="M147" s="18"/>
      <c r="N147" s="18"/>
    </row>
    <row r="148" spans="1:14" ht="12.75">
      <c r="A148" s="21"/>
      <c r="B148" s="22"/>
      <c r="C148" s="23" t="s">
        <v>4</v>
      </c>
      <c r="D148" s="24">
        <f aca="true" t="shared" si="64" ref="D148:J148">D143+D133</f>
        <v>55933</v>
      </c>
      <c r="E148" s="24">
        <f t="shared" si="64"/>
        <v>59521.100000000006</v>
      </c>
      <c r="F148" s="24">
        <f t="shared" si="64"/>
        <v>28041.199999999997</v>
      </c>
      <c r="G148" s="62">
        <f t="shared" si="64"/>
        <v>15837.8</v>
      </c>
      <c r="H148" s="62">
        <f t="shared" si="64"/>
        <v>12203.4</v>
      </c>
      <c r="I148" s="62">
        <f t="shared" si="64"/>
        <v>13581</v>
      </c>
      <c r="J148" s="24">
        <f t="shared" si="64"/>
        <v>17898.9</v>
      </c>
      <c r="K148" s="24">
        <f>K143+K133</f>
        <v>16581.1</v>
      </c>
      <c r="L148" s="27">
        <f t="shared" si="62"/>
        <v>59.13120693836212</v>
      </c>
      <c r="M148" s="24">
        <f t="shared" si="63"/>
        <v>27.857516074131688</v>
      </c>
      <c r="N148" s="24">
        <f>K148*100/D148</f>
        <v>29.644574759086762</v>
      </c>
    </row>
    <row r="149" spans="1:14" ht="12.75">
      <c r="A149" s="203"/>
      <c r="B149" s="204"/>
      <c r="C149" s="204"/>
      <c r="D149" s="204"/>
      <c r="E149" s="204"/>
      <c r="F149" s="204"/>
      <c r="G149" s="204"/>
      <c r="H149" s="204"/>
      <c r="I149" s="204"/>
      <c r="J149" s="204"/>
      <c r="K149" s="204"/>
      <c r="L149" s="27"/>
      <c r="M149" s="24"/>
      <c r="N149" s="18"/>
    </row>
    <row r="150" spans="1:14" ht="12.75">
      <c r="A150" s="196" t="s">
        <v>30</v>
      </c>
      <c r="B150" s="197"/>
      <c r="C150" s="197"/>
      <c r="D150" s="197"/>
      <c r="E150" s="197"/>
      <c r="F150" s="197"/>
      <c r="G150" s="197"/>
      <c r="H150" s="197"/>
      <c r="I150" s="197"/>
      <c r="J150" s="197"/>
      <c r="K150" s="197"/>
      <c r="L150" s="197"/>
      <c r="M150" s="197"/>
      <c r="N150" s="197"/>
    </row>
    <row r="151" spans="1:14" ht="12.75">
      <c r="A151" s="36" t="s">
        <v>3</v>
      </c>
      <c r="B151" s="25"/>
      <c r="C151" s="26" t="s">
        <v>64</v>
      </c>
      <c r="D151" s="27">
        <f aca="true" t="shared" si="65" ref="D151:J151">D152+D155+D157+D159+D156+D160+D158+D161+D154+D153</f>
        <v>24879.8</v>
      </c>
      <c r="E151" s="27">
        <f t="shared" si="65"/>
        <v>25996.5</v>
      </c>
      <c r="F151" s="27">
        <f t="shared" si="65"/>
        <v>13125.3</v>
      </c>
      <c r="G151" s="27">
        <f t="shared" si="65"/>
        <v>7356.8</v>
      </c>
      <c r="H151" s="27">
        <f t="shared" si="65"/>
        <v>5768.5</v>
      </c>
      <c r="I151" s="27">
        <f t="shared" si="65"/>
        <v>6277</v>
      </c>
      <c r="J151" s="27">
        <f t="shared" si="65"/>
        <v>6594.2</v>
      </c>
      <c r="K151" s="27">
        <f>K152+K155+K157+K159+K156+K160+K158+K161+K154+K153</f>
        <v>8166.099999999999</v>
      </c>
      <c r="L151" s="27">
        <f aca="true" t="shared" si="66" ref="L151:L157">K151*100/F151</f>
        <v>62.21648267087229</v>
      </c>
      <c r="M151" s="24">
        <f aca="true" t="shared" si="67" ref="M151:M157">K151*100/E151</f>
        <v>31.41230550266382</v>
      </c>
      <c r="N151" s="24">
        <f aca="true" t="shared" si="68" ref="N151:N157">K151*100/D151</f>
        <v>32.82220918174583</v>
      </c>
    </row>
    <row r="152" spans="1:18" ht="12.75">
      <c r="A152" s="35" t="s">
        <v>74</v>
      </c>
      <c r="B152" s="12"/>
      <c r="C152" s="54" t="s">
        <v>75</v>
      </c>
      <c r="D152" s="59">
        <v>14820</v>
      </c>
      <c r="E152" s="58">
        <f>G152+H152+I152+J152</f>
        <v>14820</v>
      </c>
      <c r="F152" s="45">
        <f aca="true" t="shared" si="69" ref="F152:F163">G152+H152</f>
        <v>6900</v>
      </c>
      <c r="G152" s="58">
        <v>3350</v>
      </c>
      <c r="H152" s="58">
        <v>3550</v>
      </c>
      <c r="I152" s="17">
        <v>4050.6</v>
      </c>
      <c r="J152" s="18">
        <v>3869.4</v>
      </c>
      <c r="K152" s="18">
        <v>4896.2</v>
      </c>
      <c r="L152" s="20">
        <f t="shared" si="66"/>
        <v>70.95942028985507</v>
      </c>
      <c r="M152" s="18">
        <f t="shared" si="67"/>
        <v>33.03778677462888</v>
      </c>
      <c r="N152" s="18">
        <f t="shared" si="68"/>
        <v>33.03778677462888</v>
      </c>
      <c r="R152" s="2"/>
    </row>
    <row r="153" spans="1:14" ht="25.5" customHeight="1">
      <c r="A153" s="35" t="s">
        <v>73</v>
      </c>
      <c r="B153" s="12"/>
      <c r="C153" s="28" t="s">
        <v>72</v>
      </c>
      <c r="D153" s="59">
        <v>7486.8</v>
      </c>
      <c r="E153" s="58">
        <f>G153+H153+I153+J153</f>
        <v>8103.5</v>
      </c>
      <c r="F153" s="45">
        <f t="shared" si="69"/>
        <v>4349.4</v>
      </c>
      <c r="G153" s="58">
        <v>2515.7</v>
      </c>
      <c r="H153" s="58">
        <v>1833.7</v>
      </c>
      <c r="I153" s="17">
        <v>1782.8</v>
      </c>
      <c r="J153" s="18">
        <v>1971.3</v>
      </c>
      <c r="K153" s="18">
        <v>2624</v>
      </c>
      <c r="L153" s="20">
        <f t="shared" si="66"/>
        <v>60.33016048190556</v>
      </c>
      <c r="M153" s="18">
        <f t="shared" si="67"/>
        <v>32.38106990806442</v>
      </c>
      <c r="N153" s="18">
        <f t="shared" si="68"/>
        <v>35.04835176577443</v>
      </c>
    </row>
    <row r="154" spans="1:14" ht="12.75" customHeight="1">
      <c r="A154" s="35" t="s">
        <v>8</v>
      </c>
      <c r="B154" s="12"/>
      <c r="C154" s="28" t="s">
        <v>5</v>
      </c>
      <c r="D154" s="59">
        <v>5</v>
      </c>
      <c r="E154" s="58">
        <f aca="true" t="shared" si="70" ref="E154:E165">G154+H154+I154+J154</f>
        <v>5</v>
      </c>
      <c r="F154" s="45">
        <f t="shared" si="69"/>
        <v>2.8</v>
      </c>
      <c r="G154" s="58">
        <v>1.3</v>
      </c>
      <c r="H154" s="58">
        <v>1.5</v>
      </c>
      <c r="I154" s="17">
        <v>1</v>
      </c>
      <c r="J154" s="18">
        <v>1.2</v>
      </c>
      <c r="K154" s="18">
        <v>36.5</v>
      </c>
      <c r="L154" s="20">
        <f t="shared" si="66"/>
        <v>1303.5714285714287</v>
      </c>
      <c r="M154" s="18">
        <f t="shared" si="67"/>
        <v>730</v>
      </c>
      <c r="N154" s="18">
        <f t="shared" si="68"/>
        <v>730</v>
      </c>
    </row>
    <row r="155" spans="1:14" ht="12.75">
      <c r="A155" s="35" t="s">
        <v>9</v>
      </c>
      <c r="B155" s="12"/>
      <c r="C155" s="28" t="s">
        <v>6</v>
      </c>
      <c r="D155" s="59">
        <v>1695</v>
      </c>
      <c r="E155" s="58">
        <f t="shared" si="70"/>
        <v>1695</v>
      </c>
      <c r="F155" s="45">
        <f t="shared" si="69"/>
        <v>670.8</v>
      </c>
      <c r="G155" s="58">
        <v>362.6</v>
      </c>
      <c r="H155" s="58">
        <v>308.2</v>
      </c>
      <c r="I155" s="17">
        <v>362.1</v>
      </c>
      <c r="J155" s="18">
        <v>662.1</v>
      </c>
      <c r="K155" s="18">
        <v>372.9</v>
      </c>
      <c r="L155" s="20">
        <f t="shared" si="66"/>
        <v>55.590339892665476</v>
      </c>
      <c r="M155" s="18">
        <f t="shared" si="67"/>
        <v>22</v>
      </c>
      <c r="N155" s="18">
        <f t="shared" si="68"/>
        <v>22</v>
      </c>
    </row>
    <row r="156" spans="1:14" ht="12.75">
      <c r="A156" s="35" t="s">
        <v>10</v>
      </c>
      <c r="B156" s="12"/>
      <c r="C156" s="28" t="s">
        <v>21</v>
      </c>
      <c r="D156" s="59">
        <v>67.1</v>
      </c>
      <c r="E156" s="58">
        <f t="shared" si="70"/>
        <v>67.1</v>
      </c>
      <c r="F156" s="45">
        <f t="shared" si="69"/>
        <v>32</v>
      </c>
      <c r="G156" s="58">
        <v>18.3</v>
      </c>
      <c r="H156" s="58">
        <v>13.7</v>
      </c>
      <c r="I156" s="17">
        <v>18.9</v>
      </c>
      <c r="J156" s="18">
        <v>16.2</v>
      </c>
      <c r="K156" s="18">
        <v>29.3</v>
      </c>
      <c r="L156" s="20">
        <f t="shared" si="66"/>
        <v>91.5625</v>
      </c>
      <c r="M156" s="18">
        <f t="shared" si="67"/>
        <v>43.666169895678095</v>
      </c>
      <c r="N156" s="18">
        <f t="shared" si="68"/>
        <v>43.666169895678095</v>
      </c>
    </row>
    <row r="157" spans="1:14" ht="24">
      <c r="A157" s="39" t="s">
        <v>11</v>
      </c>
      <c r="B157" s="13"/>
      <c r="C157" s="28" t="s">
        <v>17</v>
      </c>
      <c r="D157" s="59">
        <v>805.9</v>
      </c>
      <c r="E157" s="58">
        <f t="shared" si="70"/>
        <v>805.9</v>
      </c>
      <c r="F157" s="45">
        <f t="shared" si="69"/>
        <v>670.3</v>
      </c>
      <c r="G157" s="58">
        <v>608.9</v>
      </c>
      <c r="H157" s="58">
        <v>61.4</v>
      </c>
      <c r="I157" s="17">
        <v>61.6</v>
      </c>
      <c r="J157" s="18">
        <v>74</v>
      </c>
      <c r="K157" s="18">
        <v>204</v>
      </c>
      <c r="L157" s="20">
        <f t="shared" si="66"/>
        <v>30.43413396986424</v>
      </c>
      <c r="M157" s="18">
        <f t="shared" si="67"/>
        <v>25.31331430698598</v>
      </c>
      <c r="N157" s="18">
        <f t="shared" si="68"/>
        <v>25.31331430698598</v>
      </c>
    </row>
    <row r="158" spans="1:14" ht="24" customHeight="1">
      <c r="A158" s="41" t="s">
        <v>40</v>
      </c>
      <c r="B158" s="30"/>
      <c r="C158" s="28" t="s">
        <v>41</v>
      </c>
      <c r="D158" s="59"/>
      <c r="E158" s="58">
        <f t="shared" si="70"/>
        <v>500</v>
      </c>
      <c r="F158" s="45">
        <f t="shared" si="69"/>
        <v>500</v>
      </c>
      <c r="G158" s="58">
        <v>500</v>
      </c>
      <c r="H158" s="58"/>
      <c r="I158" s="17"/>
      <c r="J158" s="18"/>
      <c r="K158" s="18"/>
      <c r="L158" s="20"/>
      <c r="M158" s="18"/>
      <c r="N158" s="18"/>
    </row>
    <row r="159" spans="1:14" ht="18" customHeight="1" hidden="1">
      <c r="A159" s="40" t="s">
        <v>18</v>
      </c>
      <c r="B159" s="29"/>
      <c r="C159" s="28" t="s">
        <v>15</v>
      </c>
      <c r="D159" s="59"/>
      <c r="E159" s="58">
        <f t="shared" si="70"/>
        <v>0</v>
      </c>
      <c r="F159" s="45">
        <f t="shared" si="69"/>
        <v>0</v>
      </c>
      <c r="G159" s="58"/>
      <c r="H159" s="58"/>
      <c r="I159" s="17"/>
      <c r="J159" s="18"/>
      <c r="K159" s="18"/>
      <c r="L159" s="20" t="e">
        <f>K159*100/F159</f>
        <v>#DIV/0!</v>
      </c>
      <c r="M159" s="18" t="e">
        <f>K159*100/E159</f>
        <v>#DIV/0!</v>
      </c>
      <c r="N159" s="18"/>
    </row>
    <row r="160" spans="1:14" ht="21" customHeight="1">
      <c r="A160" s="37" t="s">
        <v>12</v>
      </c>
      <c r="B160" s="21"/>
      <c r="C160" s="28" t="s">
        <v>7</v>
      </c>
      <c r="D160" s="59"/>
      <c r="E160" s="58">
        <f t="shared" si="70"/>
        <v>0</v>
      </c>
      <c r="F160" s="45">
        <f t="shared" si="69"/>
        <v>0</v>
      </c>
      <c r="G160" s="58"/>
      <c r="H160" s="58"/>
      <c r="I160" s="17"/>
      <c r="J160" s="18"/>
      <c r="K160" s="18">
        <v>3.2</v>
      </c>
      <c r="L160" s="20"/>
      <c r="M160" s="18"/>
      <c r="N160" s="18"/>
    </row>
    <row r="161" spans="1:14" ht="16.5" customHeight="1">
      <c r="A161" s="40" t="s">
        <v>37</v>
      </c>
      <c r="B161" s="60"/>
      <c r="C161" s="16" t="s">
        <v>38</v>
      </c>
      <c r="D161" s="59"/>
      <c r="E161" s="58">
        <f t="shared" si="70"/>
        <v>0</v>
      </c>
      <c r="F161" s="45">
        <f t="shared" si="69"/>
        <v>0</v>
      </c>
      <c r="G161" s="58"/>
      <c r="H161" s="58"/>
      <c r="I161" s="17"/>
      <c r="J161" s="18"/>
      <c r="K161" s="18"/>
      <c r="L161" s="27"/>
      <c r="M161" s="24"/>
      <c r="N161" s="18"/>
    </row>
    <row r="162" spans="1:14" ht="12.75">
      <c r="A162" s="36" t="s">
        <v>1</v>
      </c>
      <c r="B162" s="25"/>
      <c r="C162" s="31" t="s">
        <v>0</v>
      </c>
      <c r="D162" s="32">
        <f>D163+D164+D165</f>
        <v>41406.8</v>
      </c>
      <c r="E162" s="32">
        <f aca="true" t="shared" si="71" ref="E162:J162">E163+E164+E165</f>
        <v>45428.399999999994</v>
      </c>
      <c r="F162" s="32">
        <f t="shared" si="71"/>
        <v>24749.2</v>
      </c>
      <c r="G162" s="32">
        <f t="shared" si="71"/>
        <v>14341</v>
      </c>
      <c r="H162" s="32">
        <f t="shared" si="71"/>
        <v>10408.2</v>
      </c>
      <c r="I162" s="32">
        <f t="shared" si="71"/>
        <v>10223</v>
      </c>
      <c r="J162" s="32">
        <f t="shared" si="71"/>
        <v>10456.2</v>
      </c>
      <c r="K162" s="32">
        <f>K163+K164+K165</f>
        <v>14223.5</v>
      </c>
      <c r="L162" s="27">
        <f>K162*100/F162</f>
        <v>57.47054450244856</v>
      </c>
      <c r="M162" s="24">
        <f>K162*100/E162</f>
        <v>31.309709344815143</v>
      </c>
      <c r="N162" s="24">
        <f>K162*100/D162</f>
        <v>34.35063805944917</v>
      </c>
    </row>
    <row r="163" spans="1:14" ht="24">
      <c r="A163" s="83" t="s">
        <v>63</v>
      </c>
      <c r="B163" s="12"/>
      <c r="C163" s="33" t="s">
        <v>20</v>
      </c>
      <c r="D163" s="58">
        <v>41406.8</v>
      </c>
      <c r="E163" s="58">
        <f t="shared" si="70"/>
        <v>45428.399999999994</v>
      </c>
      <c r="F163" s="45">
        <f t="shared" si="69"/>
        <v>24749.2</v>
      </c>
      <c r="G163" s="58">
        <v>14341</v>
      </c>
      <c r="H163" s="58">
        <v>10408.2</v>
      </c>
      <c r="I163" s="17">
        <v>10223</v>
      </c>
      <c r="J163" s="18">
        <v>10456.2</v>
      </c>
      <c r="K163" s="18">
        <v>14223.5</v>
      </c>
      <c r="L163" s="20">
        <f>K163*100/F163</f>
        <v>57.47054450244856</v>
      </c>
      <c r="M163" s="18">
        <f>K163*100/E163</f>
        <v>31.309709344815143</v>
      </c>
      <c r="N163" s="18">
        <f>K163*100/D163</f>
        <v>34.35063805944917</v>
      </c>
    </row>
    <row r="164" spans="1:14" ht="30.75" customHeight="1" hidden="1">
      <c r="A164" s="81" t="s">
        <v>71</v>
      </c>
      <c r="B164" s="14"/>
      <c r="C164" s="34" t="s">
        <v>19</v>
      </c>
      <c r="D164" s="34"/>
      <c r="E164" s="58">
        <f t="shared" si="70"/>
        <v>0</v>
      </c>
      <c r="F164" s="45">
        <f>G164</f>
        <v>0</v>
      </c>
      <c r="G164" s="58"/>
      <c r="H164" s="58"/>
      <c r="I164" s="17"/>
      <c r="J164" s="18"/>
      <c r="K164" s="18"/>
      <c r="L164" s="20" t="e">
        <f>K164*100/F164</f>
        <v>#DIV/0!</v>
      </c>
      <c r="M164" s="18" t="e">
        <f>K164*100/E164</f>
        <v>#DIV/0!</v>
      </c>
      <c r="N164" s="18"/>
    </row>
    <row r="165" spans="1:14" ht="36" hidden="1">
      <c r="A165" s="81" t="s">
        <v>62</v>
      </c>
      <c r="B165" s="66"/>
      <c r="C165" s="19" t="s">
        <v>60</v>
      </c>
      <c r="D165" s="34"/>
      <c r="E165" s="58">
        <f t="shared" si="70"/>
        <v>0</v>
      </c>
      <c r="F165" s="45">
        <f>G165</f>
        <v>0</v>
      </c>
      <c r="G165" s="58"/>
      <c r="H165" s="58"/>
      <c r="I165" s="17"/>
      <c r="J165" s="18"/>
      <c r="K165" s="18"/>
      <c r="L165" s="20" t="e">
        <f>K165*100/F165</f>
        <v>#DIV/0!</v>
      </c>
      <c r="M165" s="18" t="e">
        <f>K165*100/E165</f>
        <v>#DIV/0!</v>
      </c>
      <c r="N165" s="18"/>
    </row>
    <row r="166" spans="1:14" ht="12.75">
      <c r="A166" s="21"/>
      <c r="B166" s="22"/>
      <c r="C166" s="23" t="s">
        <v>4</v>
      </c>
      <c r="D166" s="24">
        <f aca="true" t="shared" si="72" ref="D166:J166">D162+D151</f>
        <v>66286.6</v>
      </c>
      <c r="E166" s="24">
        <f t="shared" si="72"/>
        <v>71424.9</v>
      </c>
      <c r="F166" s="24">
        <f t="shared" si="72"/>
        <v>37874.5</v>
      </c>
      <c r="G166" s="24">
        <f t="shared" si="72"/>
        <v>21697.8</v>
      </c>
      <c r="H166" s="24">
        <f t="shared" si="72"/>
        <v>16176.7</v>
      </c>
      <c r="I166" s="24">
        <f t="shared" si="72"/>
        <v>16500</v>
      </c>
      <c r="J166" s="24">
        <f t="shared" si="72"/>
        <v>17050.4</v>
      </c>
      <c r="K166" s="24">
        <f>K162+K151</f>
        <v>22389.6</v>
      </c>
      <c r="L166" s="27">
        <f>K166*100/F166</f>
        <v>59.11523584469762</v>
      </c>
      <c r="M166" s="24">
        <f>K166*100/E166</f>
        <v>31.347051238433657</v>
      </c>
      <c r="N166" s="24">
        <f>K166*100/D166</f>
        <v>33.77696246300157</v>
      </c>
    </row>
    <row r="167" spans="1:14" ht="12.75">
      <c r="A167" s="190"/>
      <c r="B167" s="191"/>
      <c r="C167" s="191"/>
      <c r="D167" s="191"/>
      <c r="E167" s="191"/>
      <c r="F167" s="191"/>
      <c r="G167" s="191"/>
      <c r="H167" s="191"/>
      <c r="I167" s="191"/>
      <c r="J167" s="191"/>
      <c r="K167" s="191"/>
      <c r="L167" s="27"/>
      <c r="M167" s="24"/>
      <c r="N167" s="18"/>
    </row>
    <row r="168" spans="1:14" ht="12.75">
      <c r="A168" s="196" t="s">
        <v>31</v>
      </c>
      <c r="B168" s="197"/>
      <c r="C168" s="197"/>
      <c r="D168" s="197"/>
      <c r="E168" s="197"/>
      <c r="F168" s="197"/>
      <c r="G168" s="197"/>
      <c r="H168" s="197"/>
      <c r="I168" s="197"/>
      <c r="J168" s="197"/>
      <c r="K168" s="197"/>
      <c r="L168" s="197"/>
      <c r="M168" s="197"/>
      <c r="N168" s="197"/>
    </row>
    <row r="169" spans="1:14" ht="12.75">
      <c r="A169" s="36" t="s">
        <v>3</v>
      </c>
      <c r="B169" s="25"/>
      <c r="C169" s="26" t="s">
        <v>64</v>
      </c>
      <c r="D169" s="27">
        <f aca="true" t="shared" si="73" ref="D169:J169">D170+D173+D174+D175+D177+D178+D179+D176+D171+D172</f>
        <v>7324.9</v>
      </c>
      <c r="E169" s="27">
        <f t="shared" si="73"/>
        <v>7324.9</v>
      </c>
      <c r="F169" s="27">
        <f t="shared" si="73"/>
        <v>3236.3</v>
      </c>
      <c r="G169" s="27">
        <f t="shared" si="73"/>
        <v>1574.8</v>
      </c>
      <c r="H169" s="27">
        <f t="shared" si="73"/>
        <v>1661.5</v>
      </c>
      <c r="I169" s="27">
        <f t="shared" si="73"/>
        <v>1830.8</v>
      </c>
      <c r="J169" s="27">
        <f t="shared" si="73"/>
        <v>2257.8</v>
      </c>
      <c r="K169" s="27">
        <f>K170+K173+K174+K175+K177+K178+K179+K176+K171+K172</f>
        <v>2222.6</v>
      </c>
      <c r="L169" s="27">
        <f aca="true" t="shared" si="74" ref="L169:L177">K169*100/F169</f>
        <v>68.67719309087538</v>
      </c>
      <c r="M169" s="24">
        <f aca="true" t="shared" si="75" ref="M169:M177">K169*100/E169</f>
        <v>30.343076355991208</v>
      </c>
      <c r="N169" s="24">
        <f aca="true" t="shared" si="76" ref="N169:N176">K169*100/D169</f>
        <v>30.343076355991208</v>
      </c>
    </row>
    <row r="170" spans="1:18" ht="12.75">
      <c r="A170" s="35" t="s">
        <v>74</v>
      </c>
      <c r="B170" s="12"/>
      <c r="C170" s="54" t="s">
        <v>75</v>
      </c>
      <c r="D170" s="59">
        <v>2750</v>
      </c>
      <c r="E170" s="58">
        <f>G170+H170+I170+J170</f>
        <v>2750</v>
      </c>
      <c r="F170" s="45">
        <f aca="true" t="shared" si="77" ref="F170:F181">G170+H170</f>
        <v>1375</v>
      </c>
      <c r="G170" s="59">
        <v>687.5</v>
      </c>
      <c r="H170" s="59">
        <v>687.5</v>
      </c>
      <c r="I170" s="17">
        <v>687.5</v>
      </c>
      <c r="J170" s="18">
        <v>687.5</v>
      </c>
      <c r="K170" s="18">
        <v>850.5</v>
      </c>
      <c r="L170" s="20">
        <f t="shared" si="74"/>
        <v>61.85454545454545</v>
      </c>
      <c r="M170" s="18">
        <f t="shared" si="75"/>
        <v>30.927272727272726</v>
      </c>
      <c r="N170" s="18">
        <f t="shared" si="76"/>
        <v>30.927272727272726</v>
      </c>
      <c r="R170" s="2"/>
    </row>
    <row r="171" spans="1:14" ht="26.25" customHeight="1">
      <c r="A171" s="35" t="s">
        <v>73</v>
      </c>
      <c r="B171" s="12"/>
      <c r="C171" s="28" t="s">
        <v>72</v>
      </c>
      <c r="D171" s="59">
        <v>3083.2</v>
      </c>
      <c r="E171" s="58">
        <f>G171+H171+I171+J171</f>
        <v>3083.2</v>
      </c>
      <c r="F171" s="45">
        <f t="shared" si="77"/>
        <v>1541.6</v>
      </c>
      <c r="G171" s="59">
        <v>770.8</v>
      </c>
      <c r="H171" s="59">
        <v>770.8</v>
      </c>
      <c r="I171" s="17">
        <v>770.8</v>
      </c>
      <c r="J171" s="18">
        <v>770.8</v>
      </c>
      <c r="K171" s="18">
        <v>1080.6</v>
      </c>
      <c r="L171" s="20">
        <f t="shared" si="74"/>
        <v>70.09600415153088</v>
      </c>
      <c r="M171" s="18">
        <f t="shared" si="75"/>
        <v>35.04800207576544</v>
      </c>
      <c r="N171" s="18">
        <f t="shared" si="76"/>
        <v>35.04800207576544</v>
      </c>
    </row>
    <row r="172" spans="1:14" ht="17.25" customHeight="1">
      <c r="A172" s="35" t="s">
        <v>8</v>
      </c>
      <c r="B172" s="12"/>
      <c r="C172" s="28" t="s">
        <v>5</v>
      </c>
      <c r="D172" s="59">
        <v>2</v>
      </c>
      <c r="E172" s="58">
        <f>G172+H172+I172+J172</f>
        <v>2</v>
      </c>
      <c r="F172" s="45">
        <f t="shared" si="77"/>
        <v>2</v>
      </c>
      <c r="G172" s="59"/>
      <c r="H172" s="59">
        <v>2</v>
      </c>
      <c r="I172" s="17"/>
      <c r="J172" s="18"/>
      <c r="K172" s="18">
        <v>6.4</v>
      </c>
      <c r="L172" s="20">
        <f t="shared" si="74"/>
        <v>320</v>
      </c>
      <c r="M172" s="18">
        <f t="shared" si="75"/>
        <v>320</v>
      </c>
      <c r="N172" s="18">
        <f t="shared" si="76"/>
        <v>320</v>
      </c>
    </row>
    <row r="173" spans="1:14" ht="12.75">
      <c r="A173" s="35" t="s">
        <v>9</v>
      </c>
      <c r="B173" s="12"/>
      <c r="C173" s="28" t="s">
        <v>6</v>
      </c>
      <c r="D173" s="59">
        <v>685</v>
      </c>
      <c r="E173" s="58">
        <f>G173+H173+I173+J173</f>
        <v>685</v>
      </c>
      <c r="F173" s="45">
        <f t="shared" si="77"/>
        <v>0</v>
      </c>
      <c r="G173" s="59"/>
      <c r="H173" s="59"/>
      <c r="I173" s="17">
        <v>171.3</v>
      </c>
      <c r="J173" s="18">
        <v>513.7</v>
      </c>
      <c r="K173" s="18">
        <v>108.3</v>
      </c>
      <c r="L173" s="20"/>
      <c r="M173" s="18">
        <f t="shared" si="75"/>
        <v>15.81021897810219</v>
      </c>
      <c r="N173" s="18">
        <f t="shared" si="76"/>
        <v>15.81021897810219</v>
      </c>
    </row>
    <row r="174" spans="1:14" ht="12.75">
      <c r="A174" s="35" t="s">
        <v>10</v>
      </c>
      <c r="B174" s="12"/>
      <c r="C174" s="28" t="s">
        <v>21</v>
      </c>
      <c r="D174" s="59">
        <v>24</v>
      </c>
      <c r="E174" s="58">
        <f aca="true" t="shared" si="78" ref="E174:E181">G174+H174+I174+J174</f>
        <v>24</v>
      </c>
      <c r="F174" s="45">
        <f t="shared" si="77"/>
        <v>12</v>
      </c>
      <c r="G174" s="59">
        <v>6</v>
      </c>
      <c r="H174" s="59">
        <v>6</v>
      </c>
      <c r="I174" s="17">
        <v>6</v>
      </c>
      <c r="J174" s="18">
        <v>6</v>
      </c>
      <c r="K174" s="18">
        <v>1.8</v>
      </c>
      <c r="L174" s="20">
        <f t="shared" si="74"/>
        <v>15</v>
      </c>
      <c r="M174" s="18">
        <f t="shared" si="75"/>
        <v>7.5</v>
      </c>
      <c r="N174" s="18">
        <f t="shared" si="76"/>
        <v>7.5</v>
      </c>
    </row>
    <row r="175" spans="1:14" ht="24">
      <c r="A175" s="39" t="s">
        <v>11</v>
      </c>
      <c r="B175" s="13"/>
      <c r="C175" s="28" t="s">
        <v>17</v>
      </c>
      <c r="D175" s="59">
        <v>761.2</v>
      </c>
      <c r="E175" s="58">
        <f t="shared" si="78"/>
        <v>761.2</v>
      </c>
      <c r="F175" s="45">
        <f t="shared" si="77"/>
        <v>295.9</v>
      </c>
      <c r="G175" s="59">
        <v>105.6</v>
      </c>
      <c r="H175" s="59">
        <v>190.3</v>
      </c>
      <c r="I175" s="17">
        <v>190.3</v>
      </c>
      <c r="J175" s="18">
        <v>275</v>
      </c>
      <c r="K175" s="18">
        <v>170.1</v>
      </c>
      <c r="L175" s="20">
        <f t="shared" si="74"/>
        <v>57.48563703954039</v>
      </c>
      <c r="M175" s="18">
        <f t="shared" si="75"/>
        <v>22.346295323173933</v>
      </c>
      <c r="N175" s="18">
        <f t="shared" si="76"/>
        <v>22.346295323173933</v>
      </c>
    </row>
    <row r="176" spans="1:14" ht="13.5" customHeight="1">
      <c r="A176" s="41" t="s">
        <v>40</v>
      </c>
      <c r="B176" s="30"/>
      <c r="C176" s="28" t="s">
        <v>41</v>
      </c>
      <c r="D176" s="59">
        <v>19.5</v>
      </c>
      <c r="E176" s="58">
        <f t="shared" si="78"/>
        <v>19.5</v>
      </c>
      <c r="F176" s="45">
        <f t="shared" si="77"/>
        <v>9.8</v>
      </c>
      <c r="G176" s="59">
        <v>4.9</v>
      </c>
      <c r="H176" s="59">
        <v>4.9</v>
      </c>
      <c r="I176" s="17">
        <v>4.9</v>
      </c>
      <c r="J176" s="18">
        <v>4.8</v>
      </c>
      <c r="K176" s="18"/>
      <c r="L176" s="20">
        <f t="shared" si="74"/>
        <v>0</v>
      </c>
      <c r="M176" s="18">
        <f t="shared" si="75"/>
        <v>0</v>
      </c>
      <c r="N176" s="18">
        <f t="shared" si="76"/>
        <v>0</v>
      </c>
    </row>
    <row r="177" spans="1:14" ht="13.5" customHeight="1" hidden="1">
      <c r="A177" s="40" t="s">
        <v>18</v>
      </c>
      <c r="B177" s="29"/>
      <c r="C177" s="28" t="s">
        <v>15</v>
      </c>
      <c r="D177" s="59"/>
      <c r="E177" s="58">
        <f t="shared" si="78"/>
        <v>0</v>
      </c>
      <c r="F177" s="45">
        <f t="shared" si="77"/>
        <v>0</v>
      </c>
      <c r="G177" s="59"/>
      <c r="H177" s="59"/>
      <c r="I177" s="17"/>
      <c r="J177" s="18"/>
      <c r="K177" s="18"/>
      <c r="L177" s="20" t="e">
        <f t="shared" si="74"/>
        <v>#DIV/0!</v>
      </c>
      <c r="M177" s="18" t="e">
        <f t="shared" si="75"/>
        <v>#DIV/0!</v>
      </c>
      <c r="N177" s="18"/>
    </row>
    <row r="178" spans="1:14" ht="16.5" customHeight="1">
      <c r="A178" s="37" t="s">
        <v>12</v>
      </c>
      <c r="B178" s="21"/>
      <c r="C178" s="28" t="s">
        <v>7</v>
      </c>
      <c r="D178" s="59"/>
      <c r="E178" s="58">
        <f t="shared" si="78"/>
        <v>0</v>
      </c>
      <c r="F178" s="45">
        <f t="shared" si="77"/>
        <v>0</v>
      </c>
      <c r="G178" s="59"/>
      <c r="H178" s="59"/>
      <c r="I178" s="17"/>
      <c r="J178" s="18"/>
      <c r="K178" s="18">
        <v>5</v>
      </c>
      <c r="L178" s="20"/>
      <c r="M178" s="18"/>
      <c r="N178" s="18"/>
    </row>
    <row r="179" spans="1:14" ht="14.25" customHeight="1">
      <c r="A179" s="84" t="s">
        <v>37</v>
      </c>
      <c r="B179" s="61"/>
      <c r="C179" s="16" t="s">
        <v>38</v>
      </c>
      <c r="D179" s="59"/>
      <c r="E179" s="58">
        <f t="shared" si="78"/>
        <v>0</v>
      </c>
      <c r="F179" s="45">
        <f t="shared" si="77"/>
        <v>0</v>
      </c>
      <c r="G179" s="59"/>
      <c r="H179" s="59"/>
      <c r="I179" s="17"/>
      <c r="J179" s="18"/>
      <c r="K179" s="18">
        <v>-0.1</v>
      </c>
      <c r="L179" s="27"/>
      <c r="M179" s="24"/>
      <c r="N179" s="18"/>
    </row>
    <row r="180" spans="1:14" ht="12.75">
      <c r="A180" s="36" t="s">
        <v>1</v>
      </c>
      <c r="B180" s="25"/>
      <c r="C180" s="31" t="s">
        <v>0</v>
      </c>
      <c r="D180" s="32">
        <f aca="true" t="shared" si="79" ref="D180:K180">D181+D182</f>
        <v>28412.1</v>
      </c>
      <c r="E180" s="32">
        <f t="shared" si="79"/>
        <v>27320</v>
      </c>
      <c r="F180" s="64">
        <f t="shared" si="79"/>
        <v>13113.9</v>
      </c>
      <c r="G180" s="64">
        <f t="shared" si="79"/>
        <v>6010.9</v>
      </c>
      <c r="H180" s="64">
        <f t="shared" si="79"/>
        <v>7103</v>
      </c>
      <c r="I180" s="32">
        <f t="shared" si="79"/>
        <v>7103</v>
      </c>
      <c r="J180" s="32">
        <f t="shared" si="79"/>
        <v>7103.1</v>
      </c>
      <c r="K180" s="32">
        <f t="shared" si="79"/>
        <v>8376.8</v>
      </c>
      <c r="L180" s="27">
        <f>K180*100/F180</f>
        <v>63.87726000655792</v>
      </c>
      <c r="M180" s="24">
        <f>K180*100/E180</f>
        <v>30.661786237188867</v>
      </c>
      <c r="N180" s="24">
        <f>K180*100/D180</f>
        <v>29.483213138064414</v>
      </c>
    </row>
    <row r="181" spans="1:14" ht="23.25" customHeight="1">
      <c r="A181" s="83" t="s">
        <v>63</v>
      </c>
      <c r="B181" s="12"/>
      <c r="C181" s="33" t="s">
        <v>20</v>
      </c>
      <c r="D181" s="58">
        <v>28412.1</v>
      </c>
      <c r="E181" s="58">
        <f t="shared" si="78"/>
        <v>27320</v>
      </c>
      <c r="F181" s="45">
        <f t="shared" si="77"/>
        <v>13113.9</v>
      </c>
      <c r="G181" s="59">
        <v>6010.9</v>
      </c>
      <c r="H181" s="59">
        <v>7103</v>
      </c>
      <c r="I181" s="17">
        <v>7103</v>
      </c>
      <c r="J181" s="18">
        <v>7103.1</v>
      </c>
      <c r="K181" s="18">
        <v>8376.8</v>
      </c>
      <c r="L181" s="20">
        <f>K181*100/F181</f>
        <v>63.87726000655792</v>
      </c>
      <c r="M181" s="18">
        <f>K181*100/E181</f>
        <v>30.661786237188867</v>
      </c>
      <c r="N181" s="18">
        <f>K181*100/D181</f>
        <v>29.483213138064414</v>
      </c>
    </row>
    <row r="182" spans="1:14" ht="15.75" customHeight="1" hidden="1">
      <c r="A182" s="14" t="s">
        <v>2</v>
      </c>
      <c r="B182" s="14"/>
      <c r="C182" s="34" t="s">
        <v>19</v>
      </c>
      <c r="D182" s="65"/>
      <c r="E182" s="58">
        <f>G182+H182+I182+J182</f>
        <v>0</v>
      </c>
      <c r="F182" s="45">
        <f>G182+H182</f>
        <v>0</v>
      </c>
      <c r="G182" s="65"/>
      <c r="H182" s="65"/>
      <c r="I182" s="17"/>
      <c r="J182" s="18"/>
      <c r="K182" s="18"/>
      <c r="L182" s="20"/>
      <c r="M182" s="18"/>
      <c r="N182" s="18"/>
    </row>
    <row r="183" spans="1:14" ht="12.75">
      <c r="A183" s="21"/>
      <c r="B183" s="22"/>
      <c r="C183" s="23" t="s">
        <v>4</v>
      </c>
      <c r="D183" s="24">
        <f aca="true" t="shared" si="80" ref="D183:K183">D180+D169</f>
        <v>35737</v>
      </c>
      <c r="E183" s="24">
        <f t="shared" si="80"/>
        <v>34644.9</v>
      </c>
      <c r="F183" s="24">
        <f t="shared" si="80"/>
        <v>16350.2</v>
      </c>
      <c r="G183" s="24">
        <f t="shared" si="80"/>
        <v>7585.7</v>
      </c>
      <c r="H183" s="24">
        <f t="shared" si="80"/>
        <v>8764.5</v>
      </c>
      <c r="I183" s="24">
        <f t="shared" si="80"/>
        <v>8933.8</v>
      </c>
      <c r="J183" s="24">
        <f t="shared" si="80"/>
        <v>9360.900000000001</v>
      </c>
      <c r="K183" s="24">
        <f t="shared" si="80"/>
        <v>10599.4</v>
      </c>
      <c r="L183" s="27">
        <f>K183*100/F183</f>
        <v>64.8273415615711</v>
      </c>
      <c r="M183" s="24">
        <f>K183*100/E183</f>
        <v>30.594402062063967</v>
      </c>
      <c r="N183" s="24">
        <f>K183*100/D183</f>
        <v>29.65945658561155</v>
      </c>
    </row>
    <row r="184" spans="1:14" ht="12.75">
      <c r="A184" s="190"/>
      <c r="B184" s="191"/>
      <c r="C184" s="191"/>
      <c r="D184" s="191"/>
      <c r="E184" s="191"/>
      <c r="F184" s="191"/>
      <c r="G184" s="191"/>
      <c r="H184" s="191"/>
      <c r="I184" s="191"/>
      <c r="J184" s="191"/>
      <c r="K184" s="191"/>
      <c r="L184" s="27"/>
      <c r="M184" s="24"/>
      <c r="N184" s="18"/>
    </row>
    <row r="185" spans="1:14" ht="12.75">
      <c r="A185" s="196" t="s">
        <v>32</v>
      </c>
      <c r="B185" s="197"/>
      <c r="C185" s="197"/>
      <c r="D185" s="197"/>
      <c r="E185" s="197"/>
      <c r="F185" s="197"/>
      <c r="G185" s="197"/>
      <c r="H185" s="197"/>
      <c r="I185" s="197"/>
      <c r="J185" s="197"/>
      <c r="K185" s="197"/>
      <c r="L185" s="197"/>
      <c r="M185" s="197"/>
      <c r="N185" s="197"/>
    </row>
    <row r="186" spans="1:14" ht="12.75">
      <c r="A186" s="36" t="s">
        <v>3</v>
      </c>
      <c r="B186" s="25"/>
      <c r="C186" s="26" t="s">
        <v>64</v>
      </c>
      <c r="D186" s="27">
        <f aca="true" t="shared" si="81" ref="D186:J186">D187+D189+D190+D191+D192+D194+D196+D195+D193+D188</f>
        <v>27020</v>
      </c>
      <c r="E186" s="27">
        <f>E187+E189+E190+E191+E192+E194+E196+E195+E193+E188-0.1</f>
        <v>27357.800000000003</v>
      </c>
      <c r="F186" s="27">
        <f t="shared" si="81"/>
        <v>12911.399999999998</v>
      </c>
      <c r="G186" s="27">
        <f t="shared" si="81"/>
        <v>6401.099999999999</v>
      </c>
      <c r="H186" s="27">
        <f t="shared" si="81"/>
        <v>6510.299999999999</v>
      </c>
      <c r="I186" s="27">
        <f t="shared" si="81"/>
        <v>6385.099999999999</v>
      </c>
      <c r="J186" s="27">
        <f t="shared" si="81"/>
        <v>8061.400000000001</v>
      </c>
      <c r="K186" s="27">
        <f>K187+K189+K190+K191+K192+K194+K196+K195+K193+K188-0.1</f>
        <v>9490.4</v>
      </c>
      <c r="L186" s="27">
        <f aca="true" t="shared" si="82" ref="L186:L193">K186*100/F186</f>
        <v>73.5040351937048</v>
      </c>
      <c r="M186" s="24">
        <f aca="true" t="shared" si="83" ref="M186:M192">K186*100/E186</f>
        <v>34.689923897389406</v>
      </c>
      <c r="N186" s="24">
        <f aca="true" t="shared" si="84" ref="N186:N192">K186*100/D186</f>
        <v>35.12361213915618</v>
      </c>
    </row>
    <row r="187" spans="1:18" ht="12.75">
      <c r="A187" s="35" t="s">
        <v>74</v>
      </c>
      <c r="B187" s="12"/>
      <c r="C187" s="54" t="s">
        <v>75</v>
      </c>
      <c r="D187" s="59">
        <v>18700</v>
      </c>
      <c r="E187" s="58">
        <f>G187+H187+I187+J187</f>
        <v>18754.3</v>
      </c>
      <c r="F187" s="45">
        <f aca="true" t="shared" si="85" ref="F187:F199">G187+H187</f>
        <v>9404.3</v>
      </c>
      <c r="G187" s="58">
        <v>4675</v>
      </c>
      <c r="H187" s="58">
        <v>4729.3</v>
      </c>
      <c r="I187" s="17">
        <v>4675</v>
      </c>
      <c r="J187" s="18">
        <v>4675</v>
      </c>
      <c r="K187" s="18">
        <v>6862</v>
      </c>
      <c r="L187" s="20">
        <f t="shared" si="82"/>
        <v>72.96662165179758</v>
      </c>
      <c r="M187" s="18">
        <f t="shared" si="83"/>
        <v>36.58894226923959</v>
      </c>
      <c r="N187" s="18">
        <f t="shared" si="84"/>
        <v>36.6951871657754</v>
      </c>
      <c r="R187" s="2"/>
    </row>
    <row r="188" spans="1:14" ht="23.25" customHeight="1">
      <c r="A188" s="35" t="s">
        <v>73</v>
      </c>
      <c r="B188" s="12"/>
      <c r="C188" s="28" t="s">
        <v>72</v>
      </c>
      <c r="D188" s="59">
        <v>5011</v>
      </c>
      <c r="E188" s="58">
        <f>G188+H188+I188+J188</f>
        <v>5011</v>
      </c>
      <c r="F188" s="45">
        <f t="shared" si="85"/>
        <v>2505</v>
      </c>
      <c r="G188" s="58">
        <v>1252.5</v>
      </c>
      <c r="H188" s="58">
        <v>1252.5</v>
      </c>
      <c r="I188" s="17">
        <v>1252.5</v>
      </c>
      <c r="J188" s="18">
        <v>1253.5</v>
      </c>
      <c r="K188" s="18">
        <v>1756.3</v>
      </c>
      <c r="L188" s="20">
        <f t="shared" si="82"/>
        <v>70.11177644710578</v>
      </c>
      <c r="M188" s="18">
        <f t="shared" si="83"/>
        <v>35.04889243663939</v>
      </c>
      <c r="N188" s="18">
        <f t="shared" si="84"/>
        <v>35.04889243663939</v>
      </c>
    </row>
    <row r="189" spans="1:14" ht="14.25" customHeight="1">
      <c r="A189" s="35" t="s">
        <v>8</v>
      </c>
      <c r="B189" s="12"/>
      <c r="C189" s="28" t="s">
        <v>5</v>
      </c>
      <c r="D189" s="59"/>
      <c r="E189" s="58">
        <f aca="true" t="shared" si="86" ref="E189:E199">G189+H189+I189+J189</f>
        <v>34.9</v>
      </c>
      <c r="F189" s="45">
        <f t="shared" si="85"/>
        <v>34.9</v>
      </c>
      <c r="G189" s="58"/>
      <c r="H189" s="58">
        <v>34.9</v>
      </c>
      <c r="I189" s="17"/>
      <c r="J189" s="18"/>
      <c r="K189" s="18">
        <v>34.9</v>
      </c>
      <c r="L189" s="20">
        <f t="shared" si="82"/>
        <v>100</v>
      </c>
      <c r="M189" s="18">
        <f>K189*100/E189</f>
        <v>100</v>
      </c>
      <c r="N189" s="18"/>
    </row>
    <row r="190" spans="1:14" ht="13.5" customHeight="1">
      <c r="A190" s="35" t="s">
        <v>9</v>
      </c>
      <c r="B190" s="12"/>
      <c r="C190" s="28" t="s">
        <v>6</v>
      </c>
      <c r="D190" s="59">
        <v>2795</v>
      </c>
      <c r="E190" s="58">
        <f t="shared" si="86"/>
        <v>2795</v>
      </c>
      <c r="F190" s="45">
        <f t="shared" si="85"/>
        <v>561</v>
      </c>
      <c r="G190" s="58">
        <v>280.5</v>
      </c>
      <c r="H190" s="58">
        <v>280.5</v>
      </c>
      <c r="I190" s="17">
        <v>280.5</v>
      </c>
      <c r="J190" s="18">
        <v>1953.5</v>
      </c>
      <c r="K190" s="18">
        <v>656.8</v>
      </c>
      <c r="L190" s="20">
        <f t="shared" si="82"/>
        <v>117.07664884135473</v>
      </c>
      <c r="M190" s="18">
        <f t="shared" si="83"/>
        <v>23.499105545617173</v>
      </c>
      <c r="N190" s="18">
        <f t="shared" si="84"/>
        <v>23.499105545617173</v>
      </c>
    </row>
    <row r="191" spans="1:14" ht="12.75">
      <c r="A191" s="35" t="s">
        <v>10</v>
      </c>
      <c r="B191" s="12"/>
      <c r="C191" s="28" t="s">
        <v>21</v>
      </c>
      <c r="D191" s="59">
        <v>132</v>
      </c>
      <c r="E191" s="58">
        <f t="shared" si="86"/>
        <v>132</v>
      </c>
      <c r="F191" s="45">
        <f t="shared" si="85"/>
        <v>72.8</v>
      </c>
      <c r="G191" s="58">
        <v>44.4</v>
      </c>
      <c r="H191" s="58">
        <v>28.4</v>
      </c>
      <c r="I191" s="17">
        <v>28.4</v>
      </c>
      <c r="J191" s="18">
        <v>30.8</v>
      </c>
      <c r="K191" s="18">
        <v>27.3</v>
      </c>
      <c r="L191" s="20">
        <f t="shared" si="82"/>
        <v>37.5</v>
      </c>
      <c r="M191" s="18">
        <f t="shared" si="83"/>
        <v>20.681818181818183</v>
      </c>
      <c r="N191" s="18">
        <f t="shared" si="84"/>
        <v>20.681818181818183</v>
      </c>
    </row>
    <row r="192" spans="1:14" ht="24">
      <c r="A192" s="39" t="s">
        <v>11</v>
      </c>
      <c r="B192" s="13"/>
      <c r="C192" s="28" t="s">
        <v>17</v>
      </c>
      <c r="D192" s="59">
        <v>382</v>
      </c>
      <c r="E192" s="58">
        <f t="shared" si="86"/>
        <v>594.6999999999999</v>
      </c>
      <c r="F192" s="45">
        <f t="shared" si="85"/>
        <v>297.4</v>
      </c>
      <c r="G192" s="58">
        <v>148.7</v>
      </c>
      <c r="H192" s="58">
        <v>148.7</v>
      </c>
      <c r="I192" s="17">
        <v>148.7</v>
      </c>
      <c r="J192" s="18">
        <v>148.6</v>
      </c>
      <c r="K192" s="18">
        <v>153.2</v>
      </c>
      <c r="L192" s="20">
        <f t="shared" si="82"/>
        <v>51.51311365164761</v>
      </c>
      <c r="M192" s="18">
        <f t="shared" si="83"/>
        <v>25.76088784260972</v>
      </c>
      <c r="N192" s="18">
        <f t="shared" si="84"/>
        <v>40.10471204188481</v>
      </c>
    </row>
    <row r="193" spans="1:14" ht="24.75" customHeight="1" hidden="1">
      <c r="A193" s="40" t="s">
        <v>40</v>
      </c>
      <c r="B193" s="30"/>
      <c r="C193" s="28" t="s">
        <v>41</v>
      </c>
      <c r="D193" s="59"/>
      <c r="E193" s="58">
        <f t="shared" si="86"/>
        <v>0</v>
      </c>
      <c r="F193" s="45">
        <f t="shared" si="85"/>
        <v>0</v>
      </c>
      <c r="G193" s="58"/>
      <c r="H193" s="58"/>
      <c r="I193" s="17"/>
      <c r="J193" s="18"/>
      <c r="K193" s="18"/>
      <c r="L193" s="20" t="e">
        <f t="shared" si="82"/>
        <v>#DIV/0!</v>
      </c>
      <c r="M193" s="18" t="e">
        <f>K193*100/E193</f>
        <v>#DIV/0!</v>
      </c>
      <c r="N193" s="18"/>
    </row>
    <row r="194" spans="1:14" ht="23.25" customHeight="1">
      <c r="A194" s="40" t="s">
        <v>18</v>
      </c>
      <c r="B194" s="30"/>
      <c r="C194" s="28" t="s">
        <v>15</v>
      </c>
      <c r="D194" s="59"/>
      <c r="E194" s="58">
        <f t="shared" si="86"/>
        <v>36</v>
      </c>
      <c r="F194" s="45">
        <f t="shared" si="85"/>
        <v>36</v>
      </c>
      <c r="G194" s="58"/>
      <c r="H194" s="58">
        <v>36</v>
      </c>
      <c r="I194" s="17"/>
      <c r="J194" s="18"/>
      <c r="K194" s="18"/>
      <c r="L194" s="20"/>
      <c r="M194" s="18"/>
      <c r="N194" s="18"/>
    </row>
    <row r="195" spans="1:14" ht="17.25" customHeight="1" hidden="1">
      <c r="A195" s="37" t="s">
        <v>12</v>
      </c>
      <c r="B195" s="21"/>
      <c r="C195" s="28" t="s">
        <v>7</v>
      </c>
      <c r="D195" s="59"/>
      <c r="E195" s="58">
        <f t="shared" si="86"/>
        <v>0</v>
      </c>
      <c r="F195" s="45">
        <f t="shared" si="85"/>
        <v>0</v>
      </c>
      <c r="G195" s="58"/>
      <c r="H195" s="58"/>
      <c r="I195" s="17"/>
      <c r="J195" s="18"/>
      <c r="K195" s="18"/>
      <c r="L195" s="20"/>
      <c r="M195" s="18"/>
      <c r="N195" s="18"/>
    </row>
    <row r="196" spans="1:14" ht="15" customHeight="1">
      <c r="A196" s="84" t="s">
        <v>37</v>
      </c>
      <c r="B196" s="61"/>
      <c r="C196" s="16" t="s">
        <v>38</v>
      </c>
      <c r="D196" s="59"/>
      <c r="E196" s="58">
        <f t="shared" si="86"/>
        <v>0</v>
      </c>
      <c r="F196" s="45">
        <f t="shared" si="85"/>
        <v>0</v>
      </c>
      <c r="G196" s="58"/>
      <c r="H196" s="58"/>
      <c r="I196" s="17"/>
      <c r="J196" s="18"/>
      <c r="K196" s="18"/>
      <c r="L196" s="27"/>
      <c r="M196" s="24"/>
      <c r="N196" s="18"/>
    </row>
    <row r="197" spans="1:14" ht="12.75">
      <c r="A197" s="82" t="s">
        <v>1</v>
      </c>
      <c r="B197" s="25"/>
      <c r="C197" s="31" t="s">
        <v>0</v>
      </c>
      <c r="D197" s="62">
        <f aca="true" t="shared" si="87" ref="D197:J197">D198</f>
        <v>33359.5</v>
      </c>
      <c r="E197" s="62">
        <f>E198+E199</f>
        <v>35813.5</v>
      </c>
      <c r="F197" s="62">
        <f>F198</f>
        <v>18949.1</v>
      </c>
      <c r="G197" s="62">
        <f t="shared" si="87"/>
        <v>10619.1</v>
      </c>
      <c r="H197" s="62">
        <f t="shared" si="87"/>
        <v>8330</v>
      </c>
      <c r="I197" s="62">
        <f t="shared" si="87"/>
        <v>8330.1</v>
      </c>
      <c r="J197" s="62">
        <f t="shared" si="87"/>
        <v>8369.3</v>
      </c>
      <c r="K197" s="62">
        <f>K198+K199</f>
        <v>16623.7</v>
      </c>
      <c r="L197" s="27">
        <f>K197*100/F197</f>
        <v>87.72817706381834</v>
      </c>
      <c r="M197" s="24">
        <f>K197*100/E197</f>
        <v>46.417412428274254</v>
      </c>
      <c r="N197" s="24">
        <f>K197*100/D197</f>
        <v>49.831981894213044</v>
      </c>
    </row>
    <row r="198" spans="1:14" ht="24">
      <c r="A198" s="84" t="s">
        <v>63</v>
      </c>
      <c r="B198" s="12"/>
      <c r="C198" s="33" t="s">
        <v>20</v>
      </c>
      <c r="D198" s="58">
        <v>33359.5</v>
      </c>
      <c r="E198" s="58">
        <f t="shared" si="86"/>
        <v>35648.5</v>
      </c>
      <c r="F198" s="45">
        <f t="shared" si="85"/>
        <v>18949.1</v>
      </c>
      <c r="G198" s="58">
        <v>10619.1</v>
      </c>
      <c r="H198" s="58">
        <v>8330</v>
      </c>
      <c r="I198" s="17">
        <v>8330.1</v>
      </c>
      <c r="J198" s="18">
        <v>8369.3</v>
      </c>
      <c r="K198" s="18">
        <v>16458.7</v>
      </c>
      <c r="L198" s="20">
        <f>K198*100/F198</f>
        <v>86.85742330770327</v>
      </c>
      <c r="M198" s="18">
        <f>K198*100/E198</f>
        <v>46.169404042245816</v>
      </c>
      <c r="N198" s="18">
        <f>K198*100/D198</f>
        <v>49.33737016442093</v>
      </c>
    </row>
    <row r="199" spans="1:14" ht="24" customHeight="1">
      <c r="A199" s="83" t="s">
        <v>80</v>
      </c>
      <c r="B199" s="14"/>
      <c r="C199" s="28" t="s">
        <v>81</v>
      </c>
      <c r="D199" s="58"/>
      <c r="E199" s="58">
        <f t="shared" si="86"/>
        <v>165</v>
      </c>
      <c r="F199" s="45">
        <f t="shared" si="85"/>
        <v>165</v>
      </c>
      <c r="G199" s="58">
        <v>165</v>
      </c>
      <c r="H199" s="58"/>
      <c r="I199" s="17"/>
      <c r="J199" s="18"/>
      <c r="K199" s="18">
        <v>165</v>
      </c>
      <c r="L199" s="20">
        <f>K199*100/F199</f>
        <v>100</v>
      </c>
      <c r="M199" s="18">
        <f>K199*100/E199</f>
        <v>100</v>
      </c>
      <c r="N199" s="18"/>
    </row>
    <row r="200" spans="1:14" ht="12.75">
      <c r="A200" s="21"/>
      <c r="B200" s="22"/>
      <c r="C200" s="23" t="s">
        <v>4</v>
      </c>
      <c r="D200" s="24">
        <f aca="true" t="shared" si="88" ref="D200:K200">D197+D186</f>
        <v>60379.5</v>
      </c>
      <c r="E200" s="24">
        <f t="shared" si="88"/>
        <v>63171.3</v>
      </c>
      <c r="F200" s="24">
        <f t="shared" si="88"/>
        <v>31860.499999999996</v>
      </c>
      <c r="G200" s="24">
        <f t="shared" si="88"/>
        <v>17020.2</v>
      </c>
      <c r="H200" s="24">
        <f t="shared" si="88"/>
        <v>14840.3</v>
      </c>
      <c r="I200" s="24">
        <f t="shared" si="88"/>
        <v>14715.2</v>
      </c>
      <c r="J200" s="24">
        <f t="shared" si="88"/>
        <v>16430.7</v>
      </c>
      <c r="K200" s="24">
        <f t="shared" si="88"/>
        <v>26114.1</v>
      </c>
      <c r="L200" s="27">
        <f>K200*100/F200</f>
        <v>81.96387376218202</v>
      </c>
      <c r="M200" s="24">
        <f>K200*100/E200</f>
        <v>41.338550892573046</v>
      </c>
      <c r="N200" s="24">
        <f>K200*100/D200</f>
        <v>43.249944103545076</v>
      </c>
    </row>
    <row r="201" spans="1:14" ht="12.75">
      <c r="A201" s="190"/>
      <c r="B201" s="191"/>
      <c r="C201" s="191"/>
      <c r="D201" s="191"/>
      <c r="E201" s="191"/>
      <c r="F201" s="191"/>
      <c r="G201" s="191"/>
      <c r="H201" s="191"/>
      <c r="I201" s="191"/>
      <c r="J201" s="191"/>
      <c r="K201" s="191"/>
      <c r="L201" s="27"/>
      <c r="M201" s="24"/>
      <c r="N201" s="18"/>
    </row>
    <row r="202" spans="1:14" ht="12.75">
      <c r="A202" s="196" t="s">
        <v>33</v>
      </c>
      <c r="B202" s="197"/>
      <c r="C202" s="197"/>
      <c r="D202" s="197"/>
      <c r="E202" s="197"/>
      <c r="F202" s="197"/>
      <c r="G202" s="197"/>
      <c r="H202" s="197"/>
      <c r="I202" s="197"/>
      <c r="J202" s="197"/>
      <c r="K202" s="197"/>
      <c r="L202" s="197"/>
      <c r="M202" s="197"/>
      <c r="N202" s="197"/>
    </row>
    <row r="203" spans="1:14" ht="12.75">
      <c r="A203" s="36" t="s">
        <v>3</v>
      </c>
      <c r="B203" s="25"/>
      <c r="C203" s="26" t="s">
        <v>64</v>
      </c>
      <c r="D203" s="27">
        <f aca="true" t="shared" si="89" ref="D203:J203">D204+D207+D209+D210+D208+D211+D212+D206+D205</f>
        <v>5671.1</v>
      </c>
      <c r="E203" s="27">
        <f t="shared" si="89"/>
        <v>5671.1</v>
      </c>
      <c r="F203" s="27">
        <f t="shared" si="89"/>
        <v>2749.7</v>
      </c>
      <c r="G203" s="27">
        <f t="shared" si="89"/>
        <v>1375.5</v>
      </c>
      <c r="H203" s="27">
        <f t="shared" si="89"/>
        <v>1374.2</v>
      </c>
      <c r="I203" s="27">
        <f t="shared" si="89"/>
        <v>1424.3</v>
      </c>
      <c r="J203" s="27">
        <f t="shared" si="89"/>
        <v>1497.1</v>
      </c>
      <c r="K203" s="27">
        <f>K204+K207+K209+K210+K208+K211+K212+K206+K205</f>
        <v>1864.7000000000003</v>
      </c>
      <c r="L203" s="27">
        <f>K203*100/F203</f>
        <v>67.81467069134816</v>
      </c>
      <c r="M203" s="24">
        <f aca="true" t="shared" si="90" ref="M203:M209">K203*100/E203</f>
        <v>32.88074623970659</v>
      </c>
      <c r="N203" s="24">
        <f aca="true" t="shared" si="91" ref="N203:N210">K203*100/D203</f>
        <v>32.88074623970659</v>
      </c>
    </row>
    <row r="204" spans="1:18" ht="12.75">
      <c r="A204" s="35" t="s">
        <v>74</v>
      </c>
      <c r="B204" s="12"/>
      <c r="C204" s="54" t="s">
        <v>75</v>
      </c>
      <c r="D204" s="59">
        <v>1400</v>
      </c>
      <c r="E204" s="58">
        <f>G204+H204+I204+J204</f>
        <v>1400</v>
      </c>
      <c r="F204" s="45">
        <f aca="true" t="shared" si="92" ref="F204:F214">G204+H204</f>
        <v>700</v>
      </c>
      <c r="G204" s="58">
        <v>350</v>
      </c>
      <c r="H204" s="58">
        <v>350</v>
      </c>
      <c r="I204" s="17">
        <v>350</v>
      </c>
      <c r="J204" s="17">
        <v>350</v>
      </c>
      <c r="K204" s="18">
        <v>350.8</v>
      </c>
      <c r="L204" s="20">
        <f>K204*100/F204</f>
        <v>50.114285714285714</v>
      </c>
      <c r="M204" s="18">
        <f t="shared" si="90"/>
        <v>25.057142857142857</v>
      </c>
      <c r="N204" s="18">
        <f t="shared" si="91"/>
        <v>25.057142857142857</v>
      </c>
      <c r="R204" s="2"/>
    </row>
    <row r="205" spans="1:14" ht="24" customHeight="1">
      <c r="A205" s="35" t="s">
        <v>73</v>
      </c>
      <c r="B205" s="12"/>
      <c r="C205" s="28" t="s">
        <v>72</v>
      </c>
      <c r="D205" s="59">
        <v>3835.8</v>
      </c>
      <c r="E205" s="58">
        <f>G205+H205+I205+J205</f>
        <v>3835.8</v>
      </c>
      <c r="F205" s="45">
        <f t="shared" si="92"/>
        <v>1917.8</v>
      </c>
      <c r="G205" s="58">
        <v>958.9</v>
      </c>
      <c r="H205" s="58">
        <v>958.9</v>
      </c>
      <c r="I205" s="17">
        <v>959</v>
      </c>
      <c r="J205" s="17">
        <v>959</v>
      </c>
      <c r="K205" s="18">
        <v>1344.4</v>
      </c>
      <c r="L205" s="20">
        <f>K205*100/F205</f>
        <v>70.10115757638961</v>
      </c>
      <c r="M205" s="18">
        <f t="shared" si="90"/>
        <v>35.048751238333594</v>
      </c>
      <c r="N205" s="18">
        <f t="shared" si="91"/>
        <v>35.048751238333594</v>
      </c>
    </row>
    <row r="206" spans="1:14" ht="12.75">
      <c r="A206" s="35" t="s">
        <v>8</v>
      </c>
      <c r="B206" s="35" t="s">
        <v>52</v>
      </c>
      <c r="C206" s="28" t="s">
        <v>5</v>
      </c>
      <c r="D206" s="59">
        <v>2</v>
      </c>
      <c r="E206" s="58">
        <f aca="true" t="shared" si="93" ref="E206:E215">G206+H206+I206+J206</f>
        <v>2</v>
      </c>
      <c r="F206" s="45">
        <f t="shared" si="92"/>
        <v>2</v>
      </c>
      <c r="G206" s="58"/>
      <c r="H206" s="58">
        <v>2</v>
      </c>
      <c r="I206" s="17"/>
      <c r="J206" s="17"/>
      <c r="K206" s="18"/>
      <c r="L206" s="20"/>
      <c r="M206" s="18">
        <f t="shared" si="90"/>
        <v>0</v>
      </c>
      <c r="N206" s="18">
        <f t="shared" si="91"/>
        <v>0</v>
      </c>
    </row>
    <row r="207" spans="1:14" ht="12.75">
      <c r="A207" s="35" t="s">
        <v>9</v>
      </c>
      <c r="B207" s="12"/>
      <c r="C207" s="28" t="s">
        <v>6</v>
      </c>
      <c r="D207" s="59">
        <v>271</v>
      </c>
      <c r="E207" s="58">
        <f t="shared" si="93"/>
        <v>271</v>
      </c>
      <c r="F207" s="45">
        <f t="shared" si="92"/>
        <v>45.5</v>
      </c>
      <c r="G207" s="58">
        <v>17</v>
      </c>
      <c r="H207" s="58">
        <v>28.5</v>
      </c>
      <c r="I207" s="17">
        <v>79.5</v>
      </c>
      <c r="J207" s="17">
        <v>146</v>
      </c>
      <c r="K207" s="18">
        <v>58.2</v>
      </c>
      <c r="L207" s="20">
        <f>K207*100/F207</f>
        <v>127.91208791208791</v>
      </c>
      <c r="M207" s="18">
        <f t="shared" si="90"/>
        <v>21.476014760147603</v>
      </c>
      <c r="N207" s="18">
        <f t="shared" si="91"/>
        <v>21.476014760147603</v>
      </c>
    </row>
    <row r="208" spans="1:14" ht="12.75">
      <c r="A208" s="35" t="s">
        <v>10</v>
      </c>
      <c r="B208" s="12"/>
      <c r="C208" s="28" t="s">
        <v>21</v>
      </c>
      <c r="D208" s="59">
        <v>19</v>
      </c>
      <c r="E208" s="58">
        <f t="shared" si="93"/>
        <v>19</v>
      </c>
      <c r="F208" s="45">
        <f t="shared" si="92"/>
        <v>4.7</v>
      </c>
      <c r="G208" s="58">
        <v>1.7</v>
      </c>
      <c r="H208" s="58">
        <v>3</v>
      </c>
      <c r="I208" s="17">
        <v>4</v>
      </c>
      <c r="J208" s="17">
        <v>10.3</v>
      </c>
      <c r="K208" s="18">
        <v>4.2</v>
      </c>
      <c r="L208" s="20">
        <f>K208*100/F208</f>
        <v>89.36170212765957</v>
      </c>
      <c r="M208" s="18">
        <f t="shared" si="90"/>
        <v>22.105263157894736</v>
      </c>
      <c r="N208" s="18">
        <f t="shared" si="91"/>
        <v>22.105263157894736</v>
      </c>
    </row>
    <row r="209" spans="1:14" ht="24">
      <c r="A209" s="39" t="s">
        <v>11</v>
      </c>
      <c r="B209" s="13"/>
      <c r="C209" s="28" t="s">
        <v>17</v>
      </c>
      <c r="D209" s="59">
        <v>143.3</v>
      </c>
      <c r="E209" s="58">
        <f t="shared" si="93"/>
        <v>143.3</v>
      </c>
      <c r="F209" s="45">
        <f t="shared" si="92"/>
        <v>79.7</v>
      </c>
      <c r="G209" s="58">
        <v>47.9</v>
      </c>
      <c r="H209" s="58">
        <v>31.8</v>
      </c>
      <c r="I209" s="17">
        <v>31.8</v>
      </c>
      <c r="J209" s="17">
        <v>31.8</v>
      </c>
      <c r="K209" s="18">
        <v>107.1</v>
      </c>
      <c r="L209" s="20">
        <f>K209*100/F209</f>
        <v>134.3789209535759</v>
      </c>
      <c r="M209" s="18">
        <f t="shared" si="90"/>
        <v>74.73831123517097</v>
      </c>
      <c r="N209" s="18">
        <f t="shared" si="91"/>
        <v>74.73831123517097</v>
      </c>
    </row>
    <row r="210" spans="1:14" ht="24" hidden="1">
      <c r="A210" s="40" t="s">
        <v>18</v>
      </c>
      <c r="B210" s="29"/>
      <c r="C210" s="28" t="s">
        <v>15</v>
      </c>
      <c r="D210" s="59"/>
      <c r="E210" s="58">
        <f t="shared" si="93"/>
        <v>0</v>
      </c>
      <c r="F210" s="45">
        <f t="shared" si="92"/>
        <v>0</v>
      </c>
      <c r="G210" s="58"/>
      <c r="H210" s="58"/>
      <c r="I210" s="17"/>
      <c r="J210" s="17"/>
      <c r="K210" s="18"/>
      <c r="L210" s="20" t="e">
        <f>K210*100/F210</f>
        <v>#DIV/0!</v>
      </c>
      <c r="M210" s="18" t="e">
        <f aca="true" t="shared" si="94" ref="M210:M216">K210*100/E210</f>
        <v>#DIV/0!</v>
      </c>
      <c r="N210" s="18" t="e">
        <f t="shared" si="91"/>
        <v>#DIV/0!</v>
      </c>
    </row>
    <row r="211" spans="1:14" ht="16.5" customHeight="1">
      <c r="A211" s="40" t="s">
        <v>12</v>
      </c>
      <c r="B211" s="60"/>
      <c r="C211" s="28" t="s">
        <v>7</v>
      </c>
      <c r="D211" s="59"/>
      <c r="E211" s="58">
        <f t="shared" si="93"/>
        <v>0</v>
      </c>
      <c r="F211" s="45">
        <f t="shared" si="92"/>
        <v>0</v>
      </c>
      <c r="G211" s="58"/>
      <c r="H211" s="58"/>
      <c r="I211" s="17"/>
      <c r="J211" s="17"/>
      <c r="K211" s="18"/>
      <c r="L211" s="20"/>
      <c r="M211" s="18"/>
      <c r="N211" s="18"/>
    </row>
    <row r="212" spans="1:14" ht="13.5" customHeight="1">
      <c r="A212" s="84" t="s">
        <v>37</v>
      </c>
      <c r="B212" s="61"/>
      <c r="C212" s="16" t="s">
        <v>38</v>
      </c>
      <c r="D212" s="59"/>
      <c r="E212" s="58">
        <f t="shared" si="93"/>
        <v>0</v>
      </c>
      <c r="F212" s="45">
        <f t="shared" si="92"/>
        <v>0</v>
      </c>
      <c r="G212" s="58"/>
      <c r="H212" s="58"/>
      <c r="I212" s="17"/>
      <c r="J212" s="17"/>
      <c r="K212" s="18"/>
      <c r="L212" s="20"/>
      <c r="M212" s="18"/>
      <c r="N212" s="18"/>
    </row>
    <row r="213" spans="1:14" ht="12.75">
      <c r="A213" s="36" t="s">
        <v>1</v>
      </c>
      <c r="B213" s="25"/>
      <c r="C213" s="31" t="s">
        <v>0</v>
      </c>
      <c r="D213" s="32">
        <f aca="true" t="shared" si="95" ref="D213:J213">D214</f>
        <v>23464.5</v>
      </c>
      <c r="E213" s="32">
        <f>E214+E215</f>
        <v>21563.3</v>
      </c>
      <c r="F213" s="32">
        <f t="shared" si="95"/>
        <v>9799.599999999999</v>
      </c>
      <c r="G213" s="32">
        <f t="shared" si="95"/>
        <v>3949.2</v>
      </c>
      <c r="H213" s="32">
        <f t="shared" si="95"/>
        <v>5850.4</v>
      </c>
      <c r="I213" s="32">
        <f t="shared" si="95"/>
        <v>5908.9</v>
      </c>
      <c r="J213" s="32">
        <f t="shared" si="95"/>
        <v>5854.8</v>
      </c>
      <c r="K213" s="32">
        <f>K214+K215</f>
        <v>6246.4</v>
      </c>
      <c r="L213" s="27">
        <f>K213*100/F213</f>
        <v>63.74137719906936</v>
      </c>
      <c r="M213" s="24">
        <f t="shared" si="94"/>
        <v>28.967736849183567</v>
      </c>
      <c r="N213" s="24">
        <f>K213*100/D213</f>
        <v>26.62063968974408</v>
      </c>
    </row>
    <row r="214" spans="1:14" ht="24">
      <c r="A214" s="83" t="s">
        <v>63</v>
      </c>
      <c r="B214" s="12"/>
      <c r="C214" s="33" t="s">
        <v>20</v>
      </c>
      <c r="D214" s="58">
        <v>23464.5</v>
      </c>
      <c r="E214" s="58">
        <f t="shared" si="93"/>
        <v>21563.3</v>
      </c>
      <c r="F214" s="45">
        <f t="shared" si="92"/>
        <v>9799.599999999999</v>
      </c>
      <c r="G214" s="58">
        <v>3949.2</v>
      </c>
      <c r="H214" s="58">
        <v>5850.4</v>
      </c>
      <c r="I214" s="17">
        <v>5908.9</v>
      </c>
      <c r="J214" s="17">
        <v>5854.8</v>
      </c>
      <c r="K214" s="18">
        <v>6246.4</v>
      </c>
      <c r="L214" s="20">
        <f>K214*100/F214</f>
        <v>63.74137719906936</v>
      </c>
      <c r="M214" s="18">
        <f t="shared" si="94"/>
        <v>28.967736849183567</v>
      </c>
      <c r="N214" s="18">
        <f>K214*100/D214</f>
        <v>26.62063968974408</v>
      </c>
    </row>
    <row r="215" spans="1:14" ht="16.5" customHeight="1" hidden="1">
      <c r="A215" s="81" t="s">
        <v>71</v>
      </c>
      <c r="B215" s="14"/>
      <c r="C215" s="34" t="s">
        <v>19</v>
      </c>
      <c r="D215" s="58"/>
      <c r="E215" s="58">
        <f t="shared" si="93"/>
        <v>0</v>
      </c>
      <c r="F215" s="45">
        <f>G215</f>
        <v>0</v>
      </c>
      <c r="G215" s="58"/>
      <c r="H215" s="58"/>
      <c r="I215" s="17"/>
      <c r="J215" s="17"/>
      <c r="K215" s="18"/>
      <c r="L215" s="20" t="e">
        <f>K215*100/F215</f>
        <v>#DIV/0!</v>
      </c>
      <c r="M215" s="18" t="e">
        <f t="shared" si="94"/>
        <v>#DIV/0!</v>
      </c>
      <c r="N215" s="18"/>
    </row>
    <row r="216" spans="1:14" ht="12.75">
      <c r="A216" s="21"/>
      <c r="B216" s="22"/>
      <c r="C216" s="23" t="s">
        <v>4</v>
      </c>
      <c r="D216" s="24">
        <f aca="true" t="shared" si="96" ref="D216:J216">D213+D203</f>
        <v>29135.6</v>
      </c>
      <c r="E216" s="24">
        <f t="shared" si="96"/>
        <v>27234.4</v>
      </c>
      <c r="F216" s="24">
        <f t="shared" si="96"/>
        <v>12549.3</v>
      </c>
      <c r="G216" s="62">
        <f t="shared" si="96"/>
        <v>5324.7</v>
      </c>
      <c r="H216" s="62">
        <f t="shared" si="96"/>
        <v>7224.599999999999</v>
      </c>
      <c r="I216" s="62">
        <f t="shared" si="96"/>
        <v>7333.2</v>
      </c>
      <c r="J216" s="62">
        <f t="shared" si="96"/>
        <v>7351.9</v>
      </c>
      <c r="K216" s="24">
        <f>K213+K203</f>
        <v>8111.1</v>
      </c>
      <c r="L216" s="27">
        <f>K216*100/F216</f>
        <v>64.63388396165523</v>
      </c>
      <c r="M216" s="24">
        <f t="shared" si="94"/>
        <v>29.782554416473282</v>
      </c>
      <c r="N216" s="24">
        <f>K216*100/D216</f>
        <v>27.839138373673446</v>
      </c>
    </row>
    <row r="217" spans="1:14" ht="12.75">
      <c r="A217" s="190"/>
      <c r="B217" s="191"/>
      <c r="C217" s="191"/>
      <c r="D217" s="191"/>
      <c r="E217" s="191"/>
      <c r="F217" s="191"/>
      <c r="G217" s="191"/>
      <c r="H217" s="191"/>
      <c r="I217" s="191"/>
      <c r="J217" s="191"/>
      <c r="K217" s="191"/>
      <c r="L217" s="27"/>
      <c r="M217" s="24"/>
      <c r="N217" s="18"/>
    </row>
    <row r="218" spans="1:14" ht="12.75">
      <c r="A218" s="196" t="s">
        <v>34</v>
      </c>
      <c r="B218" s="197"/>
      <c r="C218" s="197"/>
      <c r="D218" s="197"/>
      <c r="E218" s="197"/>
      <c r="F218" s="197"/>
      <c r="G218" s="197"/>
      <c r="H218" s="197"/>
      <c r="I218" s="197"/>
      <c r="J218" s="197"/>
      <c r="K218" s="197"/>
      <c r="L218" s="197"/>
      <c r="M218" s="197"/>
      <c r="N218" s="197"/>
    </row>
    <row r="219" spans="1:14" ht="12.75">
      <c r="A219" s="36" t="s">
        <v>3</v>
      </c>
      <c r="B219" s="36"/>
      <c r="C219" s="26" t="s">
        <v>64</v>
      </c>
      <c r="D219" s="27">
        <f aca="true" t="shared" si="97" ref="D219:J219">D220+D222+D223+D224+D226+D227+D229+D231+D228+D225+D232+D230+D221</f>
        <v>1018265.9000000001</v>
      </c>
      <c r="E219" s="27">
        <f t="shared" si="97"/>
        <v>1023060.8</v>
      </c>
      <c r="F219" s="27">
        <f t="shared" si="97"/>
        <v>515569.7</v>
      </c>
      <c r="G219" s="27">
        <f t="shared" si="97"/>
        <v>243524.09999999998</v>
      </c>
      <c r="H219" s="27">
        <f t="shared" si="97"/>
        <v>272045.6</v>
      </c>
      <c r="I219" s="27">
        <f t="shared" si="97"/>
        <v>235298.00000000006</v>
      </c>
      <c r="J219" s="27">
        <f t="shared" si="97"/>
        <v>272193.1</v>
      </c>
      <c r="K219" s="27">
        <f>K220+K222+K223+K224+K226+K227+K229+K231+K228+K225+K232+K230+K221</f>
        <v>385561.7</v>
      </c>
      <c r="L219" s="27">
        <f aca="true" t="shared" si="98" ref="L219:L224">K219*100/F219</f>
        <v>74.78362285448505</v>
      </c>
      <c r="M219" s="24">
        <f aca="true" t="shared" si="99" ref="M219:M224">K219*100/E219</f>
        <v>37.687075880534174</v>
      </c>
      <c r="N219" s="24">
        <f aca="true" t="shared" si="100" ref="N219:N231">K219*100/D219</f>
        <v>37.86454009704145</v>
      </c>
    </row>
    <row r="220" spans="1:14" ht="12.75">
      <c r="A220" s="35" t="s">
        <v>74</v>
      </c>
      <c r="B220" s="12"/>
      <c r="C220" s="54" t="s">
        <v>75</v>
      </c>
      <c r="D220" s="18">
        <f>D9+D31+D47+D65+D82+D100+D116+D134+D152+D170+D187+D204</f>
        <v>723175.5</v>
      </c>
      <c r="E220" s="58">
        <f>G220+H220+I220+J220</f>
        <v>723229.8</v>
      </c>
      <c r="F220" s="45">
        <f aca="true" t="shared" si="101" ref="F220:F238">G220+H220</f>
        <v>366402.6</v>
      </c>
      <c r="G220" s="18">
        <f>G9+G31+G47+G65+G82+G100+G116+G134+G152+G170+G187+G204</f>
        <v>178731.6</v>
      </c>
      <c r="H220" s="18">
        <f>H9+H31+H47+H65+H82+H100+H116+H134+H152+H170+H187+H204</f>
        <v>187670.99999999997</v>
      </c>
      <c r="I220" s="18">
        <f>I9+I31+I47+I65+I82+I100+I116+I134+I152+I170+I187+I204</f>
        <v>167535.80000000002</v>
      </c>
      <c r="J220" s="18">
        <f>J9+J31+J47+J65+J82+J100+J116+J134+J152+J170+J187+J204</f>
        <v>189291.4</v>
      </c>
      <c r="K220" s="18">
        <f>K9+K31+K47+K65+K82+K100+K116+K134+K152+K170+K187+K204+0.2</f>
        <v>259297.40000000002</v>
      </c>
      <c r="L220" s="20">
        <f t="shared" si="98"/>
        <v>70.7684388702482</v>
      </c>
      <c r="M220" s="18">
        <f t="shared" si="99"/>
        <v>35.85269854754326</v>
      </c>
      <c r="N220" s="18">
        <f t="shared" si="100"/>
        <v>35.85539056563725</v>
      </c>
    </row>
    <row r="221" spans="1:14" ht="36">
      <c r="A221" s="35" t="s">
        <v>73</v>
      </c>
      <c r="B221" s="12"/>
      <c r="C221" s="28" t="s">
        <v>72</v>
      </c>
      <c r="D221" s="18">
        <f>D10+D32+D48+D66+D83+D101+D118+D135+D153+D171+D188+D205</f>
        <v>53068</v>
      </c>
      <c r="E221" s="58">
        <f aca="true" t="shared" si="102" ref="E221:E234">G221+H221+I221+J221</f>
        <v>54564.59999999999</v>
      </c>
      <c r="F221" s="45">
        <f t="shared" si="101"/>
        <v>28146</v>
      </c>
      <c r="G221" s="18">
        <f>G10+G32+G48+G66+G83+G101+G118+G135+G153+G171+G188+G205</f>
        <v>14557.199999999999</v>
      </c>
      <c r="H221" s="18">
        <f>H10+H32+H48+H66+H83+H101+H118+H135+H153+H171+H188+H205</f>
        <v>13588.8</v>
      </c>
      <c r="I221" s="18">
        <f>I10+I32+I48+I66+I83+I101+I118+I135+I153+I171+I188+I205</f>
        <v>13452.399999999998</v>
      </c>
      <c r="J221" s="18">
        <f>J10+J32+J48+J66+J83+J101+J118+J135+J153+J171+J188+J205</f>
        <v>12966.199999999999</v>
      </c>
      <c r="K221" s="18">
        <f>K10+K32+K48+K66+K83+K101+K118+K135+K153+K171+K188+K205-0.1</f>
        <v>18599.400000000005</v>
      </c>
      <c r="L221" s="20">
        <f t="shared" si="98"/>
        <v>66.08185887870391</v>
      </c>
      <c r="M221" s="18">
        <f t="shared" si="99"/>
        <v>34.08693548564455</v>
      </c>
      <c r="N221" s="18">
        <f t="shared" si="100"/>
        <v>35.04823999397001</v>
      </c>
    </row>
    <row r="222" spans="1:14" ht="12.75">
      <c r="A222" s="35" t="s">
        <v>8</v>
      </c>
      <c r="B222" s="35" t="s">
        <v>52</v>
      </c>
      <c r="C222" s="28" t="s">
        <v>5</v>
      </c>
      <c r="D222" s="18">
        <f>D11+D49+D67+D206+D154+D117+D189+D84+D102+D172+D119</f>
        <v>53414.5</v>
      </c>
      <c r="E222" s="58">
        <f>G222+H222+I222+J222</f>
        <v>53449.4</v>
      </c>
      <c r="F222" s="45">
        <f t="shared" si="101"/>
        <v>38637.9</v>
      </c>
      <c r="G222" s="18">
        <f>G11+G49+G67+G206+G154+G189+G84+G102+G172+G119</f>
        <v>12623.3</v>
      </c>
      <c r="H222" s="18">
        <f>H11+H49+H67+H206+H154+H189+H84+H102+H172+H119</f>
        <v>26014.600000000002</v>
      </c>
      <c r="I222" s="18">
        <f>I11+I49+I67+I206+I154+I189+I84+I102+I172+I119</f>
        <v>7995.2</v>
      </c>
      <c r="J222" s="18">
        <f>J11+J49+J67+J206+J154+J189+J84+J102+J172+J119</f>
        <v>6816.3</v>
      </c>
      <c r="K222" s="18">
        <f>K11+K49+K67+K206+K154+K117+K189+K84+K102+K172+K119</f>
        <v>26925.100000000006</v>
      </c>
      <c r="L222" s="20">
        <f t="shared" si="98"/>
        <v>69.68572308536437</v>
      </c>
      <c r="M222" s="18">
        <f t="shared" si="99"/>
        <v>50.37493404977419</v>
      </c>
      <c r="N222" s="18">
        <f t="shared" si="100"/>
        <v>50.407848056239416</v>
      </c>
    </row>
    <row r="223" spans="1:14" ht="12.75">
      <c r="A223" s="35" t="s">
        <v>9</v>
      </c>
      <c r="B223" s="35" t="s">
        <v>53</v>
      </c>
      <c r="C223" s="28" t="s">
        <v>6</v>
      </c>
      <c r="D223" s="18">
        <f>D12+D33+D50+D68+D85+D103+D120+D136+D155+D173+D190+D207</f>
        <v>30805</v>
      </c>
      <c r="E223" s="58">
        <f t="shared" si="102"/>
        <v>33205</v>
      </c>
      <c r="F223" s="45">
        <f t="shared" si="101"/>
        <v>10697.3</v>
      </c>
      <c r="G223" s="18">
        <f>G12+G33+G50+G68+G85+G103+G120+G136+G155+G173+G190+G207</f>
        <v>7036.8</v>
      </c>
      <c r="H223" s="18">
        <f>H12+H33+H50+H68+H85+H103+H120+H136+H155+H173+H190+H207</f>
        <v>3660.4999999999995</v>
      </c>
      <c r="I223" s="18">
        <f>I12+I33+I50+I68+I85+I103+I120+I136+I155+I173+I190+I207</f>
        <v>6036.6</v>
      </c>
      <c r="J223" s="18">
        <f>J12+J33+J50+J68+J85+J103+J120+J136+J155+J173+J190+J207</f>
        <v>16471.1</v>
      </c>
      <c r="K223" s="18">
        <f>K12+K33+K50+K68+K85+K103+K120+K136+K155+K173+K190+K207-0.1</f>
        <v>11748.1</v>
      </c>
      <c r="L223" s="20">
        <f t="shared" si="98"/>
        <v>109.82303945855497</v>
      </c>
      <c r="M223" s="18">
        <f t="shared" si="99"/>
        <v>35.38051498268333</v>
      </c>
      <c r="N223" s="18">
        <f t="shared" si="100"/>
        <v>38.13699074825515</v>
      </c>
    </row>
    <row r="224" spans="1:14" ht="12.75">
      <c r="A224" s="35" t="s">
        <v>10</v>
      </c>
      <c r="B224" s="35" t="s">
        <v>47</v>
      </c>
      <c r="C224" s="28" t="s">
        <v>21</v>
      </c>
      <c r="D224" s="18">
        <f>D13+D34+D51+D69+D86+D104+D121+D137+D156+D174+D191+D208</f>
        <v>4147.8</v>
      </c>
      <c r="E224" s="58">
        <f t="shared" si="102"/>
        <v>4147.8</v>
      </c>
      <c r="F224" s="45">
        <f t="shared" si="101"/>
        <v>2022.7</v>
      </c>
      <c r="G224" s="18">
        <f>G13+G34+G69+G86+G104+G121+G137+G156+G174+G191+G208+G51</f>
        <v>945.8</v>
      </c>
      <c r="H224" s="18">
        <f>H13+H34+H69+H86+H104+H121+H137+H156+H174+H191+H208+H51</f>
        <v>1076.9</v>
      </c>
      <c r="I224" s="18">
        <f>I13+I34+I69+I86+I104+I121+I137+I156+I174+I191+I208+I51</f>
        <v>1083.0000000000002</v>
      </c>
      <c r="J224" s="18">
        <f>J13+J34+J69+J86+J104+J121+J137+J156+J174+J191+J208+J51</f>
        <v>1042.1</v>
      </c>
      <c r="K224" s="18">
        <f>K13+K34+K69+K86+K104+K121+K137+K156+K174+K191+K208+K51</f>
        <v>1794.8999999999999</v>
      </c>
      <c r="L224" s="20">
        <f t="shared" si="98"/>
        <v>88.73782567854848</v>
      </c>
      <c r="M224" s="18">
        <f t="shared" si="99"/>
        <v>43.27354260089686</v>
      </c>
      <c r="N224" s="18">
        <f t="shared" si="100"/>
        <v>43.27354260089686</v>
      </c>
    </row>
    <row r="225" spans="1:14" ht="24" hidden="1">
      <c r="A225" s="35" t="s">
        <v>35</v>
      </c>
      <c r="B225" s="35" t="s">
        <v>54</v>
      </c>
      <c r="C225" s="28" t="s">
        <v>36</v>
      </c>
      <c r="D225" s="38">
        <f>D14</f>
        <v>0</v>
      </c>
      <c r="E225" s="58">
        <f t="shared" si="102"/>
        <v>0</v>
      </c>
      <c r="F225" s="45">
        <f t="shared" si="101"/>
        <v>0</v>
      </c>
      <c r="G225" s="38">
        <f>G14</f>
        <v>0</v>
      </c>
      <c r="H225" s="38">
        <f>H14</f>
        <v>0</v>
      </c>
      <c r="I225" s="38">
        <f>I14</f>
        <v>0</v>
      </c>
      <c r="J225" s="38">
        <f>J14</f>
        <v>0</v>
      </c>
      <c r="K225" s="38">
        <f>K14</f>
        <v>0</v>
      </c>
      <c r="L225" s="20"/>
      <c r="M225" s="18"/>
      <c r="N225" s="18" t="e">
        <f t="shared" si="100"/>
        <v>#DIV/0!</v>
      </c>
    </row>
    <row r="226" spans="1:14" ht="24">
      <c r="A226" s="39" t="s">
        <v>11</v>
      </c>
      <c r="B226" s="39" t="s">
        <v>46</v>
      </c>
      <c r="C226" s="28" t="s">
        <v>17</v>
      </c>
      <c r="D226" s="18">
        <f>D15+D35+D52+D70+D87+D105+D122+D138+D157+D175+D192+D209</f>
        <v>121510.4</v>
      </c>
      <c r="E226" s="58">
        <f t="shared" si="102"/>
        <v>121723.1</v>
      </c>
      <c r="F226" s="45">
        <f t="shared" si="101"/>
        <v>54043.5</v>
      </c>
      <c r="G226" s="18">
        <f>G15+G35+G52+G70+G87+G105+G122+G138+G157+G175+G192+G209</f>
        <v>21702.4</v>
      </c>
      <c r="H226" s="18">
        <f>H15+H35+H52+H70+H87+H105+H122+H138+H157+H175+H192+H209</f>
        <v>32341.100000000002</v>
      </c>
      <c r="I226" s="18">
        <f>I15+I35+I52+I70+I87+I105+I122+I138+I157+I175+I192+I209</f>
        <v>29556.6</v>
      </c>
      <c r="J226" s="18">
        <f>J15+J35+J52+J70+J87+J105+J122+J138+J157+J175+J192+J209</f>
        <v>38123</v>
      </c>
      <c r="K226" s="18">
        <f>K15+K35+K52+K70+K87+K105+K122+K138+K157+K175+K192+K209+0.1</f>
        <v>45486.39999999999</v>
      </c>
      <c r="L226" s="20">
        <f aca="true" t="shared" si="103" ref="L226:L231">K226*100/F226</f>
        <v>84.166273464894</v>
      </c>
      <c r="M226" s="18">
        <f aca="true" t="shared" si="104" ref="M226:M231">K226*100/E226</f>
        <v>37.36874923494389</v>
      </c>
      <c r="N226" s="18">
        <f t="shared" si="100"/>
        <v>37.43416201411566</v>
      </c>
    </row>
    <row r="227" spans="1:14" ht="12.75">
      <c r="A227" s="40" t="s">
        <v>14</v>
      </c>
      <c r="B227" s="40" t="s">
        <v>45</v>
      </c>
      <c r="C227" s="28" t="s">
        <v>13</v>
      </c>
      <c r="D227" s="18">
        <f>D16</f>
        <v>18177.1</v>
      </c>
      <c r="E227" s="58">
        <f t="shared" si="102"/>
        <v>18177.1</v>
      </c>
      <c r="F227" s="45">
        <f t="shared" si="101"/>
        <v>9088.9</v>
      </c>
      <c r="G227" s="18">
        <f>G16</f>
        <v>4544.4</v>
      </c>
      <c r="H227" s="18">
        <f>H16</f>
        <v>4544.5</v>
      </c>
      <c r="I227" s="18">
        <f>I16</f>
        <v>4544.5</v>
      </c>
      <c r="J227" s="18">
        <f>J16</f>
        <v>4543.7</v>
      </c>
      <c r="K227" s="18">
        <f>K16</f>
        <v>7813.2</v>
      </c>
      <c r="L227" s="20">
        <f t="shared" si="103"/>
        <v>85.9641980877774</v>
      </c>
      <c r="M227" s="18">
        <f t="shared" si="104"/>
        <v>42.98375428423676</v>
      </c>
      <c r="N227" s="18">
        <f t="shared" si="100"/>
        <v>42.98375428423676</v>
      </c>
    </row>
    <row r="228" spans="1:14" ht="24">
      <c r="A228" s="41" t="s">
        <v>40</v>
      </c>
      <c r="B228" s="41" t="s">
        <v>55</v>
      </c>
      <c r="C228" s="28" t="s">
        <v>41</v>
      </c>
      <c r="D228" s="42">
        <f>D17+D88+D53+D106+D139+D158+D176+D193+D123+D71+D36</f>
        <v>809.8</v>
      </c>
      <c r="E228" s="58">
        <f>G228+H228+I228+J228</f>
        <v>1412.3</v>
      </c>
      <c r="F228" s="45">
        <f t="shared" si="101"/>
        <v>943.3</v>
      </c>
      <c r="G228" s="42">
        <f>G17+G88+G53+G106+G139+G158+G176+G193+G123+G71+G36</f>
        <v>609.8</v>
      </c>
      <c r="H228" s="42">
        <f>H17+H88+H53+H106+H139+H158+H176+H193+H123+H71+H36</f>
        <v>333.5</v>
      </c>
      <c r="I228" s="42">
        <f>I17+I88+I53+I106+I139+I158+I176+I193+I123+I71+I36</f>
        <v>325.7</v>
      </c>
      <c r="J228" s="42">
        <f>J17+J88+J53+J106+J139+J158+J176+J193+J123+J71+J36</f>
        <v>143.3</v>
      </c>
      <c r="K228" s="42">
        <f>K17+K88+K53+K106+K139+K158+K176+K193+K123+K71+K36-0.1</f>
        <v>-38.50000000000001</v>
      </c>
      <c r="L228" s="20">
        <f t="shared" si="103"/>
        <v>-4.0814163044630565</v>
      </c>
      <c r="M228" s="18">
        <f t="shared" si="104"/>
        <v>-2.726049706153084</v>
      </c>
      <c r="N228" s="18">
        <f t="shared" si="100"/>
        <v>-4.754260311187949</v>
      </c>
    </row>
    <row r="229" spans="1:14" ht="24">
      <c r="A229" s="41" t="s">
        <v>18</v>
      </c>
      <c r="B229" s="41" t="s">
        <v>51</v>
      </c>
      <c r="C229" s="28" t="s">
        <v>15</v>
      </c>
      <c r="D229" s="18">
        <f>D18+D37+D54+D72+D89+D124+D159+D177+D194+D210+D140</f>
        <v>9073</v>
      </c>
      <c r="E229" s="58">
        <f>G229+H229+I229+J229</f>
        <v>9109</v>
      </c>
      <c r="F229" s="45">
        <f t="shared" si="101"/>
        <v>3579.2000000000003</v>
      </c>
      <c r="G229" s="18">
        <f>G18+G37+G54+G72+G89+G107+G124+G159+G177+G194+G210+G140</f>
        <v>1772.1000000000001</v>
      </c>
      <c r="H229" s="18">
        <f>H18+H37+H54+H72+H89+H107+H124+H159+H177+H194+H210+H140</f>
        <v>1807.1000000000001</v>
      </c>
      <c r="I229" s="18">
        <f>I18+I37+I54+I72+I89+I107+I124+I159+I177+I194+I210+I140</f>
        <v>3768.6</v>
      </c>
      <c r="J229" s="18">
        <f>J18+J37+J54+J72+J89+J107+J124+J159+J177+J194+J210+J140</f>
        <v>1761.2</v>
      </c>
      <c r="K229" s="18">
        <f>K18+K37+K54+K72+K89+K124+K159+K177+K194+K210+K140</f>
        <v>6999.4</v>
      </c>
      <c r="L229" s="20">
        <f t="shared" si="103"/>
        <v>195.55766651765757</v>
      </c>
      <c r="M229" s="18">
        <f t="shared" si="104"/>
        <v>76.84048743001428</v>
      </c>
      <c r="N229" s="18">
        <f t="shared" si="100"/>
        <v>77.14537639149124</v>
      </c>
    </row>
    <row r="230" spans="1:14" ht="12.75">
      <c r="A230" s="41" t="s">
        <v>57</v>
      </c>
      <c r="B230" s="30"/>
      <c r="C230" s="28" t="s">
        <v>58</v>
      </c>
      <c r="D230" s="18">
        <f>D19</f>
        <v>11</v>
      </c>
      <c r="E230" s="58">
        <f t="shared" si="102"/>
        <v>11</v>
      </c>
      <c r="F230" s="45">
        <f t="shared" si="101"/>
        <v>4</v>
      </c>
      <c r="G230" s="18">
        <f>G19</f>
        <v>2</v>
      </c>
      <c r="H230" s="18">
        <f>H19</f>
        <v>2</v>
      </c>
      <c r="I230" s="18">
        <f>I19</f>
        <v>2</v>
      </c>
      <c r="J230" s="18">
        <f>J19</f>
        <v>5</v>
      </c>
      <c r="K230" s="18">
        <f>K19</f>
        <v>43</v>
      </c>
      <c r="L230" s="20">
        <f t="shared" si="103"/>
        <v>1075</v>
      </c>
      <c r="M230" s="18">
        <f t="shared" si="104"/>
        <v>390.90909090909093</v>
      </c>
      <c r="N230" s="18">
        <f t="shared" si="100"/>
        <v>390.90909090909093</v>
      </c>
    </row>
    <row r="231" spans="1:14" ht="12.75">
      <c r="A231" s="37" t="s">
        <v>12</v>
      </c>
      <c r="B231" s="37" t="s">
        <v>48</v>
      </c>
      <c r="C231" s="28" t="s">
        <v>7</v>
      </c>
      <c r="D231" s="18">
        <f>D20+D195+D211+D73+D141+D55+D160+D90+D178+D107</f>
        <v>4028.8</v>
      </c>
      <c r="E231" s="58">
        <f t="shared" si="102"/>
        <v>4031.7</v>
      </c>
      <c r="F231" s="45">
        <f t="shared" si="101"/>
        <v>2004.3</v>
      </c>
      <c r="G231" s="18">
        <f>G20+G195+G211+G73+G141+G55+G160+G90+G178</f>
        <v>998.6999999999999</v>
      </c>
      <c r="H231" s="18">
        <f>H20+H195+H211+H73+H141+H55+H160+H90+H178</f>
        <v>1005.6</v>
      </c>
      <c r="I231" s="18">
        <f>I20+I195+I211+I73+I141+I55+I160+I90+I178</f>
        <v>997.6</v>
      </c>
      <c r="J231" s="18">
        <f>J20+J195+J211+J73+J141+J55+J160+J90+J178</f>
        <v>1029.8</v>
      </c>
      <c r="K231" s="18">
        <f>K20+K195+K211+K73+K141+K55+K160+K90+K178+K107+K38+0.1</f>
        <v>6676.2</v>
      </c>
      <c r="L231" s="20">
        <f t="shared" si="103"/>
        <v>333.0938482263134</v>
      </c>
      <c r="M231" s="18">
        <f t="shared" si="104"/>
        <v>165.5926780266389</v>
      </c>
      <c r="N231" s="18">
        <f t="shared" si="100"/>
        <v>165.71187450357425</v>
      </c>
    </row>
    <row r="232" spans="1:14" ht="12.75">
      <c r="A232" s="83" t="s">
        <v>37</v>
      </c>
      <c r="B232" s="43" t="s">
        <v>54</v>
      </c>
      <c r="C232" s="16" t="s">
        <v>38</v>
      </c>
      <c r="D232" s="18">
        <f>D21+D39+D56+D74+D91+D108+D126+D142+D161+D179+D196+D212</f>
        <v>45</v>
      </c>
      <c r="E232" s="58">
        <f t="shared" si="102"/>
        <v>0</v>
      </c>
      <c r="F232" s="45">
        <f t="shared" si="101"/>
        <v>0</v>
      </c>
      <c r="G232" s="18">
        <v>0</v>
      </c>
      <c r="H232" s="18">
        <f>H21+H39+H56+H74+H91+H108+H126+H142+H161+H179+H196+H212</f>
        <v>0</v>
      </c>
      <c r="I232" s="18">
        <f>I21+I39+I56+I74+I91+I108+I126+I142+I161+I179+I196+I212</f>
        <v>0</v>
      </c>
      <c r="J232" s="18">
        <f>J21+J39+J56+J74+J91+J108+J126+J142+J161+J179+J196+J212</f>
        <v>0</v>
      </c>
      <c r="K232" s="18">
        <f>K21+K39+K56+K74+K91+K108+K126+K142+K161+K179+K196+K212-0.1</f>
        <v>217.10000000000002</v>
      </c>
      <c r="L232" s="20"/>
      <c r="M232" s="18"/>
      <c r="N232" s="18"/>
    </row>
    <row r="233" spans="1:14" ht="12.75">
      <c r="A233" s="36" t="s">
        <v>1</v>
      </c>
      <c r="B233" s="36"/>
      <c r="C233" s="31" t="s">
        <v>0</v>
      </c>
      <c r="D233" s="32">
        <f>D234+D236+D238+D237+D235</f>
        <v>3665297.5</v>
      </c>
      <c r="E233" s="32">
        <f aca="true" t="shared" si="105" ref="E233:K233">E234+E236+E238+E237+E235</f>
        <v>3713436.5</v>
      </c>
      <c r="F233" s="32">
        <f t="shared" si="105"/>
        <v>1695182.8999999997</v>
      </c>
      <c r="G233" s="32">
        <f t="shared" si="105"/>
        <v>670289.1</v>
      </c>
      <c r="H233" s="32">
        <f t="shared" si="105"/>
        <v>1024893.7999999999</v>
      </c>
      <c r="I233" s="32">
        <f t="shared" si="105"/>
        <v>679442.5</v>
      </c>
      <c r="J233" s="32">
        <f t="shared" si="105"/>
        <v>1338811.1</v>
      </c>
      <c r="K233" s="32">
        <f t="shared" si="105"/>
        <v>919233.3999999999</v>
      </c>
      <c r="L233" s="27">
        <f>K233*100/F233</f>
        <v>54.22620768531821</v>
      </c>
      <c r="M233" s="24">
        <f aca="true" t="shared" si="106" ref="M233:M239">K233*100/E233</f>
        <v>24.754251217167706</v>
      </c>
      <c r="N233" s="24">
        <f>K233*100/D233</f>
        <v>25.079366681695003</v>
      </c>
    </row>
    <row r="234" spans="1:14" ht="24">
      <c r="A234" s="83" t="s">
        <v>63</v>
      </c>
      <c r="B234" s="35" t="s">
        <v>49</v>
      </c>
      <c r="C234" s="33" t="s">
        <v>20</v>
      </c>
      <c r="D234" s="17">
        <f>D23-33523.2</f>
        <v>3665297.5</v>
      </c>
      <c r="E234" s="58">
        <f t="shared" si="102"/>
        <v>3683996.9</v>
      </c>
      <c r="F234" s="45">
        <f t="shared" si="101"/>
        <v>1701043.2999999998</v>
      </c>
      <c r="G234" s="17">
        <f>G23-8380.7</f>
        <v>676502.9</v>
      </c>
      <c r="H234" s="17">
        <f>H23-8420.8</f>
        <v>1024540.3999999999</v>
      </c>
      <c r="I234" s="17">
        <f>I23-8521.1</f>
        <v>674442.5</v>
      </c>
      <c r="J234" s="17">
        <f>J23-8598.2</f>
        <v>1308511.1</v>
      </c>
      <c r="K234" s="17">
        <f>K23-7698</f>
        <v>917414.7</v>
      </c>
      <c r="L234" s="20">
        <f>K234*100/F234</f>
        <v>53.932471912972474</v>
      </c>
      <c r="M234" s="18">
        <f t="shared" si="106"/>
        <v>24.90270010813527</v>
      </c>
      <c r="N234" s="18">
        <f>K234*100/D234</f>
        <v>25.02974724425507</v>
      </c>
    </row>
    <row r="235" spans="1:14" ht="24">
      <c r="A235" s="83" t="s">
        <v>80</v>
      </c>
      <c r="B235" s="14"/>
      <c r="C235" s="28" t="s">
        <v>81</v>
      </c>
      <c r="D235" s="18">
        <v>0</v>
      </c>
      <c r="E235" s="58">
        <f>G235+H235+I235+J235</f>
        <v>518.4</v>
      </c>
      <c r="F235" s="45">
        <f t="shared" si="101"/>
        <v>518.4</v>
      </c>
      <c r="G235" s="17">
        <f>G199+G129</f>
        <v>165</v>
      </c>
      <c r="H235" s="17">
        <f>H199+H129</f>
        <v>353.4</v>
      </c>
      <c r="I235" s="17">
        <f>I199+I129</f>
        <v>0</v>
      </c>
      <c r="J235" s="17">
        <f>J199+J129</f>
        <v>0</v>
      </c>
      <c r="K235" s="17">
        <f>K199+K129</f>
        <v>518.4</v>
      </c>
      <c r="L235" s="20">
        <f>K235*100/F235</f>
        <v>100</v>
      </c>
      <c r="M235" s="18">
        <f t="shared" si="106"/>
        <v>100</v>
      </c>
      <c r="N235" s="18"/>
    </row>
    <row r="236" spans="1:14" ht="12.75" customHeight="1">
      <c r="A236" s="83" t="s">
        <v>71</v>
      </c>
      <c r="B236" s="14" t="s">
        <v>50</v>
      </c>
      <c r="C236" s="34" t="s">
        <v>19</v>
      </c>
      <c r="D236" s="18">
        <f>D24+D95+D182+D77</f>
        <v>0</v>
      </c>
      <c r="E236" s="58">
        <f>G236+H236+I236+J236</f>
        <v>35300</v>
      </c>
      <c r="F236" s="45">
        <f t="shared" si="101"/>
        <v>0</v>
      </c>
      <c r="G236" s="18">
        <f>G24+G95+G164+G215+G147+G77+G111</f>
        <v>0</v>
      </c>
      <c r="H236" s="18">
        <f>H24+H95+H164+H215+H147+H77+H111</f>
        <v>0</v>
      </c>
      <c r="I236" s="18">
        <f>I24+I95+I164+I215+I147+I77+I111</f>
        <v>5000</v>
      </c>
      <c r="J236" s="18">
        <f>J24+J95+J164+J215+J147+J77+J111</f>
        <v>30300</v>
      </c>
      <c r="K236" s="18">
        <f>K24+K95+K164+K215+K147+K77+K111</f>
        <v>7679.1</v>
      </c>
      <c r="L236" s="20"/>
      <c r="M236" s="18">
        <f t="shared" si="106"/>
        <v>21.75382436260623</v>
      </c>
      <c r="N236" s="18"/>
    </row>
    <row r="237" spans="1:14" ht="63" customHeight="1" hidden="1">
      <c r="A237" s="83" t="s">
        <v>70</v>
      </c>
      <c r="B237" s="15" t="s">
        <v>61</v>
      </c>
      <c r="C237" s="16" t="s">
        <v>61</v>
      </c>
      <c r="D237" s="18"/>
      <c r="E237" s="58">
        <f>470.7-470.7</f>
        <v>0</v>
      </c>
      <c r="F237" s="45">
        <f t="shared" si="101"/>
        <v>0</v>
      </c>
      <c r="G237" s="18">
        <f>-470.7+470.7</f>
        <v>0</v>
      </c>
      <c r="H237" s="18"/>
      <c r="I237" s="18"/>
      <c r="J237" s="18"/>
      <c r="K237" s="18"/>
      <c r="L237" s="20" t="e">
        <f>K237*100/F237</f>
        <v>#DIV/0!</v>
      </c>
      <c r="M237" s="18" t="e">
        <f t="shared" si="106"/>
        <v>#DIV/0!</v>
      </c>
      <c r="N237" s="18"/>
    </row>
    <row r="238" spans="1:14" ht="36">
      <c r="A238" s="83" t="s">
        <v>62</v>
      </c>
      <c r="B238" s="15"/>
      <c r="C238" s="19" t="s">
        <v>60</v>
      </c>
      <c r="D238" s="18">
        <f>D26</f>
        <v>0</v>
      </c>
      <c r="E238" s="58">
        <f>G238+H238+I238+J238</f>
        <v>-6378.8</v>
      </c>
      <c r="F238" s="45">
        <f t="shared" si="101"/>
        <v>-6378.8</v>
      </c>
      <c r="G238" s="18">
        <f>G26</f>
        <v>-6378.8</v>
      </c>
      <c r="H238" s="18">
        <f>H26</f>
        <v>0</v>
      </c>
      <c r="I238" s="18">
        <f>I26</f>
        <v>0</v>
      </c>
      <c r="J238" s="18">
        <f>J26</f>
        <v>0</v>
      </c>
      <c r="K238" s="18">
        <f>K26</f>
        <v>-6378.8</v>
      </c>
      <c r="L238" s="20">
        <f>K238*100/F238</f>
        <v>100</v>
      </c>
      <c r="M238" s="18">
        <f t="shared" si="106"/>
        <v>100</v>
      </c>
      <c r="N238" s="18"/>
    </row>
    <row r="239" spans="1:14" ht="12.75">
      <c r="A239" s="21"/>
      <c r="B239" s="22"/>
      <c r="C239" s="23" t="s">
        <v>4</v>
      </c>
      <c r="D239" s="24">
        <f aca="true" t="shared" si="107" ref="D239:J239">D233+D219</f>
        <v>4683563.4</v>
      </c>
      <c r="E239" s="24">
        <f>E233+E219</f>
        <v>4736497.3</v>
      </c>
      <c r="F239" s="24">
        <f t="shared" si="107"/>
        <v>2210752.5999999996</v>
      </c>
      <c r="G239" s="24">
        <f t="shared" si="107"/>
        <v>913813.2</v>
      </c>
      <c r="H239" s="24">
        <f t="shared" si="107"/>
        <v>1296939.4</v>
      </c>
      <c r="I239" s="24">
        <f t="shared" si="107"/>
        <v>914740.5</v>
      </c>
      <c r="J239" s="24">
        <f t="shared" si="107"/>
        <v>1611004.2000000002</v>
      </c>
      <c r="K239" s="24">
        <f>K233+K219</f>
        <v>1304795.0999999999</v>
      </c>
      <c r="L239" s="27">
        <f>K239*100/F239</f>
        <v>59.020403278051106</v>
      </c>
      <c r="M239" s="24">
        <f t="shared" si="106"/>
        <v>27.547679590147762</v>
      </c>
      <c r="N239" s="24">
        <f>K239*100/D239</f>
        <v>27.85902503209415</v>
      </c>
    </row>
    <row r="240" spans="3:9" ht="12.75">
      <c r="C240" s="8"/>
      <c r="D240" s="8"/>
      <c r="E240" s="8"/>
      <c r="F240" s="8"/>
      <c r="G240" s="8"/>
      <c r="H240" s="8"/>
      <c r="I240" s="2"/>
    </row>
    <row r="241" spans="3:11" ht="12.75">
      <c r="C241" s="9" t="s">
        <v>56</v>
      </c>
      <c r="D241" s="9"/>
      <c r="E241" s="57" t="b">
        <f>P228=E233-E234</f>
        <v>0</v>
      </c>
      <c r="F241" s="9"/>
      <c r="G241" s="9"/>
      <c r="H241" s="9"/>
      <c r="I241" s="3"/>
      <c r="J241" s="3"/>
      <c r="K241" s="5"/>
    </row>
    <row r="242" spans="3:11" ht="12.75" hidden="1">
      <c r="C242" s="9"/>
      <c r="D242" s="9"/>
      <c r="E242" s="9"/>
      <c r="F242" s="9"/>
      <c r="G242" s="9"/>
      <c r="H242" s="9"/>
      <c r="I242" s="3" t="s">
        <v>59</v>
      </c>
      <c r="J242" s="3">
        <f>J241-J219</f>
        <v>-272193.1</v>
      </c>
      <c r="K242" s="4"/>
    </row>
    <row r="243" spans="1:11" ht="12.75" hidden="1">
      <c r="A243" s="2"/>
      <c r="C243" s="9"/>
      <c r="D243" s="9"/>
      <c r="E243" s="9"/>
      <c r="F243" s="9"/>
      <c r="G243" s="9"/>
      <c r="H243" s="9"/>
      <c r="I243" s="6"/>
      <c r="J243" s="3"/>
      <c r="K243" s="5"/>
    </row>
    <row r="244" spans="3:11" ht="12.75" hidden="1">
      <c r="C244" s="10"/>
      <c r="D244" s="10"/>
      <c r="E244" s="10"/>
      <c r="F244" s="10"/>
      <c r="G244" s="10"/>
      <c r="H244" s="10"/>
      <c r="I244" s="3"/>
      <c r="J244" s="3">
        <f>J243-J233</f>
        <v>-1338811.1</v>
      </c>
      <c r="K244" s="5"/>
    </row>
    <row r="245" spans="3:11" ht="12.75" hidden="1">
      <c r="C245" s="10"/>
      <c r="D245" s="10"/>
      <c r="E245" s="10"/>
      <c r="F245" s="10"/>
      <c r="G245" s="10"/>
      <c r="H245" s="10"/>
      <c r="I245" s="6"/>
      <c r="J245" s="3" t="e">
        <f>#REF!+#REF!+#REF!+#REF!+#REF!+#REF!+#REF!+#REF!+#REF!+#REF!</f>
        <v>#REF!</v>
      </c>
      <c r="K245" s="5"/>
    </row>
    <row r="246" spans="1:11" ht="12.75" hidden="1">
      <c r="A246" s="2">
        <f>J219+J233</f>
        <v>1611004.2000000002</v>
      </c>
      <c r="C246" s="11"/>
      <c r="D246" s="11"/>
      <c r="E246" s="11"/>
      <c r="F246" s="11"/>
      <c r="G246" s="11"/>
      <c r="H246" s="11"/>
      <c r="I246" s="6"/>
      <c r="J246" s="3" t="e">
        <f>J245-#REF!</f>
        <v>#REF!</v>
      </c>
      <c r="K246" s="5"/>
    </row>
    <row r="247" spans="1:11" ht="12.75" hidden="1">
      <c r="A247" s="2" t="e">
        <f>#REF!+#REF!</f>
        <v>#REF!</v>
      </c>
      <c r="C247" s="10"/>
      <c r="D247" s="10"/>
      <c r="E247" s="10"/>
      <c r="F247" s="10"/>
      <c r="G247" s="10"/>
      <c r="H247" s="10"/>
      <c r="I247" s="6"/>
      <c r="J247" s="3" t="e">
        <f>J241+J243+J245</f>
        <v>#REF!</v>
      </c>
      <c r="K247" s="5"/>
    </row>
    <row r="248" spans="1:11" ht="12.75" hidden="1">
      <c r="A248" s="2" t="e">
        <f>J219+#REF!</f>
        <v>#REF!</v>
      </c>
      <c r="C248" s="9"/>
      <c r="D248" s="9"/>
      <c r="E248" s="9"/>
      <c r="F248" s="9"/>
      <c r="G248" s="9"/>
      <c r="H248" s="9"/>
      <c r="I248" s="6"/>
      <c r="J248" s="3">
        <f>J27+J43+J61+J78+J96+J112+J130+J148+J166+J183+J200+J216-J213-J197-J180-J162-J143-J127-J109-J93-J75-J40-J57</f>
        <v>1619602.3999999997</v>
      </c>
      <c r="K248" s="5"/>
    </row>
    <row r="249" spans="1:11" ht="12.75" hidden="1">
      <c r="A249" s="2" t="e">
        <f>J233+#REF!</f>
        <v>#REF!</v>
      </c>
      <c r="C249" s="9"/>
      <c r="D249" s="9"/>
      <c r="E249" s="9"/>
      <c r="F249" s="9"/>
      <c r="G249" s="9"/>
      <c r="H249" s="9"/>
      <c r="I249" s="6"/>
      <c r="J249" s="3">
        <f>J248-J239</f>
        <v>8598.199999999488</v>
      </c>
      <c r="K249" s="5"/>
    </row>
    <row r="250" spans="3:11" ht="12.75" hidden="1">
      <c r="C250" s="9"/>
      <c r="D250" s="9"/>
      <c r="E250" s="9"/>
      <c r="F250" s="9"/>
      <c r="G250" s="9"/>
      <c r="H250" s="9"/>
      <c r="I250" s="6"/>
      <c r="J250" s="3"/>
      <c r="K250" s="5"/>
    </row>
    <row r="251" spans="3:11" ht="12.75" hidden="1">
      <c r="C251" s="8"/>
      <c r="D251" s="8"/>
      <c r="E251" s="8"/>
      <c r="F251" s="8"/>
      <c r="G251" s="8"/>
      <c r="H251" s="8"/>
      <c r="I251" s="5"/>
      <c r="J251" s="4"/>
      <c r="K251" s="5"/>
    </row>
    <row r="252" spans="3:11" ht="12.75">
      <c r="C252" s="8"/>
      <c r="D252" s="8"/>
      <c r="E252" s="8"/>
      <c r="F252" s="44"/>
      <c r="G252" s="44"/>
      <c r="H252" s="44"/>
      <c r="I252" s="44"/>
      <c r="J252" s="44"/>
      <c r="K252" s="44"/>
    </row>
    <row r="253" spans="3:11" ht="12.75">
      <c r="C253" s="8"/>
      <c r="D253" s="8"/>
      <c r="E253" s="8"/>
      <c r="F253" s="8"/>
      <c r="G253" s="8"/>
      <c r="H253" s="8"/>
      <c r="I253" s="5"/>
      <c r="J253" s="4"/>
      <c r="K253" s="5"/>
    </row>
    <row r="254" spans="3:11" ht="12.75">
      <c r="C254" s="8"/>
      <c r="D254" s="44"/>
      <c r="E254" s="44"/>
      <c r="F254" s="8"/>
      <c r="G254" s="44"/>
      <c r="H254" s="44"/>
      <c r="I254" s="44"/>
      <c r="J254" s="44"/>
      <c r="K254" s="44"/>
    </row>
    <row r="255" spans="4:11" ht="12.75">
      <c r="D255" s="2"/>
      <c r="E255" s="2"/>
      <c r="F255" s="2"/>
      <c r="G255" s="2"/>
      <c r="H255" s="2"/>
      <c r="I255" s="2"/>
      <c r="J255" s="2"/>
      <c r="K255" s="2"/>
    </row>
    <row r="256" spans="9:11" ht="12.75">
      <c r="I256" s="5"/>
      <c r="J256" s="4"/>
      <c r="K256" s="5"/>
    </row>
    <row r="257" spans="9:11" ht="12.75">
      <c r="I257" s="5"/>
      <c r="J257" s="4"/>
      <c r="K257" s="5"/>
    </row>
    <row r="258" spans="3:11" ht="12.75">
      <c r="C258" s="8"/>
      <c r="D258" s="8"/>
      <c r="E258" s="8"/>
      <c r="F258" s="8"/>
      <c r="G258" s="8"/>
      <c r="H258" s="8"/>
      <c r="I258" s="5"/>
      <c r="J258" s="4"/>
      <c r="K258" s="5"/>
    </row>
    <row r="259" spans="3:11" ht="12.75">
      <c r="C259" s="8"/>
      <c r="D259" s="8"/>
      <c r="E259" s="8"/>
      <c r="F259" s="8"/>
      <c r="G259" s="8"/>
      <c r="H259" s="8"/>
      <c r="I259" s="5"/>
      <c r="J259" s="4"/>
      <c r="K259" s="5"/>
    </row>
    <row r="260" spans="3:11" ht="12.75">
      <c r="C260" s="8"/>
      <c r="D260" s="8"/>
      <c r="E260" s="8"/>
      <c r="F260" s="8"/>
      <c r="G260" s="8"/>
      <c r="H260" s="8"/>
      <c r="I260" s="5"/>
      <c r="J260" s="4"/>
      <c r="K260" s="5"/>
    </row>
    <row r="261" spans="3:11" ht="12.75">
      <c r="C261" s="8"/>
      <c r="D261" s="8"/>
      <c r="E261" s="8"/>
      <c r="F261" s="8"/>
      <c r="G261" s="8"/>
      <c r="H261" s="8"/>
      <c r="I261" s="5"/>
      <c r="J261" s="4"/>
      <c r="K261" s="5"/>
    </row>
    <row r="262" spans="3:11" ht="12.75">
      <c r="C262" s="8"/>
      <c r="D262" s="8"/>
      <c r="E262" s="8"/>
      <c r="F262" s="8"/>
      <c r="G262" s="8"/>
      <c r="H262" s="8"/>
      <c r="I262" s="4"/>
      <c r="J262" s="4"/>
      <c r="K262" s="4"/>
    </row>
    <row r="263" spans="3:11" ht="12.75">
      <c r="C263" s="8"/>
      <c r="D263" s="8"/>
      <c r="E263" s="8"/>
      <c r="F263" s="8"/>
      <c r="G263" s="8"/>
      <c r="H263" s="8"/>
      <c r="I263" s="5"/>
      <c r="J263" s="5"/>
      <c r="K263" s="5"/>
    </row>
    <row r="264" spans="3:11" ht="12.75">
      <c r="C264" s="8"/>
      <c r="D264" s="8"/>
      <c r="E264" s="8"/>
      <c r="F264" s="8"/>
      <c r="G264" s="8"/>
      <c r="H264" s="8"/>
      <c r="I264" s="7"/>
      <c r="J264" s="4"/>
      <c r="K264" s="5"/>
    </row>
  </sheetData>
  <sheetProtection password="CF7A" sheet="1"/>
  <mergeCells count="38">
    <mergeCell ref="A149:K149"/>
    <mergeCell ref="J4:J6"/>
    <mergeCell ref="G4:G6"/>
    <mergeCell ref="A131:K131"/>
    <mergeCell ref="A218:N218"/>
    <mergeCell ref="A202:N202"/>
    <mergeCell ref="A185:N185"/>
    <mergeCell ref="A168:N168"/>
    <mergeCell ref="A150:N150"/>
    <mergeCell ref="A132:N132"/>
    <mergeCell ref="A184:K184"/>
    <mergeCell ref="A28:K28"/>
    <mergeCell ref="A217:K217"/>
    <mergeCell ref="A201:K201"/>
    <mergeCell ref="A167:K167"/>
    <mergeCell ref="K4:K6"/>
    <mergeCell ref="H4:H6"/>
    <mergeCell ref="A114:N114"/>
    <mergeCell ref="A98:N98"/>
    <mergeCell ref="A80:N80"/>
    <mergeCell ref="A1:N1"/>
    <mergeCell ref="M4:M6"/>
    <mergeCell ref="A2:K2"/>
    <mergeCell ref="E4:E6"/>
    <mergeCell ref="I4:I6"/>
    <mergeCell ref="D4:D6"/>
    <mergeCell ref="N4:N6"/>
    <mergeCell ref="F4:F6"/>
    <mergeCell ref="A113:K113"/>
    <mergeCell ref="C44:K44"/>
    <mergeCell ref="L4:L6"/>
    <mergeCell ref="A79:K79"/>
    <mergeCell ref="A45:N45"/>
    <mergeCell ref="A29:N29"/>
    <mergeCell ref="A62:K62"/>
    <mergeCell ref="A97:K97"/>
    <mergeCell ref="A63:N63"/>
    <mergeCell ref="A7:N7"/>
  </mergeCells>
  <printOptions/>
  <pageMargins left="0" right="0" top="0.15748031496062992" bottom="0.15748031496062992" header="0.15748031496062992" footer="0.1968503937007874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67"/>
  <sheetViews>
    <sheetView tabSelected="1" zoomScalePageLayoutView="0" workbookViewId="0" topLeftCell="A142">
      <selection activeCell="S149" sqref="S149"/>
    </sheetView>
  </sheetViews>
  <sheetFormatPr defaultColWidth="9.00390625" defaultRowHeight="12.75"/>
  <cols>
    <col min="1" max="1" width="14.625" style="0" customWidth="1"/>
    <col min="2" max="2" width="40.625" style="0" customWidth="1"/>
    <col min="3" max="3" width="18.375" style="0" customWidth="1"/>
    <col min="4" max="4" width="16.75390625" style="0" customWidth="1"/>
    <col min="5" max="5" width="14.00390625" style="0" customWidth="1"/>
    <col min="6" max="6" width="16.75390625" style="0" customWidth="1"/>
    <col min="7" max="7" width="17.875" style="0" customWidth="1"/>
    <col min="8" max="8" width="12.625" style="0" customWidth="1"/>
    <col min="9" max="9" width="19.875" style="0" hidden="1" customWidth="1"/>
    <col min="10" max="10" width="13.00390625" style="0" hidden="1" customWidth="1"/>
    <col min="11" max="11" width="17.625" style="0" customWidth="1"/>
    <col min="12" max="12" width="16.00390625" style="0" hidden="1" customWidth="1"/>
    <col min="13" max="13" width="14.75390625" style="0" hidden="1" customWidth="1"/>
    <col min="14" max="14" width="17.375" style="0" customWidth="1"/>
    <col min="15" max="15" width="13.875" style="0" customWidth="1"/>
  </cols>
  <sheetData>
    <row r="1" spans="1:15" ht="15" customHeight="1">
      <c r="A1" s="212" t="s">
        <v>86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</row>
    <row r="2" spans="1:15" ht="13.5" thickBot="1">
      <c r="A2" s="85"/>
      <c r="B2" s="86"/>
      <c r="C2" s="87"/>
      <c r="D2" s="88"/>
      <c r="E2" s="89"/>
      <c r="F2" s="90"/>
      <c r="G2" s="90"/>
      <c r="H2" s="91"/>
      <c r="I2" s="91"/>
      <c r="J2" s="91"/>
      <c r="K2" s="92"/>
      <c r="L2" s="93"/>
      <c r="M2" s="92"/>
      <c r="N2" s="94"/>
      <c r="O2" s="95"/>
    </row>
    <row r="3" spans="1:15" ht="29.25" customHeight="1">
      <c r="A3" s="213" t="s">
        <v>87</v>
      </c>
      <c r="B3" s="215" t="s">
        <v>88</v>
      </c>
      <c r="C3" s="217" t="s">
        <v>89</v>
      </c>
      <c r="D3" s="217"/>
      <c r="E3" s="217"/>
      <c r="F3" s="218" t="s">
        <v>90</v>
      </c>
      <c r="G3" s="218"/>
      <c r="H3" s="218"/>
      <c r="I3" s="219" t="s">
        <v>91</v>
      </c>
      <c r="J3" s="220"/>
      <c r="K3" s="220"/>
      <c r="L3" s="220"/>
      <c r="M3" s="220"/>
      <c r="N3" s="220"/>
      <c r="O3" s="221"/>
    </row>
    <row r="4" spans="1:15" ht="19.5" customHeight="1">
      <c r="A4" s="214"/>
      <c r="B4" s="216"/>
      <c r="C4" s="207" t="s">
        <v>92</v>
      </c>
      <c r="D4" s="207" t="s">
        <v>93</v>
      </c>
      <c r="E4" s="205" t="s">
        <v>94</v>
      </c>
      <c r="F4" s="207" t="s">
        <v>92</v>
      </c>
      <c r="G4" s="207" t="s">
        <v>93</v>
      </c>
      <c r="H4" s="229" t="s">
        <v>94</v>
      </c>
      <c r="I4" s="211" t="s">
        <v>95</v>
      </c>
      <c r="J4" s="211" t="s">
        <v>96</v>
      </c>
      <c r="K4" s="209" t="s">
        <v>92</v>
      </c>
      <c r="L4" s="211" t="s">
        <v>97</v>
      </c>
      <c r="M4" s="211" t="s">
        <v>96</v>
      </c>
      <c r="N4" s="222" t="s">
        <v>93</v>
      </c>
      <c r="O4" s="223" t="s">
        <v>94</v>
      </c>
    </row>
    <row r="5" spans="1:15" ht="18" customHeight="1">
      <c r="A5" s="214"/>
      <c r="B5" s="216"/>
      <c r="C5" s="208"/>
      <c r="D5" s="207"/>
      <c r="E5" s="206"/>
      <c r="F5" s="208"/>
      <c r="G5" s="207"/>
      <c r="H5" s="230"/>
      <c r="I5" s="211"/>
      <c r="J5" s="211"/>
      <c r="K5" s="210"/>
      <c r="L5" s="211"/>
      <c r="M5" s="211"/>
      <c r="N5" s="222"/>
      <c r="O5" s="224"/>
    </row>
    <row r="6" spans="1:15" ht="12.75" customHeight="1">
      <c r="A6" s="214"/>
      <c r="B6" s="225" t="s">
        <v>98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</row>
    <row r="7" spans="1:15" ht="3.75" customHeight="1">
      <c r="A7" s="214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</row>
    <row r="8" spans="1:15" ht="12.75" customHeight="1" hidden="1">
      <c r="A8" s="214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</row>
    <row r="9" spans="1:15" ht="12.75" customHeight="1">
      <c r="A9" s="96"/>
      <c r="B9" s="98"/>
      <c r="C9" s="98"/>
      <c r="D9" s="98"/>
      <c r="E9" s="98"/>
      <c r="F9" s="98"/>
      <c r="G9" s="98"/>
      <c r="H9" s="98"/>
      <c r="I9" s="98"/>
      <c r="J9" s="98"/>
      <c r="K9" s="98"/>
      <c r="L9" s="99"/>
      <c r="M9" s="98"/>
      <c r="N9" s="98"/>
      <c r="O9" s="100"/>
    </row>
    <row r="10" spans="1:15" ht="22.5" customHeight="1">
      <c r="A10" s="101" t="s">
        <v>99</v>
      </c>
      <c r="B10" s="102" t="s">
        <v>100</v>
      </c>
      <c r="C10" s="103">
        <f>SUM(C11:C18)</f>
        <v>487195.80000000005</v>
      </c>
      <c r="D10" s="103">
        <f>SUM(D11:D18)</f>
        <v>115233.5</v>
      </c>
      <c r="E10" s="103">
        <f>D10/C10*100</f>
        <v>23.652400123317975</v>
      </c>
      <c r="F10" s="103">
        <f>F11+F12+F13+F14+F15+F17+F18+F16</f>
        <v>206713.1</v>
      </c>
      <c r="G10" s="103">
        <f>SUM(G11:G18)</f>
        <v>77179</v>
      </c>
      <c r="H10" s="104">
        <f>G10/F10*100</f>
        <v>37.33628879833934</v>
      </c>
      <c r="I10" s="103">
        <f aca="true" t="shared" si="0" ref="I10:N10">SUM(I11:I18)</f>
        <v>693908.8999999999</v>
      </c>
      <c r="J10" s="103">
        <f>SUM(J11:J18)</f>
        <v>11453.1</v>
      </c>
      <c r="K10" s="103">
        <f>SUM(K11:K18)</f>
        <v>682455.8</v>
      </c>
      <c r="L10" s="103">
        <f t="shared" si="0"/>
        <v>192412.5</v>
      </c>
      <c r="M10" s="103">
        <f t="shared" si="0"/>
        <v>1828.4</v>
      </c>
      <c r="N10" s="103">
        <f t="shared" si="0"/>
        <v>190584.09999999998</v>
      </c>
      <c r="O10" s="105">
        <f>N10/K10*100</f>
        <v>27.926218811533282</v>
      </c>
    </row>
    <row r="11" spans="1:16" ht="31.5" customHeight="1">
      <c r="A11" s="106" t="s">
        <v>101</v>
      </c>
      <c r="B11" s="107" t="s">
        <v>102</v>
      </c>
      <c r="C11" s="108">
        <v>4775</v>
      </c>
      <c r="D11" s="108">
        <v>1526.8</v>
      </c>
      <c r="E11" s="97">
        <f>D11/C11*100</f>
        <v>31.974869109947647</v>
      </c>
      <c r="F11" s="109">
        <v>46473.8</v>
      </c>
      <c r="G11" s="109">
        <v>18467.5</v>
      </c>
      <c r="H11" s="110">
        <f>G11/F11*100</f>
        <v>39.73744346276827</v>
      </c>
      <c r="I11" s="111">
        <f>C11+F11</f>
        <v>51248.8</v>
      </c>
      <c r="J11" s="112"/>
      <c r="K11" s="113">
        <f>I11-J11</f>
        <v>51248.8</v>
      </c>
      <c r="L11" s="111">
        <f>D11+G11</f>
        <v>19994.3</v>
      </c>
      <c r="M11" s="112"/>
      <c r="N11" s="113">
        <f>L11-M11</f>
        <v>19994.3</v>
      </c>
      <c r="O11" s="114">
        <f aca="true" t="shared" si="1" ref="O11:O123">N11/K11*100</f>
        <v>39.01418179547618</v>
      </c>
      <c r="P11" s="115"/>
    </row>
    <row r="12" spans="1:16" ht="43.5" customHeight="1">
      <c r="A12" s="106" t="s">
        <v>103</v>
      </c>
      <c r="B12" s="107" t="s">
        <v>104</v>
      </c>
      <c r="C12" s="108">
        <v>8381</v>
      </c>
      <c r="D12" s="108">
        <v>4257.7</v>
      </c>
      <c r="E12" s="97">
        <f aca="true" t="shared" si="2" ref="E12:E20">D12/C12*100</f>
        <v>50.801813626058944</v>
      </c>
      <c r="F12" s="109">
        <v>0</v>
      </c>
      <c r="G12" s="109"/>
      <c r="H12" s="110">
        <v>0</v>
      </c>
      <c r="I12" s="111">
        <f aca="true" t="shared" si="3" ref="I12:I18">C12+F12</f>
        <v>8381</v>
      </c>
      <c r="J12" s="112"/>
      <c r="K12" s="113">
        <f aca="true" t="shared" si="4" ref="K12:K18">I12-J12</f>
        <v>8381</v>
      </c>
      <c r="L12" s="111">
        <f aca="true" t="shared" si="5" ref="L12:L91">D12+G12</f>
        <v>4257.7</v>
      </c>
      <c r="M12" s="112"/>
      <c r="N12" s="113">
        <f aca="true" t="shared" si="6" ref="N12:N91">L12-M12</f>
        <v>4257.7</v>
      </c>
      <c r="O12" s="114">
        <f t="shared" si="1"/>
        <v>50.801813626058944</v>
      </c>
      <c r="P12" s="115"/>
    </row>
    <row r="13" spans="1:16" ht="36.75" customHeight="1">
      <c r="A13" s="106" t="s">
        <v>105</v>
      </c>
      <c r="B13" s="107" t="s">
        <v>106</v>
      </c>
      <c r="C13" s="108">
        <v>163810.1</v>
      </c>
      <c r="D13" s="108">
        <v>62738.4</v>
      </c>
      <c r="E13" s="97">
        <f t="shared" si="2"/>
        <v>38.299469935004005</v>
      </c>
      <c r="F13" s="109">
        <v>127355.7</v>
      </c>
      <c r="G13" s="109">
        <v>47087.1</v>
      </c>
      <c r="H13" s="110">
        <f>G13/F13*100</f>
        <v>36.97290345072894</v>
      </c>
      <c r="I13" s="111">
        <f t="shared" si="3"/>
        <v>291165.8</v>
      </c>
      <c r="J13" s="112">
        <v>6855.3</v>
      </c>
      <c r="K13" s="113">
        <f t="shared" si="4"/>
        <v>284310.5</v>
      </c>
      <c r="L13" s="111">
        <f>D13+G13</f>
        <v>109825.5</v>
      </c>
      <c r="M13" s="112">
        <v>0</v>
      </c>
      <c r="N13" s="113">
        <f>L13-M13</f>
        <v>109825.5</v>
      </c>
      <c r="O13" s="114">
        <f t="shared" si="1"/>
        <v>38.62871754648527</v>
      </c>
      <c r="P13" s="115"/>
    </row>
    <row r="14" spans="1:16" ht="22.5" customHeight="1">
      <c r="A14" s="106" t="s">
        <v>107</v>
      </c>
      <c r="B14" s="107" t="s">
        <v>108</v>
      </c>
      <c r="C14" s="108">
        <v>6.1</v>
      </c>
      <c r="D14" s="108">
        <v>0</v>
      </c>
      <c r="E14" s="97">
        <f t="shared" si="2"/>
        <v>0</v>
      </c>
      <c r="F14" s="109">
        <v>0</v>
      </c>
      <c r="G14" s="109"/>
      <c r="H14" s="110">
        <v>0</v>
      </c>
      <c r="I14" s="111">
        <f t="shared" si="3"/>
        <v>6.1</v>
      </c>
      <c r="J14" s="112"/>
      <c r="K14" s="113">
        <f t="shared" si="4"/>
        <v>6.1</v>
      </c>
      <c r="L14" s="111">
        <f>D14+G14</f>
        <v>0</v>
      </c>
      <c r="M14" s="112"/>
      <c r="N14" s="113">
        <f>L14-M14</f>
        <v>0</v>
      </c>
      <c r="O14" s="114">
        <f t="shared" si="1"/>
        <v>0</v>
      </c>
      <c r="P14" s="115"/>
    </row>
    <row r="15" spans="1:16" ht="35.25" customHeight="1">
      <c r="A15" s="106" t="s">
        <v>109</v>
      </c>
      <c r="B15" s="107" t="s">
        <v>110</v>
      </c>
      <c r="C15" s="108">
        <v>33451</v>
      </c>
      <c r="D15" s="108">
        <v>13141.3</v>
      </c>
      <c r="E15" s="97">
        <f t="shared" si="2"/>
        <v>39.2852231622373</v>
      </c>
      <c r="F15" s="109">
        <v>0</v>
      </c>
      <c r="G15" s="109"/>
      <c r="H15" s="110">
        <v>0</v>
      </c>
      <c r="I15" s="111">
        <f t="shared" si="3"/>
        <v>33451</v>
      </c>
      <c r="J15" s="112"/>
      <c r="K15" s="113">
        <f t="shared" si="4"/>
        <v>33451</v>
      </c>
      <c r="L15" s="111">
        <f>D15+G15</f>
        <v>13141.3</v>
      </c>
      <c r="M15" s="112"/>
      <c r="N15" s="113">
        <f t="shared" si="6"/>
        <v>13141.3</v>
      </c>
      <c r="O15" s="114">
        <f t="shared" si="1"/>
        <v>39.2852231622373</v>
      </c>
      <c r="P15" s="115"/>
    </row>
    <row r="16" spans="1:27" ht="30" hidden="1">
      <c r="A16" s="106" t="s">
        <v>111</v>
      </c>
      <c r="B16" s="107" t="s">
        <v>112</v>
      </c>
      <c r="C16" s="108"/>
      <c r="D16" s="108"/>
      <c r="E16" s="97"/>
      <c r="F16" s="109"/>
      <c r="G16" s="109"/>
      <c r="H16" s="110" t="e">
        <f>G16/F16*100</f>
        <v>#DIV/0!</v>
      </c>
      <c r="I16" s="111">
        <f t="shared" si="3"/>
        <v>0</v>
      </c>
      <c r="J16" s="112"/>
      <c r="K16" s="113">
        <f t="shared" si="4"/>
        <v>0</v>
      </c>
      <c r="L16" s="111">
        <f t="shared" si="5"/>
        <v>0</v>
      </c>
      <c r="M16" s="112"/>
      <c r="N16" s="113">
        <f t="shared" si="6"/>
        <v>0</v>
      </c>
      <c r="O16" s="114" t="e">
        <f t="shared" si="1"/>
        <v>#DIV/0!</v>
      </c>
      <c r="P16" s="115"/>
      <c r="AA16" t="s">
        <v>113</v>
      </c>
    </row>
    <row r="17" spans="1:16" ht="24.75" customHeight="1">
      <c r="A17" s="116" t="s">
        <v>114</v>
      </c>
      <c r="B17" s="107" t="s">
        <v>115</v>
      </c>
      <c r="C17" s="108">
        <v>15000</v>
      </c>
      <c r="D17" s="108">
        <v>0</v>
      </c>
      <c r="E17" s="97">
        <f t="shared" si="2"/>
        <v>0</v>
      </c>
      <c r="F17" s="109">
        <v>950</v>
      </c>
      <c r="G17" s="109"/>
      <c r="H17" s="110">
        <f>G17/F17*100</f>
        <v>0</v>
      </c>
      <c r="I17" s="111">
        <f t="shared" si="3"/>
        <v>15950</v>
      </c>
      <c r="J17" s="112"/>
      <c r="K17" s="113">
        <f t="shared" si="4"/>
        <v>15950</v>
      </c>
      <c r="L17" s="111">
        <f t="shared" si="5"/>
        <v>0</v>
      </c>
      <c r="M17" s="112"/>
      <c r="N17" s="113">
        <f t="shared" si="6"/>
        <v>0</v>
      </c>
      <c r="O17" s="114">
        <f t="shared" si="1"/>
        <v>0</v>
      </c>
      <c r="P17" s="115"/>
    </row>
    <row r="18" spans="1:16" ht="28.5" customHeight="1">
      <c r="A18" s="106" t="s">
        <v>116</v>
      </c>
      <c r="B18" s="107" t="s">
        <v>117</v>
      </c>
      <c r="C18" s="108">
        <v>261772.6</v>
      </c>
      <c r="D18" s="108">
        <v>33569.3</v>
      </c>
      <c r="E18" s="97">
        <f t="shared" si="2"/>
        <v>12.823840233851824</v>
      </c>
      <c r="F18" s="109">
        <v>31933.6</v>
      </c>
      <c r="G18" s="109">
        <v>11624.4</v>
      </c>
      <c r="H18" s="110">
        <f>G18/F18*100</f>
        <v>36.40178370117995</v>
      </c>
      <c r="I18" s="111">
        <f t="shared" si="3"/>
        <v>293706.2</v>
      </c>
      <c r="J18" s="112">
        <v>4597.8</v>
      </c>
      <c r="K18" s="113">
        <f t="shared" si="4"/>
        <v>289108.4</v>
      </c>
      <c r="L18" s="111">
        <f>D18+G18</f>
        <v>45193.700000000004</v>
      </c>
      <c r="M18" s="117">
        <v>1828.4</v>
      </c>
      <c r="N18" s="113">
        <f t="shared" si="6"/>
        <v>43365.3</v>
      </c>
      <c r="O18" s="114">
        <f t="shared" si="1"/>
        <v>14.999667944618697</v>
      </c>
      <c r="P18" s="115"/>
    </row>
    <row r="19" spans="1:22" ht="22.5" customHeight="1">
      <c r="A19" s="101" t="s">
        <v>118</v>
      </c>
      <c r="B19" s="102" t="s">
        <v>119</v>
      </c>
      <c r="C19" s="103">
        <f aca="true" t="shared" si="7" ref="C19:N19">C20</f>
        <v>4197.3</v>
      </c>
      <c r="D19" s="103">
        <f t="shared" si="7"/>
        <v>1105.7</v>
      </c>
      <c r="E19" s="103">
        <f t="shared" si="7"/>
        <v>26.34312534248207</v>
      </c>
      <c r="F19" s="103">
        <f t="shared" si="7"/>
        <v>4197.3</v>
      </c>
      <c r="G19" s="103">
        <f t="shared" si="7"/>
        <v>1085.6</v>
      </c>
      <c r="H19" s="118">
        <f t="shared" si="7"/>
        <v>25.864246062945224</v>
      </c>
      <c r="I19" s="103">
        <f>I20</f>
        <v>8394.6</v>
      </c>
      <c r="J19" s="103">
        <f>J20</f>
        <v>4197.3</v>
      </c>
      <c r="K19" s="103">
        <f>K20</f>
        <v>4197.3</v>
      </c>
      <c r="L19" s="103">
        <f t="shared" si="7"/>
        <v>2191.3</v>
      </c>
      <c r="M19" s="103">
        <f>M20</f>
        <v>1105.7</v>
      </c>
      <c r="N19" s="103">
        <f t="shared" si="7"/>
        <v>1085.6000000000001</v>
      </c>
      <c r="O19" s="119">
        <f t="shared" si="1"/>
        <v>25.864246062945227</v>
      </c>
      <c r="P19" s="115"/>
      <c r="V19" t="s">
        <v>39</v>
      </c>
    </row>
    <row r="20" spans="1:16" ht="24.75" customHeight="1">
      <c r="A20" s="120" t="s">
        <v>120</v>
      </c>
      <c r="B20" s="107" t="s">
        <v>121</v>
      </c>
      <c r="C20" s="108">
        <v>4197.3</v>
      </c>
      <c r="D20" s="108">
        <v>1105.7</v>
      </c>
      <c r="E20" s="97">
        <f t="shared" si="2"/>
        <v>26.34312534248207</v>
      </c>
      <c r="F20" s="109">
        <v>4197.3</v>
      </c>
      <c r="G20" s="109">
        <v>1085.6</v>
      </c>
      <c r="H20" s="110">
        <f aca="true" t="shared" si="8" ref="H20:H28">G20/F20*100</f>
        <v>25.864246062945224</v>
      </c>
      <c r="I20" s="111">
        <f aca="true" t="shared" si="9" ref="I20:I91">C20+F20</f>
        <v>8394.6</v>
      </c>
      <c r="J20" s="112">
        <v>4197.3</v>
      </c>
      <c r="K20" s="113">
        <f>I20-J20</f>
        <v>4197.3</v>
      </c>
      <c r="L20" s="111">
        <f>D20+G20</f>
        <v>2191.3</v>
      </c>
      <c r="M20" s="112">
        <v>1105.7</v>
      </c>
      <c r="N20" s="113">
        <f t="shared" si="6"/>
        <v>1085.6000000000001</v>
      </c>
      <c r="O20" s="114">
        <f t="shared" si="1"/>
        <v>25.864246062945227</v>
      </c>
      <c r="P20" s="115"/>
    </row>
    <row r="21" spans="1:16" ht="38.25" customHeight="1">
      <c r="A21" s="101" t="s">
        <v>122</v>
      </c>
      <c r="B21" s="121" t="s">
        <v>123</v>
      </c>
      <c r="C21" s="103">
        <f>C23+C25+C22+C24</f>
        <v>26729.4</v>
      </c>
      <c r="D21" s="103">
        <f>D23+D25+D22+D24</f>
        <v>3431.3</v>
      </c>
      <c r="E21" s="122">
        <f>D21/C21*100</f>
        <v>12.83717554453149</v>
      </c>
      <c r="F21" s="122">
        <f>F23+F25+F22+F24</f>
        <v>5744.7</v>
      </c>
      <c r="G21" s="122">
        <f>G23+G25+G22+G24</f>
        <v>1279.5</v>
      </c>
      <c r="H21" s="122">
        <f t="shared" si="8"/>
        <v>22.27270353543266</v>
      </c>
      <c r="I21" s="122">
        <f aca="true" t="shared" si="10" ref="I21:N21">SUM(I22:I25)</f>
        <v>32474.100000000002</v>
      </c>
      <c r="J21" s="122">
        <f t="shared" si="10"/>
        <v>2825.5</v>
      </c>
      <c r="K21" s="122">
        <f t="shared" si="10"/>
        <v>29648.600000000002</v>
      </c>
      <c r="L21" s="122">
        <f t="shared" si="10"/>
        <v>4710.799999999999</v>
      </c>
      <c r="M21" s="122">
        <f t="shared" si="10"/>
        <v>564</v>
      </c>
      <c r="N21" s="122">
        <f t="shared" si="10"/>
        <v>4146.8</v>
      </c>
      <c r="O21" s="123">
        <f>N21/K21*100</f>
        <v>13.986495146482463</v>
      </c>
      <c r="P21" s="115"/>
    </row>
    <row r="22" spans="1:16" ht="15">
      <c r="A22" s="116" t="s">
        <v>124</v>
      </c>
      <c r="B22" s="107" t="s">
        <v>125</v>
      </c>
      <c r="C22" s="108">
        <v>6191.8</v>
      </c>
      <c r="D22" s="108">
        <v>1920.1</v>
      </c>
      <c r="E22" s="97">
        <f aca="true" t="shared" si="11" ref="E22:E136">D22/C22*100</f>
        <v>31.010368551955807</v>
      </c>
      <c r="F22" s="109">
        <v>910.6</v>
      </c>
      <c r="G22" s="109">
        <v>201.5</v>
      </c>
      <c r="H22" s="110">
        <f t="shared" si="8"/>
        <v>22.128267076652754</v>
      </c>
      <c r="I22" s="111">
        <f>C22+F22</f>
        <v>7102.400000000001</v>
      </c>
      <c r="J22" s="112">
        <v>910.6</v>
      </c>
      <c r="K22" s="113">
        <f>I22-J22</f>
        <v>6191.8</v>
      </c>
      <c r="L22" s="111">
        <f>D22+G22</f>
        <v>2121.6</v>
      </c>
      <c r="M22" s="112">
        <v>211.5</v>
      </c>
      <c r="N22" s="113">
        <f t="shared" si="6"/>
        <v>1910.1</v>
      </c>
      <c r="O22" s="114">
        <f>N22/K22*100</f>
        <v>30.848864627410443</v>
      </c>
      <c r="P22" s="115"/>
    </row>
    <row r="23" spans="1:16" ht="35.25" customHeight="1">
      <c r="A23" s="120" t="s">
        <v>126</v>
      </c>
      <c r="B23" s="107" t="s">
        <v>127</v>
      </c>
      <c r="C23" s="108">
        <v>6829.1</v>
      </c>
      <c r="D23" s="108">
        <v>80.2</v>
      </c>
      <c r="E23" s="97">
        <f t="shared" si="11"/>
        <v>1.174386083085619</v>
      </c>
      <c r="F23" s="109">
        <v>549.1</v>
      </c>
      <c r="G23" s="109">
        <v>43.3</v>
      </c>
      <c r="H23" s="110">
        <f t="shared" si="8"/>
        <v>7.8856310325987975</v>
      </c>
      <c r="I23" s="111">
        <f>C23+F23</f>
        <v>7378.200000000001</v>
      </c>
      <c r="J23" s="112">
        <v>549.1</v>
      </c>
      <c r="K23" s="113">
        <f>I23-J23</f>
        <v>6829.1</v>
      </c>
      <c r="L23" s="111">
        <f>D23+G23</f>
        <v>123.5</v>
      </c>
      <c r="M23" s="112">
        <v>43.3</v>
      </c>
      <c r="N23" s="113">
        <f t="shared" si="6"/>
        <v>80.2</v>
      </c>
      <c r="O23" s="114">
        <f>N23/K23*100</f>
        <v>1.174386083085619</v>
      </c>
      <c r="P23" s="115"/>
    </row>
    <row r="24" spans="1:16" ht="33" customHeight="1">
      <c r="A24" s="120" t="s">
        <v>128</v>
      </c>
      <c r="B24" s="107" t="s">
        <v>129</v>
      </c>
      <c r="C24" s="108">
        <v>13407.2</v>
      </c>
      <c r="D24" s="108">
        <v>1404.8</v>
      </c>
      <c r="E24" s="97">
        <f t="shared" si="11"/>
        <v>10.477952145116056</v>
      </c>
      <c r="F24" s="109">
        <v>3976.1</v>
      </c>
      <c r="G24" s="109">
        <v>1002.4</v>
      </c>
      <c r="H24" s="110">
        <f t="shared" si="8"/>
        <v>25.210633535373862</v>
      </c>
      <c r="I24" s="111">
        <f>C24+F24</f>
        <v>17383.3</v>
      </c>
      <c r="J24" s="112">
        <v>1132</v>
      </c>
      <c r="K24" s="113">
        <f>I24-J24</f>
        <v>16251.3</v>
      </c>
      <c r="L24" s="111">
        <f>D24+G24</f>
        <v>2407.2</v>
      </c>
      <c r="M24" s="112">
        <v>283</v>
      </c>
      <c r="N24" s="113">
        <f t="shared" si="6"/>
        <v>2124.2</v>
      </c>
      <c r="O24" s="114">
        <f>N24/K24*100</f>
        <v>13.070954323654108</v>
      </c>
      <c r="P24" s="115"/>
    </row>
    <row r="25" spans="1:16" ht="50.25" customHeight="1">
      <c r="A25" s="116" t="s">
        <v>130</v>
      </c>
      <c r="B25" s="107" t="s">
        <v>131</v>
      </c>
      <c r="C25" s="108">
        <v>301.3</v>
      </c>
      <c r="D25" s="108">
        <v>26.2</v>
      </c>
      <c r="E25" s="97">
        <f t="shared" si="11"/>
        <v>8.695652173913043</v>
      </c>
      <c r="F25" s="109">
        <v>308.9</v>
      </c>
      <c r="G25" s="109">
        <v>32.3</v>
      </c>
      <c r="H25" s="110">
        <f t="shared" si="8"/>
        <v>10.45645840077695</v>
      </c>
      <c r="I25" s="111">
        <f>C25+F25</f>
        <v>610.2</v>
      </c>
      <c r="J25" s="112">
        <v>233.8</v>
      </c>
      <c r="K25" s="113">
        <f>I25-J25</f>
        <v>376.40000000000003</v>
      </c>
      <c r="L25" s="111">
        <f>D25+G25</f>
        <v>58.5</v>
      </c>
      <c r="M25" s="112">
        <v>26.2</v>
      </c>
      <c r="N25" s="113">
        <f t="shared" si="6"/>
        <v>32.3</v>
      </c>
      <c r="O25" s="114">
        <f>N25/K25*100</f>
        <v>8.581296493092454</v>
      </c>
      <c r="P25" s="115"/>
    </row>
    <row r="26" spans="1:16" ht="37.5" customHeight="1">
      <c r="A26" s="101" t="s">
        <v>132</v>
      </c>
      <c r="B26" s="102" t="s">
        <v>133</v>
      </c>
      <c r="C26" s="103">
        <f>SUM(C27:C58)</f>
        <v>148192.7</v>
      </c>
      <c r="D26" s="103">
        <f>SUM(D27:D58)</f>
        <v>47599.100000000006</v>
      </c>
      <c r="E26" s="103">
        <f>D26/C26*100</f>
        <v>32.11973329320541</v>
      </c>
      <c r="F26" s="103">
        <f>SUM(F27:F58)</f>
        <v>117934.09999999999</v>
      </c>
      <c r="G26" s="103">
        <f>SUM(G27:G58)</f>
        <v>33588.700000000004</v>
      </c>
      <c r="H26" s="104">
        <f t="shared" si="8"/>
        <v>28.480905861833012</v>
      </c>
      <c r="I26" s="103">
        <f aca="true" t="shared" si="12" ref="I26:N26">SUM(I27:I58)</f>
        <v>266126.8</v>
      </c>
      <c r="J26" s="103">
        <f t="shared" si="12"/>
        <v>31890</v>
      </c>
      <c r="K26" s="103">
        <f>SUM(K27:K58)</f>
        <v>234236.80000000002</v>
      </c>
      <c r="L26" s="103">
        <f t="shared" si="12"/>
        <v>81187.79999999999</v>
      </c>
      <c r="M26" s="103">
        <f t="shared" si="12"/>
        <v>8986.4</v>
      </c>
      <c r="N26" s="103">
        <f t="shared" si="12"/>
        <v>72201.40000000001</v>
      </c>
      <c r="O26" s="105">
        <f t="shared" si="1"/>
        <v>30.824106203636664</v>
      </c>
      <c r="P26" s="115"/>
    </row>
    <row r="27" spans="1:16" ht="67.5" customHeight="1">
      <c r="A27" s="124" t="s">
        <v>134</v>
      </c>
      <c r="B27" s="125" t="s">
        <v>135</v>
      </c>
      <c r="C27" s="108">
        <v>23305.7</v>
      </c>
      <c r="D27" s="108">
        <v>8859.4</v>
      </c>
      <c r="E27" s="97">
        <f t="shared" si="11"/>
        <v>38.01387643366215</v>
      </c>
      <c r="F27" s="108">
        <v>11501.5</v>
      </c>
      <c r="G27" s="109">
        <v>7381.1</v>
      </c>
      <c r="H27" s="110">
        <f t="shared" si="8"/>
        <v>64.17510759466157</v>
      </c>
      <c r="I27" s="111">
        <f t="shared" si="9"/>
        <v>34807.2</v>
      </c>
      <c r="J27" s="112">
        <v>11501.5</v>
      </c>
      <c r="K27" s="113">
        <f>I27-J27</f>
        <v>23305.699999999997</v>
      </c>
      <c r="L27" s="111">
        <f>D27+G27</f>
        <v>16240.5</v>
      </c>
      <c r="M27" s="112">
        <v>7311.1</v>
      </c>
      <c r="N27" s="113">
        <f>L27-M27</f>
        <v>8929.4</v>
      </c>
      <c r="O27" s="114">
        <f t="shared" si="1"/>
        <v>38.31423214063513</v>
      </c>
      <c r="P27" s="115"/>
    </row>
    <row r="28" spans="1:16" ht="30" customHeight="1">
      <c r="A28" s="106" t="s">
        <v>136</v>
      </c>
      <c r="B28" s="107" t="s">
        <v>137</v>
      </c>
      <c r="C28" s="108">
        <v>40643.4</v>
      </c>
      <c r="D28" s="108">
        <v>24602.5</v>
      </c>
      <c r="E28" s="97">
        <f t="shared" si="11"/>
        <v>60.532583396074145</v>
      </c>
      <c r="F28" s="109">
        <v>1857.1</v>
      </c>
      <c r="G28" s="109">
        <v>418</v>
      </c>
      <c r="H28" s="110">
        <f t="shared" si="8"/>
        <v>22.508211727962955</v>
      </c>
      <c r="I28" s="111">
        <f t="shared" si="9"/>
        <v>42500.5</v>
      </c>
      <c r="J28" s="112">
        <v>1833.6</v>
      </c>
      <c r="K28" s="113">
        <f aca="true" t="shared" si="13" ref="K28:K60">I28-J28</f>
        <v>40666.9</v>
      </c>
      <c r="L28" s="111">
        <f t="shared" si="5"/>
        <v>25020.5</v>
      </c>
      <c r="M28" s="112">
        <v>396</v>
      </c>
      <c r="N28" s="113">
        <f t="shared" si="6"/>
        <v>24624.5</v>
      </c>
      <c r="O28" s="114">
        <f t="shared" si="1"/>
        <v>60.55170175253093</v>
      </c>
      <c r="P28" s="115"/>
    </row>
    <row r="29" spans="1:16" ht="33" customHeight="1">
      <c r="A29" s="106" t="s">
        <v>138</v>
      </c>
      <c r="B29" s="107" t="s">
        <v>139</v>
      </c>
      <c r="C29" s="108">
        <v>6000</v>
      </c>
      <c r="D29" s="108">
        <v>666.2</v>
      </c>
      <c r="E29" s="97">
        <f t="shared" si="11"/>
        <v>11.103333333333335</v>
      </c>
      <c r="F29" s="109"/>
      <c r="G29" s="109">
        <v>0</v>
      </c>
      <c r="H29" s="110">
        <v>0</v>
      </c>
      <c r="I29" s="111">
        <f t="shared" si="9"/>
        <v>6000</v>
      </c>
      <c r="J29" s="112"/>
      <c r="K29" s="113">
        <f t="shared" si="13"/>
        <v>6000</v>
      </c>
      <c r="L29" s="111">
        <f t="shared" si="5"/>
        <v>666.2</v>
      </c>
      <c r="M29" s="112"/>
      <c r="N29" s="113">
        <f t="shared" si="6"/>
        <v>666.2</v>
      </c>
      <c r="O29" s="114">
        <f t="shared" si="1"/>
        <v>11.103333333333335</v>
      </c>
      <c r="P29" s="115"/>
    </row>
    <row r="30" spans="1:16" ht="54" customHeight="1">
      <c r="A30" s="106" t="s">
        <v>138</v>
      </c>
      <c r="B30" s="107" t="s">
        <v>140</v>
      </c>
      <c r="C30" s="108">
        <v>21416.5</v>
      </c>
      <c r="D30" s="108">
        <v>9119.2</v>
      </c>
      <c r="E30" s="97">
        <f t="shared" si="11"/>
        <v>42.58025354282913</v>
      </c>
      <c r="F30" s="109">
        <v>19065.1</v>
      </c>
      <c r="G30" s="109">
        <v>5319.5</v>
      </c>
      <c r="H30" s="110">
        <f>G30/F30*100</f>
        <v>27.90176815227825</v>
      </c>
      <c r="I30" s="111">
        <f t="shared" si="9"/>
        <v>40481.6</v>
      </c>
      <c r="J30" s="112">
        <v>3161.5</v>
      </c>
      <c r="K30" s="113">
        <f t="shared" si="13"/>
        <v>37320.1</v>
      </c>
      <c r="L30" s="111">
        <f t="shared" si="5"/>
        <v>14438.7</v>
      </c>
      <c r="M30" s="112">
        <v>790.4</v>
      </c>
      <c r="N30" s="113">
        <f t="shared" si="6"/>
        <v>13648.300000000001</v>
      </c>
      <c r="O30" s="114">
        <f t="shared" si="1"/>
        <v>36.57090950988878</v>
      </c>
      <c r="P30" s="115"/>
    </row>
    <row r="31" spans="1:16" ht="33.75" customHeight="1">
      <c r="A31" s="106" t="s">
        <v>138</v>
      </c>
      <c r="B31" s="107" t="s">
        <v>141</v>
      </c>
      <c r="C31" s="108">
        <v>25360</v>
      </c>
      <c r="D31" s="108">
        <v>0</v>
      </c>
      <c r="E31" s="97">
        <f t="shared" si="11"/>
        <v>0</v>
      </c>
      <c r="F31" s="109">
        <v>0</v>
      </c>
      <c r="G31" s="109"/>
      <c r="H31" s="110">
        <v>0</v>
      </c>
      <c r="I31" s="111">
        <f t="shared" si="9"/>
        <v>25360</v>
      </c>
      <c r="J31" s="112"/>
      <c r="K31" s="113">
        <f t="shared" si="13"/>
        <v>25360</v>
      </c>
      <c r="L31" s="111">
        <f t="shared" si="5"/>
        <v>0</v>
      </c>
      <c r="M31" s="112"/>
      <c r="N31" s="113">
        <f t="shared" si="6"/>
        <v>0</v>
      </c>
      <c r="O31" s="114">
        <f t="shared" si="1"/>
        <v>0</v>
      </c>
      <c r="P31" s="115"/>
    </row>
    <row r="32" spans="1:16" ht="60" hidden="1">
      <c r="A32" s="106" t="s">
        <v>142</v>
      </c>
      <c r="B32" s="126" t="s">
        <v>143</v>
      </c>
      <c r="C32" s="108"/>
      <c r="D32" s="108"/>
      <c r="E32" s="97"/>
      <c r="F32" s="109">
        <v>0</v>
      </c>
      <c r="G32" s="109"/>
      <c r="H32" s="110"/>
      <c r="I32" s="111">
        <f t="shared" si="9"/>
        <v>0</v>
      </c>
      <c r="J32" s="112"/>
      <c r="K32" s="113">
        <f t="shared" si="13"/>
        <v>0</v>
      </c>
      <c r="L32" s="111">
        <f t="shared" si="5"/>
        <v>0</v>
      </c>
      <c r="M32" s="112"/>
      <c r="N32" s="113">
        <f t="shared" si="6"/>
        <v>0</v>
      </c>
      <c r="O32" s="114"/>
      <c r="P32" s="115"/>
    </row>
    <row r="33" spans="1:16" ht="60" hidden="1">
      <c r="A33" s="116" t="s">
        <v>142</v>
      </c>
      <c r="B33" s="126" t="s">
        <v>144</v>
      </c>
      <c r="C33" s="108"/>
      <c r="D33" s="108"/>
      <c r="E33" s="97"/>
      <c r="F33" s="109">
        <v>0</v>
      </c>
      <c r="G33" s="109"/>
      <c r="H33" s="110"/>
      <c r="I33" s="111">
        <f t="shared" si="9"/>
        <v>0</v>
      </c>
      <c r="J33" s="112"/>
      <c r="K33" s="113">
        <f t="shared" si="13"/>
        <v>0</v>
      </c>
      <c r="L33" s="111">
        <f t="shared" si="5"/>
        <v>0</v>
      </c>
      <c r="M33" s="112"/>
      <c r="N33" s="113">
        <f t="shared" si="6"/>
        <v>0</v>
      </c>
      <c r="O33" s="114"/>
      <c r="P33" s="115"/>
    </row>
    <row r="34" spans="1:16" ht="47.25" customHeight="1">
      <c r="A34" s="116" t="s">
        <v>142</v>
      </c>
      <c r="B34" s="107" t="s">
        <v>145</v>
      </c>
      <c r="C34" s="108">
        <v>521.5</v>
      </c>
      <c r="D34" s="108">
        <v>281.5</v>
      </c>
      <c r="E34" s="97">
        <f t="shared" si="11"/>
        <v>53.97890699904123</v>
      </c>
      <c r="F34" s="109">
        <v>0</v>
      </c>
      <c r="G34" s="109"/>
      <c r="H34" s="110" t="e">
        <f>G34/F34*100</f>
        <v>#DIV/0!</v>
      </c>
      <c r="I34" s="111">
        <f t="shared" si="9"/>
        <v>521.5</v>
      </c>
      <c r="J34" s="112"/>
      <c r="K34" s="113">
        <f t="shared" si="13"/>
        <v>521.5</v>
      </c>
      <c r="L34" s="111">
        <f t="shared" si="5"/>
        <v>281.5</v>
      </c>
      <c r="M34" s="112"/>
      <c r="N34" s="113">
        <f t="shared" si="6"/>
        <v>281.5</v>
      </c>
      <c r="O34" s="114">
        <f t="shared" si="1"/>
        <v>53.97890699904123</v>
      </c>
      <c r="P34" s="115"/>
    </row>
    <row r="35" spans="1:16" ht="105" hidden="1">
      <c r="A35" s="116" t="s">
        <v>142</v>
      </c>
      <c r="B35" s="107" t="s">
        <v>146</v>
      </c>
      <c r="C35" s="108"/>
      <c r="D35" s="108"/>
      <c r="E35" s="97" t="e">
        <f t="shared" si="11"/>
        <v>#DIV/0!</v>
      </c>
      <c r="F35" s="109"/>
      <c r="G35" s="109"/>
      <c r="H35" s="110" t="e">
        <f>G35/F35*100</f>
        <v>#DIV/0!</v>
      </c>
      <c r="I35" s="111">
        <f t="shared" si="9"/>
        <v>0</v>
      </c>
      <c r="J35" s="112"/>
      <c r="K35" s="113">
        <f t="shared" si="13"/>
        <v>0</v>
      </c>
      <c r="L35" s="111">
        <f t="shared" si="5"/>
        <v>0</v>
      </c>
      <c r="M35" s="112"/>
      <c r="N35" s="113">
        <f t="shared" si="6"/>
        <v>0</v>
      </c>
      <c r="O35" s="114" t="e">
        <f t="shared" si="1"/>
        <v>#DIV/0!</v>
      </c>
      <c r="P35" s="115"/>
    </row>
    <row r="36" spans="1:16" ht="75" hidden="1">
      <c r="A36" s="116" t="s">
        <v>142</v>
      </c>
      <c r="B36" s="107" t="s">
        <v>147</v>
      </c>
      <c r="C36" s="108"/>
      <c r="D36" s="108"/>
      <c r="E36" s="97" t="e">
        <f t="shared" si="11"/>
        <v>#DIV/0!</v>
      </c>
      <c r="F36" s="109"/>
      <c r="G36" s="109"/>
      <c r="H36" s="110" t="e">
        <f aca="true" t="shared" si="14" ref="H36:H58">G36/F36*100</f>
        <v>#DIV/0!</v>
      </c>
      <c r="I36" s="111">
        <f t="shared" si="9"/>
        <v>0</v>
      </c>
      <c r="J36" s="112"/>
      <c r="K36" s="113">
        <f t="shared" si="13"/>
        <v>0</v>
      </c>
      <c r="L36" s="111">
        <f t="shared" si="5"/>
        <v>0</v>
      </c>
      <c r="M36" s="112"/>
      <c r="N36" s="113">
        <f t="shared" si="6"/>
        <v>0</v>
      </c>
      <c r="O36" s="114" t="e">
        <f t="shared" si="1"/>
        <v>#DIV/0!</v>
      </c>
      <c r="P36" s="115"/>
    </row>
    <row r="37" spans="1:16" ht="50.25" customHeight="1" hidden="1">
      <c r="A37" s="116" t="s">
        <v>142</v>
      </c>
      <c r="B37" s="107" t="s">
        <v>148</v>
      </c>
      <c r="C37" s="108"/>
      <c r="D37" s="108"/>
      <c r="E37" s="97" t="e">
        <f t="shared" si="11"/>
        <v>#DIV/0!</v>
      </c>
      <c r="F37" s="109"/>
      <c r="G37" s="109"/>
      <c r="H37" s="110" t="e">
        <f t="shared" si="14"/>
        <v>#DIV/0!</v>
      </c>
      <c r="I37" s="111">
        <f t="shared" si="9"/>
        <v>0</v>
      </c>
      <c r="J37" s="112"/>
      <c r="K37" s="113">
        <f t="shared" si="13"/>
        <v>0</v>
      </c>
      <c r="L37" s="111">
        <f t="shared" si="5"/>
        <v>0</v>
      </c>
      <c r="M37" s="112"/>
      <c r="N37" s="113">
        <f t="shared" si="6"/>
        <v>0</v>
      </c>
      <c r="O37" s="114" t="e">
        <f t="shared" si="1"/>
        <v>#DIV/0!</v>
      </c>
      <c r="P37" s="115"/>
    </row>
    <row r="38" spans="1:16" ht="88.5" customHeight="1">
      <c r="A38" s="124" t="s">
        <v>142</v>
      </c>
      <c r="B38" s="107" t="s">
        <v>149</v>
      </c>
      <c r="C38" s="108">
        <v>14057.7</v>
      </c>
      <c r="D38" s="108">
        <v>298</v>
      </c>
      <c r="E38" s="97">
        <f t="shared" si="11"/>
        <v>2.1198346813490114</v>
      </c>
      <c r="F38" s="109">
        <v>79241.4</v>
      </c>
      <c r="G38" s="109">
        <v>18354.7</v>
      </c>
      <c r="H38" s="110">
        <f t="shared" si="14"/>
        <v>23.16301832123108</v>
      </c>
      <c r="I38" s="111">
        <f t="shared" si="9"/>
        <v>93299.09999999999</v>
      </c>
      <c r="J38" s="112">
        <v>14057.7</v>
      </c>
      <c r="K38" s="113">
        <f t="shared" si="13"/>
        <v>79241.4</v>
      </c>
      <c r="L38" s="111">
        <f t="shared" si="5"/>
        <v>18652.7</v>
      </c>
      <c r="M38" s="112">
        <v>298</v>
      </c>
      <c r="N38" s="113">
        <f t="shared" si="6"/>
        <v>18354.7</v>
      </c>
      <c r="O38" s="114">
        <f t="shared" si="1"/>
        <v>23.16301832123108</v>
      </c>
      <c r="P38" s="115"/>
    </row>
    <row r="39" spans="1:16" ht="45" hidden="1">
      <c r="A39" s="124" t="s">
        <v>142</v>
      </c>
      <c r="B39" s="107" t="s">
        <v>150</v>
      </c>
      <c r="C39" s="108"/>
      <c r="D39" s="108"/>
      <c r="E39" s="97"/>
      <c r="F39" s="109"/>
      <c r="G39" s="109"/>
      <c r="H39" s="110" t="e">
        <f t="shared" si="14"/>
        <v>#DIV/0!</v>
      </c>
      <c r="I39" s="111">
        <f t="shared" si="9"/>
        <v>0</v>
      </c>
      <c r="J39" s="112"/>
      <c r="K39" s="113">
        <f t="shared" si="13"/>
        <v>0</v>
      </c>
      <c r="L39" s="111">
        <f t="shared" si="5"/>
        <v>0</v>
      </c>
      <c r="M39" s="112"/>
      <c r="N39" s="113">
        <f t="shared" si="6"/>
        <v>0</v>
      </c>
      <c r="O39" s="114" t="e">
        <f t="shared" si="1"/>
        <v>#DIV/0!</v>
      </c>
      <c r="P39" s="115"/>
    </row>
    <row r="40" spans="1:16" ht="45" hidden="1">
      <c r="A40" s="116" t="s">
        <v>142</v>
      </c>
      <c r="B40" s="107" t="s">
        <v>151</v>
      </c>
      <c r="C40" s="108"/>
      <c r="D40" s="108"/>
      <c r="E40" s="97" t="e">
        <f t="shared" si="11"/>
        <v>#DIV/0!</v>
      </c>
      <c r="F40" s="109">
        <v>0</v>
      </c>
      <c r="G40" s="109"/>
      <c r="H40" s="110" t="e">
        <f t="shared" si="14"/>
        <v>#DIV/0!</v>
      </c>
      <c r="I40" s="111">
        <f t="shared" si="9"/>
        <v>0</v>
      </c>
      <c r="J40" s="112"/>
      <c r="K40" s="113">
        <f t="shared" si="13"/>
        <v>0</v>
      </c>
      <c r="L40" s="111">
        <f t="shared" si="5"/>
        <v>0</v>
      </c>
      <c r="M40" s="112"/>
      <c r="N40" s="113">
        <f t="shared" si="6"/>
        <v>0</v>
      </c>
      <c r="O40" s="114" t="e">
        <f t="shared" si="1"/>
        <v>#DIV/0!</v>
      </c>
      <c r="P40" s="115"/>
    </row>
    <row r="41" spans="1:16" ht="30" hidden="1">
      <c r="A41" s="116" t="s">
        <v>142</v>
      </c>
      <c r="B41" s="107" t="s">
        <v>152</v>
      </c>
      <c r="C41" s="108"/>
      <c r="D41" s="108"/>
      <c r="E41" s="97"/>
      <c r="F41" s="109"/>
      <c r="G41" s="109"/>
      <c r="H41" s="110" t="e">
        <f t="shared" si="14"/>
        <v>#DIV/0!</v>
      </c>
      <c r="I41" s="111">
        <f t="shared" si="9"/>
        <v>0</v>
      </c>
      <c r="J41" s="112"/>
      <c r="K41" s="113">
        <f t="shared" si="13"/>
        <v>0</v>
      </c>
      <c r="L41" s="111">
        <f t="shared" si="5"/>
        <v>0</v>
      </c>
      <c r="M41" s="112"/>
      <c r="N41" s="113">
        <f t="shared" si="6"/>
        <v>0</v>
      </c>
      <c r="O41" s="114" t="e">
        <f t="shared" si="1"/>
        <v>#DIV/0!</v>
      </c>
      <c r="P41" s="115"/>
    </row>
    <row r="42" spans="1:16" ht="45" hidden="1">
      <c r="A42" s="116" t="s">
        <v>142</v>
      </c>
      <c r="B42" s="107" t="s">
        <v>153</v>
      </c>
      <c r="C42" s="108"/>
      <c r="D42" s="108"/>
      <c r="E42" s="97"/>
      <c r="F42" s="109"/>
      <c r="G42" s="109"/>
      <c r="H42" s="110" t="e">
        <f t="shared" si="14"/>
        <v>#DIV/0!</v>
      </c>
      <c r="I42" s="111">
        <f t="shared" si="9"/>
        <v>0</v>
      </c>
      <c r="J42" s="112"/>
      <c r="K42" s="113">
        <f t="shared" si="13"/>
        <v>0</v>
      </c>
      <c r="L42" s="111">
        <f t="shared" si="5"/>
        <v>0</v>
      </c>
      <c r="M42" s="112"/>
      <c r="N42" s="113">
        <f t="shared" si="6"/>
        <v>0</v>
      </c>
      <c r="O42" s="114" t="e">
        <f t="shared" si="1"/>
        <v>#DIV/0!</v>
      </c>
      <c r="P42" s="115"/>
    </row>
    <row r="43" spans="1:16" ht="60" hidden="1">
      <c r="A43" s="116" t="s">
        <v>142</v>
      </c>
      <c r="B43" s="107" t="s">
        <v>154</v>
      </c>
      <c r="C43" s="108">
        <v>0</v>
      </c>
      <c r="D43" s="108"/>
      <c r="E43" s="97"/>
      <c r="F43" s="109"/>
      <c r="G43" s="109"/>
      <c r="H43" s="110" t="e">
        <f t="shared" si="14"/>
        <v>#DIV/0!</v>
      </c>
      <c r="I43" s="111">
        <f t="shared" si="9"/>
        <v>0</v>
      </c>
      <c r="J43" s="112"/>
      <c r="K43" s="113">
        <f t="shared" si="13"/>
        <v>0</v>
      </c>
      <c r="L43" s="111">
        <f t="shared" si="5"/>
        <v>0</v>
      </c>
      <c r="M43" s="112"/>
      <c r="N43" s="113">
        <f t="shared" si="6"/>
        <v>0</v>
      </c>
      <c r="O43" s="114" t="e">
        <f t="shared" si="1"/>
        <v>#DIV/0!</v>
      </c>
      <c r="P43" s="115"/>
    </row>
    <row r="44" spans="1:16" ht="30" hidden="1">
      <c r="A44" s="116" t="s">
        <v>142</v>
      </c>
      <c r="B44" s="107" t="s">
        <v>155</v>
      </c>
      <c r="C44" s="108"/>
      <c r="D44" s="108"/>
      <c r="E44" s="108"/>
      <c r="F44" s="109"/>
      <c r="G44" s="109"/>
      <c r="H44" s="110" t="e">
        <f t="shared" si="14"/>
        <v>#DIV/0!</v>
      </c>
      <c r="I44" s="111">
        <f t="shared" si="9"/>
        <v>0</v>
      </c>
      <c r="J44" s="112"/>
      <c r="K44" s="113">
        <f t="shared" si="13"/>
        <v>0</v>
      </c>
      <c r="L44" s="111">
        <f t="shared" si="5"/>
        <v>0</v>
      </c>
      <c r="M44" s="112"/>
      <c r="N44" s="113">
        <f t="shared" si="6"/>
        <v>0</v>
      </c>
      <c r="O44" s="114" t="e">
        <f t="shared" si="1"/>
        <v>#DIV/0!</v>
      </c>
      <c r="P44" s="115"/>
    </row>
    <row r="45" spans="1:16" ht="45" hidden="1">
      <c r="A45" s="116" t="s">
        <v>142</v>
      </c>
      <c r="B45" s="107" t="s">
        <v>156</v>
      </c>
      <c r="C45" s="108"/>
      <c r="D45" s="108"/>
      <c r="E45" s="97"/>
      <c r="F45" s="109"/>
      <c r="G45" s="109"/>
      <c r="H45" s="110" t="e">
        <f t="shared" si="14"/>
        <v>#DIV/0!</v>
      </c>
      <c r="I45" s="111">
        <f t="shared" si="9"/>
        <v>0</v>
      </c>
      <c r="J45" s="112"/>
      <c r="K45" s="113">
        <f t="shared" si="13"/>
        <v>0</v>
      </c>
      <c r="L45" s="111">
        <f t="shared" si="5"/>
        <v>0</v>
      </c>
      <c r="M45" s="112"/>
      <c r="N45" s="113">
        <f t="shared" si="6"/>
        <v>0</v>
      </c>
      <c r="O45" s="114" t="e">
        <f t="shared" si="1"/>
        <v>#DIV/0!</v>
      </c>
      <c r="P45" s="115"/>
    </row>
    <row r="46" spans="1:16" ht="30.75" customHeight="1">
      <c r="A46" s="120" t="s">
        <v>157</v>
      </c>
      <c r="B46" s="107" t="s">
        <v>158</v>
      </c>
      <c r="C46" s="108">
        <v>4484</v>
      </c>
      <c r="D46" s="108">
        <v>763.2</v>
      </c>
      <c r="E46" s="97">
        <f t="shared" si="11"/>
        <v>17.020517395182875</v>
      </c>
      <c r="F46" s="109">
        <v>4933.2</v>
      </c>
      <c r="G46" s="109">
        <v>1924.5</v>
      </c>
      <c r="H46" s="109">
        <f t="shared" si="14"/>
        <v>39.01118949160789</v>
      </c>
      <c r="I46" s="111">
        <f t="shared" si="9"/>
        <v>9417.2</v>
      </c>
      <c r="J46" s="112"/>
      <c r="K46" s="113">
        <f t="shared" si="13"/>
        <v>9417.2</v>
      </c>
      <c r="L46" s="111">
        <f t="shared" si="5"/>
        <v>2687.7</v>
      </c>
      <c r="M46" s="112"/>
      <c r="N46" s="113">
        <f t="shared" si="6"/>
        <v>2687.7</v>
      </c>
      <c r="O46" s="114">
        <f t="shared" si="1"/>
        <v>28.54033045915983</v>
      </c>
      <c r="P46" s="115"/>
    </row>
    <row r="47" spans="1:16" ht="77.25" customHeight="1">
      <c r="A47" s="106" t="s">
        <v>159</v>
      </c>
      <c r="B47" s="126" t="s">
        <v>160</v>
      </c>
      <c r="C47" s="108">
        <v>3500</v>
      </c>
      <c r="D47" s="108">
        <v>333.1</v>
      </c>
      <c r="E47" s="108">
        <f t="shared" si="11"/>
        <v>9.517142857142858</v>
      </c>
      <c r="F47" s="109">
        <v>1335.8</v>
      </c>
      <c r="G47" s="109">
        <v>190.9</v>
      </c>
      <c r="H47" s="109">
        <f t="shared" si="14"/>
        <v>14.291061536158109</v>
      </c>
      <c r="I47" s="111">
        <f t="shared" si="9"/>
        <v>4835.8</v>
      </c>
      <c r="J47" s="112">
        <v>1335.7</v>
      </c>
      <c r="K47" s="113">
        <f t="shared" si="13"/>
        <v>3500.1000000000004</v>
      </c>
      <c r="L47" s="111">
        <f t="shared" si="5"/>
        <v>524</v>
      </c>
      <c r="M47" s="112">
        <v>190.9</v>
      </c>
      <c r="N47" s="113">
        <f t="shared" si="6"/>
        <v>333.1</v>
      </c>
      <c r="O47" s="114">
        <f t="shared" si="1"/>
        <v>9.516870946544383</v>
      </c>
      <c r="P47" s="115"/>
    </row>
    <row r="48" spans="1:16" ht="63.75" customHeight="1">
      <c r="A48" s="106" t="s">
        <v>159</v>
      </c>
      <c r="B48" s="126" t="s">
        <v>161</v>
      </c>
      <c r="C48" s="108">
        <v>516.1</v>
      </c>
      <c r="D48" s="108">
        <v>154.8</v>
      </c>
      <c r="E48" s="108">
        <f t="shared" si="11"/>
        <v>29.994187173028486</v>
      </c>
      <c r="F48" s="109"/>
      <c r="G48" s="109"/>
      <c r="H48" s="109" t="e">
        <f t="shared" si="14"/>
        <v>#DIV/0!</v>
      </c>
      <c r="I48" s="111">
        <f t="shared" si="9"/>
        <v>516.1</v>
      </c>
      <c r="J48" s="112"/>
      <c r="K48" s="113">
        <f t="shared" si="13"/>
        <v>516.1</v>
      </c>
      <c r="L48" s="111">
        <f t="shared" si="5"/>
        <v>154.8</v>
      </c>
      <c r="M48" s="112"/>
      <c r="N48" s="113">
        <f t="shared" si="6"/>
        <v>154.8</v>
      </c>
      <c r="O48" s="114">
        <f t="shared" si="1"/>
        <v>29.994187173028486</v>
      </c>
      <c r="P48" s="115"/>
    </row>
    <row r="49" spans="1:16" ht="95.25" customHeight="1">
      <c r="A49" s="106" t="s">
        <v>159</v>
      </c>
      <c r="B49" s="126" t="s">
        <v>162</v>
      </c>
      <c r="C49" s="108">
        <v>6174.8</v>
      </c>
      <c r="D49" s="109">
        <v>1968.3</v>
      </c>
      <c r="E49" s="97">
        <f t="shared" si="11"/>
        <v>31.87633607566237</v>
      </c>
      <c r="F49" s="109">
        <v>0</v>
      </c>
      <c r="G49" s="109"/>
      <c r="H49" s="109" t="e">
        <f t="shared" si="14"/>
        <v>#DIV/0!</v>
      </c>
      <c r="I49" s="111">
        <f t="shared" si="9"/>
        <v>6174.8</v>
      </c>
      <c r="J49" s="112"/>
      <c r="K49" s="113">
        <f t="shared" si="13"/>
        <v>6174.8</v>
      </c>
      <c r="L49" s="111">
        <f t="shared" si="5"/>
        <v>1968.3</v>
      </c>
      <c r="M49" s="112"/>
      <c r="N49" s="113">
        <f t="shared" si="6"/>
        <v>1968.3</v>
      </c>
      <c r="O49" s="114">
        <f t="shared" si="1"/>
        <v>31.87633607566237</v>
      </c>
      <c r="P49" s="115"/>
    </row>
    <row r="50" spans="1:16" ht="45" customHeight="1">
      <c r="A50" s="116" t="s">
        <v>159</v>
      </c>
      <c r="B50" s="126" t="s">
        <v>163</v>
      </c>
      <c r="C50" s="108">
        <v>216</v>
      </c>
      <c r="D50" s="109">
        <v>0</v>
      </c>
      <c r="E50" s="108">
        <f t="shared" si="11"/>
        <v>0</v>
      </c>
      <c r="F50" s="109"/>
      <c r="G50" s="109"/>
      <c r="H50" s="109" t="e">
        <f t="shared" si="14"/>
        <v>#DIV/0!</v>
      </c>
      <c r="I50" s="111">
        <f t="shared" si="9"/>
        <v>216</v>
      </c>
      <c r="J50" s="112"/>
      <c r="K50" s="113">
        <f t="shared" si="13"/>
        <v>216</v>
      </c>
      <c r="L50" s="111">
        <f t="shared" si="5"/>
        <v>0</v>
      </c>
      <c r="M50" s="112"/>
      <c r="N50" s="113">
        <f t="shared" si="6"/>
        <v>0</v>
      </c>
      <c r="O50" s="114">
        <f t="shared" si="1"/>
        <v>0</v>
      </c>
      <c r="P50" s="115"/>
    </row>
    <row r="51" spans="1:16" ht="108.75" customHeight="1">
      <c r="A51" s="116" t="s">
        <v>159</v>
      </c>
      <c r="B51" s="126" t="s">
        <v>164</v>
      </c>
      <c r="C51" s="108">
        <v>263.2</v>
      </c>
      <c r="D51" s="109"/>
      <c r="E51" s="108">
        <f>D51/C51*100</f>
        <v>0</v>
      </c>
      <c r="F51" s="109"/>
      <c r="G51" s="109"/>
      <c r="H51" s="109" t="e">
        <f>G51/F51*100</f>
        <v>#DIV/0!</v>
      </c>
      <c r="I51" s="111">
        <f t="shared" si="9"/>
        <v>263.2</v>
      </c>
      <c r="J51" s="112"/>
      <c r="K51" s="113">
        <f t="shared" si="13"/>
        <v>263.2</v>
      </c>
      <c r="L51" s="111"/>
      <c r="M51" s="112"/>
      <c r="N51" s="113"/>
      <c r="O51" s="114">
        <f>N51/K51*100</f>
        <v>0</v>
      </c>
      <c r="P51" s="115"/>
    </row>
    <row r="52" spans="1:16" ht="56.25" customHeight="1">
      <c r="A52" s="116" t="s">
        <v>159</v>
      </c>
      <c r="B52" s="126" t="s">
        <v>165</v>
      </c>
      <c r="C52" s="108">
        <v>1733.8</v>
      </c>
      <c r="D52" s="109">
        <v>552.9</v>
      </c>
      <c r="E52" s="108">
        <f t="shared" si="11"/>
        <v>31.889491290806323</v>
      </c>
      <c r="F52" s="109">
        <v>0</v>
      </c>
      <c r="G52" s="109"/>
      <c r="H52" s="109" t="e">
        <f t="shared" si="14"/>
        <v>#DIV/0!</v>
      </c>
      <c r="I52" s="111">
        <f t="shared" si="9"/>
        <v>1733.8</v>
      </c>
      <c r="J52" s="112"/>
      <c r="K52" s="113">
        <f t="shared" si="13"/>
        <v>1733.8</v>
      </c>
      <c r="L52" s="111">
        <f>D52+G52</f>
        <v>552.9</v>
      </c>
      <c r="M52" s="112"/>
      <c r="N52" s="113">
        <f t="shared" si="6"/>
        <v>552.9</v>
      </c>
      <c r="O52" s="114">
        <f t="shared" si="1"/>
        <v>31.889491290806323</v>
      </c>
      <c r="P52" s="115"/>
    </row>
    <row r="53" spans="1:16" ht="75" hidden="1">
      <c r="A53" s="116" t="s">
        <v>159</v>
      </c>
      <c r="B53" s="126" t="s">
        <v>166</v>
      </c>
      <c r="C53" s="108"/>
      <c r="D53" s="109"/>
      <c r="E53" s="108" t="e">
        <f t="shared" si="11"/>
        <v>#DIV/0!</v>
      </c>
      <c r="F53" s="109"/>
      <c r="G53" s="109"/>
      <c r="H53" s="109" t="e">
        <f t="shared" si="14"/>
        <v>#DIV/0!</v>
      </c>
      <c r="I53" s="111">
        <f t="shared" si="9"/>
        <v>0</v>
      </c>
      <c r="J53" s="112"/>
      <c r="K53" s="113">
        <f t="shared" si="13"/>
        <v>0</v>
      </c>
      <c r="L53" s="111">
        <f t="shared" si="5"/>
        <v>0</v>
      </c>
      <c r="M53" s="112"/>
      <c r="N53" s="113">
        <f t="shared" si="6"/>
        <v>0</v>
      </c>
      <c r="O53" s="114" t="e">
        <f t="shared" si="1"/>
        <v>#DIV/0!</v>
      </c>
      <c r="P53" s="115"/>
    </row>
    <row r="54" spans="1:16" ht="45" hidden="1">
      <c r="A54" s="116" t="s">
        <v>159</v>
      </c>
      <c r="B54" s="126" t="s">
        <v>167</v>
      </c>
      <c r="C54" s="108"/>
      <c r="D54" s="109"/>
      <c r="E54" s="108" t="e">
        <f t="shared" si="11"/>
        <v>#DIV/0!</v>
      </c>
      <c r="F54" s="109"/>
      <c r="G54" s="109"/>
      <c r="H54" s="109" t="e">
        <f t="shared" si="14"/>
        <v>#DIV/0!</v>
      </c>
      <c r="I54" s="111">
        <f t="shared" si="9"/>
        <v>0</v>
      </c>
      <c r="J54" s="112"/>
      <c r="K54" s="113">
        <f t="shared" si="13"/>
        <v>0</v>
      </c>
      <c r="L54" s="111">
        <f t="shared" si="5"/>
        <v>0</v>
      </c>
      <c r="M54" s="112"/>
      <c r="N54" s="113">
        <f t="shared" si="6"/>
        <v>0</v>
      </c>
      <c r="O54" s="114" t="e">
        <f t="shared" si="1"/>
        <v>#DIV/0!</v>
      </c>
      <c r="P54" s="115"/>
    </row>
    <row r="55" spans="1:16" ht="45" hidden="1">
      <c r="A55" s="116" t="s">
        <v>159</v>
      </c>
      <c r="B55" s="126" t="s">
        <v>168</v>
      </c>
      <c r="C55" s="108"/>
      <c r="D55" s="109"/>
      <c r="E55" s="108" t="e">
        <f>D55/C55*100</f>
        <v>#DIV/0!</v>
      </c>
      <c r="F55" s="109"/>
      <c r="G55" s="109"/>
      <c r="H55" s="109" t="e">
        <f t="shared" si="14"/>
        <v>#DIV/0!</v>
      </c>
      <c r="I55" s="111">
        <f t="shared" si="9"/>
        <v>0</v>
      </c>
      <c r="J55" s="112"/>
      <c r="K55" s="113">
        <f t="shared" si="13"/>
        <v>0</v>
      </c>
      <c r="L55" s="111">
        <f t="shared" si="5"/>
        <v>0</v>
      </c>
      <c r="M55" s="112"/>
      <c r="N55" s="113">
        <f t="shared" si="6"/>
        <v>0</v>
      </c>
      <c r="O55" s="114" t="e">
        <f t="shared" si="1"/>
        <v>#DIV/0!</v>
      </c>
      <c r="P55" s="115"/>
    </row>
    <row r="56" spans="1:16" ht="90" hidden="1">
      <c r="A56" s="116" t="s">
        <v>159</v>
      </c>
      <c r="B56" s="126" t="s">
        <v>169</v>
      </c>
      <c r="C56" s="108"/>
      <c r="D56" s="109"/>
      <c r="E56" s="108" t="e">
        <f>D56/C56*100</f>
        <v>#DIV/0!</v>
      </c>
      <c r="F56" s="109"/>
      <c r="G56" s="109"/>
      <c r="H56" s="109"/>
      <c r="I56" s="111">
        <f t="shared" si="9"/>
        <v>0</v>
      </c>
      <c r="J56" s="112"/>
      <c r="K56" s="113">
        <f t="shared" si="13"/>
        <v>0</v>
      </c>
      <c r="L56" s="111">
        <f t="shared" si="5"/>
        <v>0</v>
      </c>
      <c r="M56" s="112"/>
      <c r="N56" s="113">
        <f t="shared" si="6"/>
        <v>0</v>
      </c>
      <c r="O56" s="114" t="e">
        <f t="shared" si="1"/>
        <v>#DIV/0!</v>
      </c>
      <c r="P56" s="115"/>
    </row>
    <row r="57" spans="1:16" ht="45" hidden="1">
      <c r="A57" s="116" t="s">
        <v>159</v>
      </c>
      <c r="B57" s="126" t="s">
        <v>170</v>
      </c>
      <c r="C57" s="108">
        <v>0</v>
      </c>
      <c r="D57" s="109">
        <v>0</v>
      </c>
      <c r="E57" s="108"/>
      <c r="F57" s="109"/>
      <c r="G57" s="109"/>
      <c r="H57" s="109" t="e">
        <f>G57/F57*100</f>
        <v>#DIV/0!</v>
      </c>
      <c r="I57" s="111">
        <f t="shared" si="9"/>
        <v>0</v>
      </c>
      <c r="J57" s="112"/>
      <c r="K57" s="113">
        <f t="shared" si="13"/>
        <v>0</v>
      </c>
      <c r="L57" s="111">
        <f t="shared" si="5"/>
        <v>0</v>
      </c>
      <c r="M57" s="112"/>
      <c r="N57" s="113">
        <f t="shared" si="6"/>
        <v>0</v>
      </c>
      <c r="O57" s="114" t="e">
        <f t="shared" si="1"/>
        <v>#DIV/0!</v>
      </c>
      <c r="P57" s="115"/>
    </row>
    <row r="58" spans="1:16" ht="45" hidden="1">
      <c r="A58" s="116" t="s">
        <v>159</v>
      </c>
      <c r="B58" s="126" t="s">
        <v>171</v>
      </c>
      <c r="C58" s="108">
        <v>0</v>
      </c>
      <c r="D58" s="109">
        <v>0</v>
      </c>
      <c r="E58" s="108"/>
      <c r="F58" s="109"/>
      <c r="G58" s="109"/>
      <c r="H58" s="109" t="e">
        <f t="shared" si="14"/>
        <v>#DIV/0!</v>
      </c>
      <c r="I58" s="111">
        <f t="shared" si="9"/>
        <v>0</v>
      </c>
      <c r="J58" s="112"/>
      <c r="K58" s="113">
        <f t="shared" si="13"/>
        <v>0</v>
      </c>
      <c r="L58" s="111">
        <f t="shared" si="5"/>
        <v>0</v>
      </c>
      <c r="M58" s="112"/>
      <c r="N58" s="113">
        <f t="shared" si="6"/>
        <v>0</v>
      </c>
      <c r="O58" s="114" t="e">
        <f t="shared" si="1"/>
        <v>#DIV/0!</v>
      </c>
      <c r="P58" s="115"/>
    </row>
    <row r="59" spans="1:16" ht="33.75" customHeight="1">
      <c r="A59" s="101" t="s">
        <v>172</v>
      </c>
      <c r="B59" s="102" t="s">
        <v>173</v>
      </c>
      <c r="C59" s="103">
        <f>SUM(C60:C108)</f>
        <v>550368.2</v>
      </c>
      <c r="D59" s="103">
        <f>SUM(D60:D108)</f>
        <v>52441.6</v>
      </c>
      <c r="E59" s="103">
        <f t="shared" si="11"/>
        <v>9.52845749445553</v>
      </c>
      <c r="F59" s="127">
        <f>SUM(F60:F108)</f>
        <v>175932.2</v>
      </c>
      <c r="G59" s="127">
        <f>SUM(G60:G108)</f>
        <v>37198.9</v>
      </c>
      <c r="H59" s="127">
        <f>G59/F59*100</f>
        <v>21.14388383706905</v>
      </c>
      <c r="I59" s="128">
        <f t="shared" si="9"/>
        <v>726300.3999999999</v>
      </c>
      <c r="J59" s="103">
        <f>SUM(J60:J108)</f>
        <v>75935.1</v>
      </c>
      <c r="K59" s="103">
        <f>SUM(K60:K108)</f>
        <v>650365.3</v>
      </c>
      <c r="L59" s="103">
        <f>SUM(L60:L108)</f>
        <v>89640.5</v>
      </c>
      <c r="M59" s="103">
        <f>SUM(M60:M108)</f>
        <v>3553.2</v>
      </c>
      <c r="N59" s="103">
        <f>SUM(N60:N108)</f>
        <v>86087.29999999999</v>
      </c>
      <c r="O59" s="105">
        <f t="shared" si="1"/>
        <v>13.23676094035152</v>
      </c>
      <c r="P59" s="115"/>
    </row>
    <row r="60" spans="1:16" ht="90" hidden="1">
      <c r="A60" s="106" t="s">
        <v>174</v>
      </c>
      <c r="B60" s="107" t="s">
        <v>175</v>
      </c>
      <c r="C60" s="108"/>
      <c r="D60" s="108"/>
      <c r="E60" s="97" t="e">
        <f t="shared" si="11"/>
        <v>#DIV/0!</v>
      </c>
      <c r="F60" s="109">
        <v>0</v>
      </c>
      <c r="G60" s="109">
        <v>0</v>
      </c>
      <c r="H60" s="110">
        <v>0</v>
      </c>
      <c r="I60" s="111">
        <f t="shared" si="9"/>
        <v>0</v>
      </c>
      <c r="J60" s="112"/>
      <c r="K60" s="113">
        <f t="shared" si="13"/>
        <v>0</v>
      </c>
      <c r="L60" s="111">
        <f t="shared" si="5"/>
        <v>0</v>
      </c>
      <c r="M60" s="112"/>
      <c r="N60" s="113">
        <f t="shared" si="6"/>
        <v>0</v>
      </c>
      <c r="O60" s="114" t="e">
        <f t="shared" si="1"/>
        <v>#DIV/0!</v>
      </c>
      <c r="P60" s="115"/>
    </row>
    <row r="61" spans="1:16" ht="60" hidden="1">
      <c r="A61" s="106" t="s">
        <v>174</v>
      </c>
      <c r="B61" s="107" t="s">
        <v>176</v>
      </c>
      <c r="C61" s="108"/>
      <c r="D61" s="108"/>
      <c r="E61" s="97"/>
      <c r="F61" s="109"/>
      <c r="G61" s="109"/>
      <c r="H61" s="110">
        <v>0</v>
      </c>
      <c r="I61" s="111">
        <f t="shared" si="9"/>
        <v>0</v>
      </c>
      <c r="J61" s="112"/>
      <c r="K61" s="113">
        <f>I61-J61</f>
        <v>0</v>
      </c>
      <c r="L61" s="111">
        <f>D61+G61</f>
        <v>0</v>
      </c>
      <c r="M61" s="112"/>
      <c r="N61" s="113">
        <f t="shared" si="6"/>
        <v>0</v>
      </c>
      <c r="O61" s="114" t="e">
        <f t="shared" si="1"/>
        <v>#DIV/0!</v>
      </c>
      <c r="P61" s="115"/>
    </row>
    <row r="62" spans="1:16" ht="45" hidden="1">
      <c r="A62" s="106" t="s">
        <v>174</v>
      </c>
      <c r="B62" s="107" t="s">
        <v>177</v>
      </c>
      <c r="C62" s="108">
        <v>0</v>
      </c>
      <c r="D62" s="108">
        <v>0</v>
      </c>
      <c r="E62" s="97" t="e">
        <f t="shared" si="11"/>
        <v>#DIV/0!</v>
      </c>
      <c r="F62" s="109"/>
      <c r="G62" s="109"/>
      <c r="H62" s="110">
        <v>0</v>
      </c>
      <c r="I62" s="111">
        <f t="shared" si="9"/>
        <v>0</v>
      </c>
      <c r="J62" s="112"/>
      <c r="K62" s="113">
        <f aca="true" t="shared" si="15" ref="K62:K108">I62-J62</f>
        <v>0</v>
      </c>
      <c r="L62" s="111">
        <f t="shared" si="5"/>
        <v>0</v>
      </c>
      <c r="M62" s="112"/>
      <c r="N62" s="113">
        <f t="shared" si="6"/>
        <v>0</v>
      </c>
      <c r="O62" s="114" t="e">
        <f>N62/K62*100</f>
        <v>#DIV/0!</v>
      </c>
      <c r="P62" s="115"/>
    </row>
    <row r="63" spans="1:16" ht="45" hidden="1">
      <c r="A63" s="106" t="s">
        <v>174</v>
      </c>
      <c r="B63" s="107" t="s">
        <v>178</v>
      </c>
      <c r="C63" s="108"/>
      <c r="D63" s="108"/>
      <c r="E63" s="97" t="e">
        <f t="shared" si="11"/>
        <v>#DIV/0!</v>
      </c>
      <c r="F63" s="109"/>
      <c r="G63" s="109"/>
      <c r="H63" s="110">
        <v>0</v>
      </c>
      <c r="I63" s="111">
        <f t="shared" si="9"/>
        <v>0</v>
      </c>
      <c r="J63" s="112"/>
      <c r="K63" s="113">
        <f t="shared" si="15"/>
        <v>0</v>
      </c>
      <c r="L63" s="111">
        <f t="shared" si="5"/>
        <v>0</v>
      </c>
      <c r="M63" s="112"/>
      <c r="N63" s="113">
        <f t="shared" si="6"/>
        <v>0</v>
      </c>
      <c r="O63" s="114"/>
      <c r="P63" s="115"/>
    </row>
    <row r="64" spans="1:16" ht="73.5" customHeight="1">
      <c r="A64" s="106" t="s">
        <v>174</v>
      </c>
      <c r="B64" s="107" t="s">
        <v>179</v>
      </c>
      <c r="C64" s="108">
        <v>56630.1</v>
      </c>
      <c r="D64" s="108">
        <v>5222.4</v>
      </c>
      <c r="E64" s="97">
        <f t="shared" si="11"/>
        <v>9.22195087065006</v>
      </c>
      <c r="F64" s="109"/>
      <c r="G64" s="109"/>
      <c r="H64" s="110">
        <v>0</v>
      </c>
      <c r="I64" s="111">
        <f t="shared" si="9"/>
        <v>56630.1</v>
      </c>
      <c r="J64" s="112"/>
      <c r="K64" s="113">
        <f t="shared" si="15"/>
        <v>56630.1</v>
      </c>
      <c r="L64" s="111">
        <f t="shared" si="5"/>
        <v>5222.4</v>
      </c>
      <c r="M64" s="112"/>
      <c r="N64" s="113">
        <f t="shared" si="6"/>
        <v>5222.4</v>
      </c>
      <c r="O64" s="114">
        <f>N64/K64*100</f>
        <v>9.22195087065006</v>
      </c>
      <c r="P64" s="115"/>
    </row>
    <row r="65" spans="1:16" ht="103.5" customHeight="1">
      <c r="A65" s="106" t="s">
        <v>174</v>
      </c>
      <c r="B65" s="107" t="s">
        <v>180</v>
      </c>
      <c r="C65" s="108">
        <v>42026.9</v>
      </c>
      <c r="D65" s="108">
        <v>0</v>
      </c>
      <c r="E65" s="97">
        <f t="shared" si="11"/>
        <v>0</v>
      </c>
      <c r="F65" s="109"/>
      <c r="G65" s="109"/>
      <c r="H65" s="110">
        <v>0</v>
      </c>
      <c r="I65" s="111">
        <f t="shared" si="9"/>
        <v>42026.9</v>
      </c>
      <c r="J65" s="112"/>
      <c r="K65" s="113">
        <f t="shared" si="15"/>
        <v>42026.9</v>
      </c>
      <c r="L65" s="111">
        <f t="shared" si="5"/>
        <v>0</v>
      </c>
      <c r="M65" s="112"/>
      <c r="N65" s="113">
        <f t="shared" si="6"/>
        <v>0</v>
      </c>
      <c r="O65" s="114">
        <f t="shared" si="1"/>
        <v>0</v>
      </c>
      <c r="P65" s="115"/>
    </row>
    <row r="66" spans="1:16" ht="105" customHeight="1">
      <c r="A66" s="106" t="s">
        <v>174</v>
      </c>
      <c r="B66" s="107" t="s">
        <v>181</v>
      </c>
      <c r="C66" s="108">
        <v>4511.7</v>
      </c>
      <c r="D66" s="108">
        <v>0</v>
      </c>
      <c r="E66" s="97">
        <f t="shared" si="11"/>
        <v>0</v>
      </c>
      <c r="F66" s="109"/>
      <c r="G66" s="109"/>
      <c r="H66" s="110">
        <v>0</v>
      </c>
      <c r="I66" s="111">
        <f t="shared" si="9"/>
        <v>4511.7</v>
      </c>
      <c r="J66" s="112"/>
      <c r="K66" s="113">
        <f t="shared" si="15"/>
        <v>4511.7</v>
      </c>
      <c r="L66" s="111">
        <f t="shared" si="5"/>
        <v>0</v>
      </c>
      <c r="M66" s="112"/>
      <c r="N66" s="113">
        <f t="shared" si="6"/>
        <v>0</v>
      </c>
      <c r="O66" s="114">
        <f t="shared" si="1"/>
        <v>0</v>
      </c>
      <c r="P66" s="115">
        <f>P66</f>
        <v>0</v>
      </c>
    </row>
    <row r="67" spans="1:16" ht="124.5" customHeight="1">
      <c r="A67" s="106" t="s">
        <v>174</v>
      </c>
      <c r="B67" s="107" t="s">
        <v>182</v>
      </c>
      <c r="C67" s="108">
        <v>14952</v>
      </c>
      <c r="D67" s="108">
        <v>0</v>
      </c>
      <c r="E67" s="97">
        <f t="shared" si="11"/>
        <v>0</v>
      </c>
      <c r="F67" s="109"/>
      <c r="G67" s="109"/>
      <c r="H67" s="110">
        <v>0</v>
      </c>
      <c r="I67" s="111">
        <f t="shared" si="9"/>
        <v>14952</v>
      </c>
      <c r="J67" s="112"/>
      <c r="K67" s="113">
        <f t="shared" si="15"/>
        <v>14952</v>
      </c>
      <c r="L67" s="111">
        <f t="shared" si="5"/>
        <v>0</v>
      </c>
      <c r="M67" s="112"/>
      <c r="N67" s="113">
        <f t="shared" si="6"/>
        <v>0</v>
      </c>
      <c r="O67" s="114">
        <f t="shared" si="1"/>
        <v>0</v>
      </c>
      <c r="P67" s="115"/>
    </row>
    <row r="68" spans="1:16" ht="75" customHeight="1">
      <c r="A68" s="106" t="s">
        <v>174</v>
      </c>
      <c r="B68" s="107" t="s">
        <v>183</v>
      </c>
      <c r="C68" s="108">
        <v>4841</v>
      </c>
      <c r="D68" s="108">
        <v>543</v>
      </c>
      <c r="E68" s="97">
        <f>D68/C68*100</f>
        <v>11.216690766370585</v>
      </c>
      <c r="F68" s="109">
        <v>2381</v>
      </c>
      <c r="G68" s="109">
        <v>543</v>
      </c>
      <c r="H68" s="110">
        <f aca="true" t="shared" si="16" ref="H68:H76">G68/F68*100</f>
        <v>22.80554388912222</v>
      </c>
      <c r="I68" s="111">
        <f t="shared" si="9"/>
        <v>7222</v>
      </c>
      <c r="J68" s="112">
        <v>4841</v>
      </c>
      <c r="K68" s="113">
        <f t="shared" si="15"/>
        <v>2381</v>
      </c>
      <c r="L68" s="111">
        <f t="shared" si="5"/>
        <v>1086</v>
      </c>
      <c r="M68" s="112">
        <v>543</v>
      </c>
      <c r="N68" s="113">
        <f t="shared" si="6"/>
        <v>543</v>
      </c>
      <c r="O68" s="114">
        <f>N68/K68*100</f>
        <v>22.80554388912222</v>
      </c>
      <c r="P68" s="115"/>
    </row>
    <row r="69" spans="1:16" ht="18" customHeight="1" hidden="1">
      <c r="A69" s="106" t="s">
        <v>174</v>
      </c>
      <c r="B69" s="107" t="s">
        <v>184</v>
      </c>
      <c r="C69" s="108"/>
      <c r="D69" s="108"/>
      <c r="E69" s="97"/>
      <c r="F69" s="109"/>
      <c r="G69" s="109"/>
      <c r="H69" s="110" t="e">
        <f t="shared" si="16"/>
        <v>#DIV/0!</v>
      </c>
      <c r="I69" s="111">
        <f t="shared" si="9"/>
        <v>0</v>
      </c>
      <c r="J69" s="112"/>
      <c r="K69" s="113">
        <f t="shared" si="15"/>
        <v>0</v>
      </c>
      <c r="L69" s="111">
        <f t="shared" si="5"/>
        <v>0</v>
      </c>
      <c r="M69" s="112"/>
      <c r="N69" s="113">
        <f t="shared" si="6"/>
        <v>0</v>
      </c>
      <c r="O69" s="114" t="e">
        <f t="shared" si="1"/>
        <v>#DIV/0!</v>
      </c>
      <c r="P69" s="115"/>
    </row>
    <row r="70" spans="1:16" ht="60">
      <c r="A70" s="116" t="s">
        <v>174</v>
      </c>
      <c r="B70" s="107" t="s">
        <v>185</v>
      </c>
      <c r="C70" s="108">
        <v>15470.7</v>
      </c>
      <c r="D70" s="108">
        <v>1100.4</v>
      </c>
      <c r="E70" s="97">
        <f t="shared" si="11"/>
        <v>7.112800325777115</v>
      </c>
      <c r="F70" s="109">
        <v>18511.7</v>
      </c>
      <c r="G70" s="109">
        <v>2158.9</v>
      </c>
      <c r="H70" s="110">
        <f t="shared" si="16"/>
        <v>11.662354078771804</v>
      </c>
      <c r="I70" s="111">
        <f t="shared" si="9"/>
        <v>33982.4</v>
      </c>
      <c r="J70" s="112">
        <v>13076</v>
      </c>
      <c r="K70" s="113">
        <f t="shared" si="15"/>
        <v>20906.4</v>
      </c>
      <c r="L70" s="111">
        <f t="shared" si="5"/>
        <v>3259.3</v>
      </c>
      <c r="M70" s="112">
        <v>15.6</v>
      </c>
      <c r="N70" s="113">
        <f t="shared" si="6"/>
        <v>3243.7000000000003</v>
      </c>
      <c r="O70" s="114">
        <f t="shared" si="1"/>
        <v>15.515344583476832</v>
      </c>
      <c r="P70" s="115"/>
    </row>
    <row r="71" spans="1:16" ht="120">
      <c r="A71" s="106" t="s">
        <v>186</v>
      </c>
      <c r="B71" s="107" t="s">
        <v>187</v>
      </c>
      <c r="C71" s="97">
        <v>39173.4</v>
      </c>
      <c r="D71" s="97">
        <v>12947.8</v>
      </c>
      <c r="E71" s="97">
        <f t="shared" si="11"/>
        <v>33.05253054368526</v>
      </c>
      <c r="F71" s="110">
        <v>21776</v>
      </c>
      <c r="G71" s="110">
        <v>13973.7</v>
      </c>
      <c r="H71" s="110">
        <f t="shared" si="16"/>
        <v>64.17018736223366</v>
      </c>
      <c r="I71" s="111">
        <f t="shared" si="9"/>
        <v>60949.4</v>
      </c>
      <c r="J71" s="112">
        <v>4462</v>
      </c>
      <c r="K71" s="113">
        <f t="shared" si="15"/>
        <v>56487.4</v>
      </c>
      <c r="L71" s="111">
        <f t="shared" si="5"/>
        <v>26921.5</v>
      </c>
      <c r="M71" s="112">
        <v>0</v>
      </c>
      <c r="N71" s="113">
        <f t="shared" si="6"/>
        <v>26921.5</v>
      </c>
      <c r="O71" s="114">
        <f t="shared" si="1"/>
        <v>47.65930101226114</v>
      </c>
      <c r="P71" s="115"/>
    </row>
    <row r="72" spans="1:16" ht="181.5" customHeight="1" hidden="1">
      <c r="A72" s="120" t="s">
        <v>186</v>
      </c>
      <c r="B72" s="107" t="s">
        <v>188</v>
      </c>
      <c r="C72" s="108"/>
      <c r="D72" s="108"/>
      <c r="E72" s="97" t="e">
        <f t="shared" si="11"/>
        <v>#DIV/0!</v>
      </c>
      <c r="F72" s="109"/>
      <c r="G72" s="109"/>
      <c r="H72" s="110" t="e">
        <f t="shared" si="16"/>
        <v>#DIV/0!</v>
      </c>
      <c r="I72" s="111">
        <f t="shared" si="9"/>
        <v>0</v>
      </c>
      <c r="J72" s="112"/>
      <c r="K72" s="113">
        <f t="shared" si="15"/>
        <v>0</v>
      </c>
      <c r="L72" s="111">
        <f t="shared" si="5"/>
        <v>0</v>
      </c>
      <c r="M72" s="112"/>
      <c r="N72" s="113">
        <f t="shared" si="6"/>
        <v>0</v>
      </c>
      <c r="O72" s="114" t="e">
        <f t="shared" si="1"/>
        <v>#DIV/0!</v>
      </c>
      <c r="P72" s="115"/>
    </row>
    <row r="73" spans="1:16" ht="165" hidden="1">
      <c r="A73" s="106" t="s">
        <v>186</v>
      </c>
      <c r="B73" s="107" t="s">
        <v>189</v>
      </c>
      <c r="C73" s="108"/>
      <c r="D73" s="108"/>
      <c r="E73" s="97" t="e">
        <f t="shared" si="11"/>
        <v>#DIV/0!</v>
      </c>
      <c r="F73" s="109"/>
      <c r="G73" s="109"/>
      <c r="H73" s="110" t="e">
        <f t="shared" si="16"/>
        <v>#DIV/0!</v>
      </c>
      <c r="I73" s="111">
        <f t="shared" si="9"/>
        <v>0</v>
      </c>
      <c r="J73" s="112"/>
      <c r="K73" s="113">
        <f t="shared" si="15"/>
        <v>0</v>
      </c>
      <c r="L73" s="111">
        <f t="shared" si="5"/>
        <v>0</v>
      </c>
      <c r="M73" s="112"/>
      <c r="N73" s="113">
        <f t="shared" si="6"/>
        <v>0</v>
      </c>
      <c r="O73" s="114" t="e">
        <f t="shared" si="1"/>
        <v>#DIV/0!</v>
      </c>
      <c r="P73" s="115"/>
    </row>
    <row r="74" spans="1:16" ht="135" hidden="1">
      <c r="A74" s="116" t="s">
        <v>186</v>
      </c>
      <c r="B74" s="107" t="s">
        <v>190</v>
      </c>
      <c r="C74" s="108"/>
      <c r="D74" s="108"/>
      <c r="E74" s="97" t="e">
        <f t="shared" si="11"/>
        <v>#DIV/0!</v>
      </c>
      <c r="F74" s="109"/>
      <c r="G74" s="109"/>
      <c r="H74" s="110" t="e">
        <f t="shared" si="16"/>
        <v>#DIV/0!</v>
      </c>
      <c r="I74" s="111">
        <f t="shared" si="9"/>
        <v>0</v>
      </c>
      <c r="J74" s="112"/>
      <c r="K74" s="113">
        <f t="shared" si="15"/>
        <v>0</v>
      </c>
      <c r="L74" s="111">
        <f t="shared" si="5"/>
        <v>0</v>
      </c>
      <c r="M74" s="112"/>
      <c r="N74" s="113">
        <f t="shared" si="6"/>
        <v>0</v>
      </c>
      <c r="O74" s="114" t="e">
        <f t="shared" si="1"/>
        <v>#DIV/0!</v>
      </c>
      <c r="P74" s="115"/>
    </row>
    <row r="75" spans="1:16" ht="135" hidden="1">
      <c r="A75" s="116" t="s">
        <v>186</v>
      </c>
      <c r="B75" s="107" t="s">
        <v>191</v>
      </c>
      <c r="C75" s="108"/>
      <c r="D75" s="108"/>
      <c r="E75" s="97" t="e">
        <f t="shared" si="11"/>
        <v>#DIV/0!</v>
      </c>
      <c r="F75" s="109"/>
      <c r="G75" s="109"/>
      <c r="H75" s="110" t="e">
        <f t="shared" si="16"/>
        <v>#DIV/0!</v>
      </c>
      <c r="I75" s="111">
        <f t="shared" si="9"/>
        <v>0</v>
      </c>
      <c r="J75" s="112"/>
      <c r="K75" s="113">
        <f t="shared" si="15"/>
        <v>0</v>
      </c>
      <c r="L75" s="111">
        <f t="shared" si="5"/>
        <v>0</v>
      </c>
      <c r="M75" s="112"/>
      <c r="N75" s="113">
        <f t="shared" si="6"/>
        <v>0</v>
      </c>
      <c r="O75" s="114" t="e">
        <f t="shared" si="1"/>
        <v>#DIV/0!</v>
      </c>
      <c r="P75" s="115"/>
    </row>
    <row r="76" spans="1:16" ht="63.75" hidden="1">
      <c r="A76" s="106" t="s">
        <v>186</v>
      </c>
      <c r="B76" s="129" t="s">
        <v>192</v>
      </c>
      <c r="C76" s="108"/>
      <c r="D76" s="108"/>
      <c r="E76" s="97" t="e">
        <f>D76/C76*100</f>
        <v>#DIV/0!</v>
      </c>
      <c r="F76" s="109"/>
      <c r="G76" s="109"/>
      <c r="H76" s="110" t="e">
        <f t="shared" si="16"/>
        <v>#DIV/0!</v>
      </c>
      <c r="I76" s="111">
        <f t="shared" si="9"/>
        <v>0</v>
      </c>
      <c r="J76" s="112"/>
      <c r="K76" s="113">
        <f t="shared" si="15"/>
        <v>0</v>
      </c>
      <c r="L76" s="111">
        <f t="shared" si="5"/>
        <v>0</v>
      </c>
      <c r="M76" s="112"/>
      <c r="N76" s="113">
        <f t="shared" si="6"/>
        <v>0</v>
      </c>
      <c r="O76" s="114" t="e">
        <f>N76/K76*100</f>
        <v>#DIV/0!</v>
      </c>
      <c r="P76" s="115"/>
    </row>
    <row r="77" spans="1:16" ht="15" hidden="1">
      <c r="A77" s="106" t="s">
        <v>186</v>
      </c>
      <c r="B77" s="129"/>
      <c r="C77" s="108"/>
      <c r="D77" s="108"/>
      <c r="E77" s="97"/>
      <c r="F77" s="109"/>
      <c r="G77" s="109"/>
      <c r="H77" s="110"/>
      <c r="I77" s="111"/>
      <c r="J77" s="112"/>
      <c r="K77" s="113"/>
      <c r="L77" s="111"/>
      <c r="M77" s="112"/>
      <c r="N77" s="113"/>
      <c r="O77" s="114"/>
      <c r="P77" s="115"/>
    </row>
    <row r="78" spans="1:16" ht="38.25" hidden="1">
      <c r="A78" s="106" t="s">
        <v>186</v>
      </c>
      <c r="B78" s="129" t="s">
        <v>193</v>
      </c>
      <c r="C78" s="108"/>
      <c r="D78" s="108"/>
      <c r="E78" s="97" t="e">
        <f>D78/C78*100</f>
        <v>#DIV/0!</v>
      </c>
      <c r="F78" s="109"/>
      <c r="G78" s="109"/>
      <c r="H78" s="110" t="e">
        <f>G78/F78*100</f>
        <v>#DIV/0!</v>
      </c>
      <c r="I78" s="111">
        <f>C78+F78</f>
        <v>0</v>
      </c>
      <c r="J78" s="112"/>
      <c r="K78" s="113">
        <f>I78-J78</f>
        <v>0</v>
      </c>
      <c r="L78" s="111">
        <f>D78+G78</f>
        <v>0</v>
      </c>
      <c r="M78" s="112"/>
      <c r="N78" s="113">
        <f>L78-M78</f>
        <v>0</v>
      </c>
      <c r="O78" s="114"/>
      <c r="P78" s="115"/>
    </row>
    <row r="79" spans="1:16" ht="83.25" customHeight="1">
      <c r="A79" s="116" t="s">
        <v>186</v>
      </c>
      <c r="B79" s="126" t="s">
        <v>194</v>
      </c>
      <c r="C79" s="108">
        <v>15229.2</v>
      </c>
      <c r="D79" s="108">
        <v>0</v>
      </c>
      <c r="E79" s="97">
        <f aca="true" t="shared" si="17" ref="E79:E91">D79/C79*100</f>
        <v>0</v>
      </c>
      <c r="F79" s="109">
        <v>15229.2</v>
      </c>
      <c r="G79" s="109">
        <v>0</v>
      </c>
      <c r="H79" s="110">
        <f>G79/F79*100</f>
        <v>0</v>
      </c>
      <c r="I79" s="111">
        <f t="shared" si="9"/>
        <v>30458.4</v>
      </c>
      <c r="J79" s="112">
        <v>15229.2</v>
      </c>
      <c r="K79" s="113">
        <f t="shared" si="15"/>
        <v>15229.2</v>
      </c>
      <c r="L79" s="111">
        <f>D79+G79</f>
        <v>0</v>
      </c>
      <c r="M79" s="112">
        <v>0</v>
      </c>
      <c r="N79" s="113">
        <f>L79-M79</f>
        <v>0</v>
      </c>
      <c r="O79" s="114">
        <f t="shared" si="1"/>
        <v>0</v>
      </c>
      <c r="P79" s="115"/>
    </row>
    <row r="80" spans="1:16" ht="30" hidden="1">
      <c r="A80" s="116" t="s">
        <v>186</v>
      </c>
      <c r="B80" s="126" t="s">
        <v>195</v>
      </c>
      <c r="C80" s="108"/>
      <c r="D80" s="108"/>
      <c r="E80" s="97" t="e">
        <f t="shared" si="17"/>
        <v>#DIV/0!</v>
      </c>
      <c r="F80" s="109">
        <v>0</v>
      </c>
      <c r="G80" s="109">
        <v>0</v>
      </c>
      <c r="H80" s="110" t="e">
        <f>G80/F80*100</f>
        <v>#DIV/0!</v>
      </c>
      <c r="I80" s="111">
        <f t="shared" si="9"/>
        <v>0</v>
      </c>
      <c r="J80" s="112"/>
      <c r="K80" s="113">
        <f t="shared" si="15"/>
        <v>0</v>
      </c>
      <c r="L80" s="111">
        <f t="shared" si="5"/>
        <v>0</v>
      </c>
      <c r="M80" s="112"/>
      <c r="N80" s="113">
        <f t="shared" si="6"/>
        <v>0</v>
      </c>
      <c r="O80" s="114"/>
      <c r="P80" s="115"/>
    </row>
    <row r="81" spans="1:16" ht="30" hidden="1">
      <c r="A81" s="116" t="s">
        <v>186</v>
      </c>
      <c r="B81" s="126" t="s">
        <v>196</v>
      </c>
      <c r="C81" s="108">
        <v>0</v>
      </c>
      <c r="D81" s="108">
        <v>0</v>
      </c>
      <c r="E81" s="97" t="e">
        <f t="shared" si="17"/>
        <v>#DIV/0!</v>
      </c>
      <c r="F81" s="109"/>
      <c r="G81" s="109"/>
      <c r="H81" s="110"/>
      <c r="I81" s="111">
        <f t="shared" si="9"/>
        <v>0</v>
      </c>
      <c r="J81" s="112"/>
      <c r="K81" s="113">
        <f t="shared" si="15"/>
        <v>0</v>
      </c>
      <c r="L81" s="111">
        <f t="shared" si="5"/>
        <v>0</v>
      </c>
      <c r="M81" s="112"/>
      <c r="N81" s="113">
        <f t="shared" si="6"/>
        <v>0</v>
      </c>
      <c r="O81" s="114"/>
      <c r="P81" s="115"/>
    </row>
    <row r="82" spans="1:16" ht="90" hidden="1">
      <c r="A82" s="116" t="s">
        <v>186</v>
      </c>
      <c r="B82" s="130" t="s">
        <v>197</v>
      </c>
      <c r="C82" s="108">
        <v>0</v>
      </c>
      <c r="D82" s="108">
        <v>0</v>
      </c>
      <c r="E82" s="97" t="e">
        <f t="shared" si="17"/>
        <v>#DIV/0!</v>
      </c>
      <c r="F82" s="109"/>
      <c r="G82" s="109"/>
      <c r="H82" s="110" t="e">
        <f aca="true" t="shared" si="18" ref="H82:H91">G82/F82*100</f>
        <v>#DIV/0!</v>
      </c>
      <c r="I82" s="111">
        <f t="shared" si="9"/>
        <v>0</v>
      </c>
      <c r="J82" s="112"/>
      <c r="K82" s="113">
        <f t="shared" si="15"/>
        <v>0</v>
      </c>
      <c r="L82" s="111">
        <f t="shared" si="5"/>
        <v>0</v>
      </c>
      <c r="M82" s="112"/>
      <c r="N82" s="113">
        <f t="shared" si="6"/>
        <v>0</v>
      </c>
      <c r="O82" s="114" t="e">
        <f>N82/K82*100</f>
        <v>#DIV/0!</v>
      </c>
      <c r="P82" s="115"/>
    </row>
    <row r="83" spans="1:16" ht="59.25" customHeight="1">
      <c r="A83" s="116" t="s">
        <v>186</v>
      </c>
      <c r="B83" s="126" t="s">
        <v>198</v>
      </c>
      <c r="C83" s="108">
        <v>22962.8</v>
      </c>
      <c r="D83" s="108">
        <v>7587.6</v>
      </c>
      <c r="E83" s="97">
        <f t="shared" si="17"/>
        <v>33.04300869231975</v>
      </c>
      <c r="F83" s="109">
        <v>12150.6</v>
      </c>
      <c r="G83" s="109">
        <v>2025.3</v>
      </c>
      <c r="H83" s="110">
        <f t="shared" si="18"/>
        <v>16.66831267591724</v>
      </c>
      <c r="I83" s="111">
        <f t="shared" si="9"/>
        <v>35113.4</v>
      </c>
      <c r="J83" s="112">
        <v>1500</v>
      </c>
      <c r="K83" s="113">
        <f t="shared" si="15"/>
        <v>33613.4</v>
      </c>
      <c r="L83" s="111">
        <f t="shared" si="5"/>
        <v>9612.9</v>
      </c>
      <c r="M83" s="112">
        <v>87.6</v>
      </c>
      <c r="N83" s="113">
        <f t="shared" si="6"/>
        <v>9525.3</v>
      </c>
      <c r="O83" s="114">
        <f>N83/K83*100</f>
        <v>28.337805756037763</v>
      </c>
      <c r="P83" s="115"/>
    </row>
    <row r="84" spans="1:16" ht="45" customHeight="1">
      <c r="A84" s="116" t="s">
        <v>186</v>
      </c>
      <c r="B84" s="131" t="s">
        <v>199</v>
      </c>
      <c r="C84" s="108">
        <v>219711.6</v>
      </c>
      <c r="D84" s="108">
        <v>23655.9</v>
      </c>
      <c r="E84" s="97">
        <f t="shared" si="17"/>
        <v>10.766796109081177</v>
      </c>
      <c r="F84" s="109"/>
      <c r="G84" s="109"/>
      <c r="H84" s="110" t="e">
        <f t="shared" si="18"/>
        <v>#DIV/0!</v>
      </c>
      <c r="I84" s="111">
        <f>C84+F84</f>
        <v>219711.6</v>
      </c>
      <c r="J84" s="112"/>
      <c r="K84" s="113">
        <f>I84-J84</f>
        <v>219711.6</v>
      </c>
      <c r="L84" s="111">
        <f>D84+G84</f>
        <v>23655.9</v>
      </c>
      <c r="M84" s="112"/>
      <c r="N84" s="113">
        <f>L84-M84</f>
        <v>23655.9</v>
      </c>
      <c r="O84" s="114">
        <f>N84/K84*100</f>
        <v>10.766796109081177</v>
      </c>
      <c r="P84" s="115"/>
    </row>
    <row r="85" spans="1:16" ht="101.25" customHeight="1">
      <c r="A85" s="116" t="s">
        <v>186</v>
      </c>
      <c r="B85" s="126" t="s">
        <v>200</v>
      </c>
      <c r="C85" s="108"/>
      <c r="D85" s="108"/>
      <c r="E85" s="97" t="e">
        <f t="shared" si="17"/>
        <v>#DIV/0!</v>
      </c>
      <c r="F85" s="109">
        <v>12300</v>
      </c>
      <c r="G85" s="109">
        <v>2625</v>
      </c>
      <c r="H85" s="110">
        <f t="shared" si="18"/>
        <v>21.341463414634145</v>
      </c>
      <c r="I85" s="111">
        <f t="shared" si="9"/>
        <v>12300</v>
      </c>
      <c r="J85" s="112">
        <v>12300</v>
      </c>
      <c r="K85" s="113">
        <f t="shared" si="15"/>
        <v>0</v>
      </c>
      <c r="L85" s="111">
        <f t="shared" si="5"/>
        <v>2625</v>
      </c>
      <c r="M85" s="112">
        <v>2625</v>
      </c>
      <c r="N85" s="113">
        <f t="shared" si="6"/>
        <v>0</v>
      </c>
      <c r="O85" s="114" t="e">
        <f>N85/K85*100</f>
        <v>#DIV/0!</v>
      </c>
      <c r="P85" s="115"/>
    </row>
    <row r="86" spans="1:16" ht="45" hidden="1">
      <c r="A86" s="116" t="s">
        <v>186</v>
      </c>
      <c r="B86" s="126" t="s">
        <v>201</v>
      </c>
      <c r="C86" s="108"/>
      <c r="D86" s="108"/>
      <c r="E86" s="97" t="e">
        <f t="shared" si="17"/>
        <v>#DIV/0!</v>
      </c>
      <c r="F86" s="109"/>
      <c r="G86" s="109"/>
      <c r="H86" s="110" t="e">
        <f t="shared" si="18"/>
        <v>#DIV/0!</v>
      </c>
      <c r="I86" s="111">
        <f t="shared" si="9"/>
        <v>0</v>
      </c>
      <c r="J86" s="112"/>
      <c r="K86" s="113">
        <f t="shared" si="15"/>
        <v>0</v>
      </c>
      <c r="L86" s="111">
        <f t="shared" si="5"/>
        <v>0</v>
      </c>
      <c r="M86" s="112"/>
      <c r="N86" s="113">
        <f t="shared" si="6"/>
        <v>0</v>
      </c>
      <c r="O86" s="114" t="e">
        <f>N86/K86*100</f>
        <v>#DIV/0!</v>
      </c>
      <c r="P86" s="115"/>
    </row>
    <row r="87" spans="1:16" ht="57" customHeight="1">
      <c r="A87" s="116" t="s">
        <v>186</v>
      </c>
      <c r="B87" s="126" t="s">
        <v>202</v>
      </c>
      <c r="C87" s="108">
        <v>86919.1</v>
      </c>
      <c r="D87" s="108">
        <v>0</v>
      </c>
      <c r="E87" s="97">
        <f t="shared" si="17"/>
        <v>0</v>
      </c>
      <c r="F87" s="109"/>
      <c r="G87" s="109"/>
      <c r="H87" s="110" t="e">
        <f t="shared" si="18"/>
        <v>#DIV/0!</v>
      </c>
      <c r="I87" s="111">
        <f t="shared" si="9"/>
        <v>86919.1</v>
      </c>
      <c r="J87" s="112"/>
      <c r="K87" s="113">
        <f t="shared" si="15"/>
        <v>86919.1</v>
      </c>
      <c r="L87" s="111">
        <f t="shared" si="5"/>
        <v>0</v>
      </c>
      <c r="M87" s="112"/>
      <c r="N87" s="113">
        <f t="shared" si="6"/>
        <v>0</v>
      </c>
      <c r="O87" s="132">
        <f t="shared" si="1"/>
        <v>0</v>
      </c>
      <c r="P87" s="115"/>
    </row>
    <row r="88" spans="1:16" ht="59.25" customHeight="1">
      <c r="A88" s="116" t="s">
        <v>186</v>
      </c>
      <c r="B88" s="126" t="s">
        <v>203</v>
      </c>
      <c r="C88" s="108">
        <v>2082</v>
      </c>
      <c r="D88" s="108">
        <v>879</v>
      </c>
      <c r="E88" s="97">
        <f t="shared" si="17"/>
        <v>42.21902017291067</v>
      </c>
      <c r="F88" s="109">
        <v>282</v>
      </c>
      <c r="G88" s="109">
        <v>282</v>
      </c>
      <c r="H88" s="110">
        <f t="shared" si="18"/>
        <v>100</v>
      </c>
      <c r="I88" s="111">
        <f t="shared" si="9"/>
        <v>2364</v>
      </c>
      <c r="J88" s="112">
        <v>282</v>
      </c>
      <c r="K88" s="113">
        <f t="shared" si="15"/>
        <v>2082</v>
      </c>
      <c r="L88" s="111">
        <f t="shared" si="5"/>
        <v>1161</v>
      </c>
      <c r="M88" s="112">
        <v>282</v>
      </c>
      <c r="N88" s="113">
        <f t="shared" si="6"/>
        <v>879</v>
      </c>
      <c r="O88" s="114">
        <f t="shared" si="1"/>
        <v>42.21902017291067</v>
      </c>
      <c r="P88" s="115"/>
    </row>
    <row r="89" spans="1:16" ht="60" hidden="1">
      <c r="A89" s="116" t="s">
        <v>186</v>
      </c>
      <c r="B89" s="126" t="s">
        <v>204</v>
      </c>
      <c r="C89" s="108">
        <v>0</v>
      </c>
      <c r="D89" s="108">
        <v>0</v>
      </c>
      <c r="E89" s="97" t="e">
        <f t="shared" si="17"/>
        <v>#DIV/0!</v>
      </c>
      <c r="F89" s="109">
        <v>0</v>
      </c>
      <c r="G89" s="109">
        <v>0</v>
      </c>
      <c r="H89" s="110" t="e">
        <f t="shared" si="18"/>
        <v>#DIV/0!</v>
      </c>
      <c r="I89" s="111">
        <f t="shared" si="9"/>
        <v>0</v>
      </c>
      <c r="J89" s="112"/>
      <c r="K89" s="113">
        <f t="shared" si="15"/>
        <v>0</v>
      </c>
      <c r="L89" s="111">
        <f t="shared" si="5"/>
        <v>0</v>
      </c>
      <c r="M89" s="112"/>
      <c r="N89" s="113">
        <f t="shared" si="6"/>
        <v>0</v>
      </c>
      <c r="O89" s="114" t="e">
        <f t="shared" si="1"/>
        <v>#DIV/0!</v>
      </c>
      <c r="P89" s="115"/>
    </row>
    <row r="90" spans="1:16" ht="54" customHeight="1">
      <c r="A90" s="116" t="s">
        <v>186</v>
      </c>
      <c r="B90" s="126" t="s">
        <v>205</v>
      </c>
      <c r="C90" s="108">
        <v>1572.2</v>
      </c>
      <c r="D90" s="108">
        <v>505.5</v>
      </c>
      <c r="E90" s="97">
        <f t="shared" si="17"/>
        <v>32.15239791375143</v>
      </c>
      <c r="F90" s="109"/>
      <c r="G90" s="109"/>
      <c r="H90" s="110" t="e">
        <f t="shared" si="18"/>
        <v>#DIV/0!</v>
      </c>
      <c r="I90" s="111">
        <f t="shared" si="9"/>
        <v>1572.2</v>
      </c>
      <c r="J90" s="112"/>
      <c r="K90" s="113">
        <f t="shared" si="15"/>
        <v>1572.2</v>
      </c>
      <c r="L90" s="111">
        <f t="shared" si="5"/>
        <v>505.5</v>
      </c>
      <c r="M90" s="112"/>
      <c r="N90" s="113">
        <f t="shared" si="6"/>
        <v>505.5</v>
      </c>
      <c r="O90" s="114">
        <f t="shared" si="1"/>
        <v>32.15239791375143</v>
      </c>
      <c r="P90" s="115"/>
    </row>
    <row r="91" spans="1:16" ht="135.75" customHeight="1">
      <c r="A91" s="116" t="s">
        <v>206</v>
      </c>
      <c r="B91" s="126" t="s">
        <v>207</v>
      </c>
      <c r="C91" s="108">
        <v>9708.4</v>
      </c>
      <c r="D91" s="108">
        <v>0</v>
      </c>
      <c r="E91" s="97">
        <f t="shared" si="17"/>
        <v>0</v>
      </c>
      <c r="F91" s="108">
        <v>9708.4</v>
      </c>
      <c r="G91" s="109">
        <v>0</v>
      </c>
      <c r="H91" s="110">
        <f t="shared" si="18"/>
        <v>0</v>
      </c>
      <c r="I91" s="111">
        <f t="shared" si="9"/>
        <v>19416.8</v>
      </c>
      <c r="J91" s="112">
        <v>9708.4</v>
      </c>
      <c r="K91" s="113">
        <f t="shared" si="15"/>
        <v>9708.4</v>
      </c>
      <c r="L91" s="111">
        <f t="shared" si="5"/>
        <v>0</v>
      </c>
      <c r="M91" s="112">
        <v>0</v>
      </c>
      <c r="N91" s="113">
        <f t="shared" si="6"/>
        <v>0</v>
      </c>
      <c r="O91" s="114">
        <f t="shared" si="1"/>
        <v>0</v>
      </c>
      <c r="P91" s="115"/>
    </row>
    <row r="92" spans="1:16" ht="118.5" customHeight="1">
      <c r="A92" s="124" t="s">
        <v>206</v>
      </c>
      <c r="B92" s="107" t="s">
        <v>208</v>
      </c>
      <c r="C92" s="108">
        <v>1500</v>
      </c>
      <c r="D92" s="108">
        <v>0</v>
      </c>
      <c r="E92" s="97">
        <f t="shared" si="11"/>
        <v>0</v>
      </c>
      <c r="F92" s="108">
        <v>1500</v>
      </c>
      <c r="G92" s="109">
        <v>0</v>
      </c>
      <c r="H92" s="110">
        <f>G92/F92*100</f>
        <v>0</v>
      </c>
      <c r="I92" s="111">
        <f aca="true" t="shared" si="19" ref="I92:I108">C92+F92</f>
        <v>3000</v>
      </c>
      <c r="J92" s="112">
        <v>1500</v>
      </c>
      <c r="K92" s="113">
        <f t="shared" si="15"/>
        <v>1500</v>
      </c>
      <c r="L92" s="111">
        <f aca="true" t="shared" si="20" ref="L92:L153">D92+G92</f>
        <v>0</v>
      </c>
      <c r="M92" s="112">
        <v>0</v>
      </c>
      <c r="N92" s="113">
        <f aca="true" t="shared" si="21" ref="N92:N153">L92-M92</f>
        <v>0</v>
      </c>
      <c r="O92" s="114">
        <f t="shared" si="1"/>
        <v>0</v>
      </c>
      <c r="P92" s="115"/>
    </row>
    <row r="93" spans="1:16" ht="60" hidden="1">
      <c r="A93" s="116" t="s">
        <v>206</v>
      </c>
      <c r="B93" s="107" t="s">
        <v>209</v>
      </c>
      <c r="C93" s="108"/>
      <c r="D93" s="108"/>
      <c r="E93" s="97" t="e">
        <f t="shared" si="11"/>
        <v>#DIV/0!</v>
      </c>
      <c r="F93" s="108"/>
      <c r="G93" s="109"/>
      <c r="H93" s="110"/>
      <c r="I93" s="111">
        <f t="shared" si="19"/>
        <v>0</v>
      </c>
      <c r="J93" s="112"/>
      <c r="K93" s="113">
        <f t="shared" si="15"/>
        <v>0</v>
      </c>
      <c r="L93" s="111">
        <f t="shared" si="20"/>
        <v>0</v>
      </c>
      <c r="M93" s="112"/>
      <c r="N93" s="113">
        <f t="shared" si="21"/>
        <v>0</v>
      </c>
      <c r="O93" s="114"/>
      <c r="P93" s="115"/>
    </row>
    <row r="94" spans="1:16" ht="30" customHeight="1" hidden="1">
      <c r="A94" s="116" t="s">
        <v>206</v>
      </c>
      <c r="B94" s="107" t="s">
        <v>210</v>
      </c>
      <c r="C94" s="108"/>
      <c r="D94" s="108"/>
      <c r="E94" s="97" t="e">
        <f t="shared" si="11"/>
        <v>#DIV/0!</v>
      </c>
      <c r="F94" s="108"/>
      <c r="G94" s="109"/>
      <c r="H94" s="110"/>
      <c r="I94" s="111">
        <f t="shared" si="19"/>
        <v>0</v>
      </c>
      <c r="J94" s="112"/>
      <c r="K94" s="113">
        <f t="shared" si="15"/>
        <v>0</v>
      </c>
      <c r="L94" s="111">
        <f t="shared" si="20"/>
        <v>0</v>
      </c>
      <c r="M94" s="112"/>
      <c r="N94" s="113">
        <f t="shared" si="21"/>
        <v>0</v>
      </c>
      <c r="O94" s="114"/>
      <c r="P94" s="115"/>
    </row>
    <row r="95" spans="1:16" ht="30" customHeight="1">
      <c r="A95" s="116" t="s">
        <v>206</v>
      </c>
      <c r="B95" s="133" t="s">
        <v>211</v>
      </c>
      <c r="C95" s="108">
        <v>5611.7</v>
      </c>
      <c r="D95" s="108"/>
      <c r="E95" s="97">
        <f>D95/C95*100</f>
        <v>0</v>
      </c>
      <c r="F95" s="108">
        <v>5611.7</v>
      </c>
      <c r="G95" s="109"/>
      <c r="H95" s="110">
        <f aca="true" t="shared" si="22" ref="H95:H103">G95/F95*100</f>
        <v>0</v>
      </c>
      <c r="I95" s="111">
        <f>C95+F95</f>
        <v>11223.4</v>
      </c>
      <c r="J95" s="112">
        <v>5611.7</v>
      </c>
      <c r="K95" s="113">
        <f>I95-J95</f>
        <v>5611.7</v>
      </c>
      <c r="L95" s="111">
        <f>D95+G95</f>
        <v>0</v>
      </c>
      <c r="M95" s="112"/>
      <c r="N95" s="113">
        <f t="shared" si="21"/>
        <v>0</v>
      </c>
      <c r="O95" s="114"/>
      <c r="P95" s="115"/>
    </row>
    <row r="96" spans="1:16" ht="30" customHeight="1">
      <c r="A96" s="116" t="s">
        <v>206</v>
      </c>
      <c r="B96" s="133" t="s">
        <v>212</v>
      </c>
      <c r="C96" s="108">
        <v>7424.8</v>
      </c>
      <c r="D96" s="108"/>
      <c r="E96" s="97">
        <f>D96/C96*100</f>
        <v>0</v>
      </c>
      <c r="F96" s="108">
        <v>7424.8</v>
      </c>
      <c r="G96" s="109"/>
      <c r="H96" s="110">
        <f t="shared" si="22"/>
        <v>0</v>
      </c>
      <c r="I96" s="111">
        <f>C96+F96</f>
        <v>14849.6</v>
      </c>
      <c r="J96" s="112">
        <v>7424.8</v>
      </c>
      <c r="K96" s="113">
        <f>I96-J96</f>
        <v>7424.8</v>
      </c>
      <c r="L96" s="111">
        <f>D96+G96</f>
        <v>0</v>
      </c>
      <c r="M96" s="112"/>
      <c r="N96" s="113"/>
      <c r="O96" s="114"/>
      <c r="P96" s="115"/>
    </row>
    <row r="97" spans="1:16" ht="90" hidden="1">
      <c r="A97" s="116" t="s">
        <v>206</v>
      </c>
      <c r="B97" s="107" t="s">
        <v>213</v>
      </c>
      <c r="C97" s="108">
        <v>0</v>
      </c>
      <c r="D97" s="108">
        <v>0</v>
      </c>
      <c r="E97" s="97" t="e">
        <f t="shared" si="11"/>
        <v>#DIV/0!</v>
      </c>
      <c r="F97" s="108">
        <v>0</v>
      </c>
      <c r="G97" s="109">
        <v>0</v>
      </c>
      <c r="H97" s="110" t="e">
        <f t="shared" si="22"/>
        <v>#DIV/0!</v>
      </c>
      <c r="I97" s="111">
        <f t="shared" si="19"/>
        <v>0</v>
      </c>
      <c r="J97" s="112">
        <v>0</v>
      </c>
      <c r="K97" s="113">
        <f t="shared" si="15"/>
        <v>0</v>
      </c>
      <c r="L97" s="111">
        <f t="shared" si="20"/>
        <v>0</v>
      </c>
      <c r="M97" s="112">
        <v>0</v>
      </c>
      <c r="N97" s="113">
        <f>L97-M97</f>
        <v>0</v>
      </c>
      <c r="O97" s="114" t="e">
        <f t="shared" si="1"/>
        <v>#DIV/0!</v>
      </c>
      <c r="P97" s="115"/>
    </row>
    <row r="98" spans="1:16" s="137" customFormat="1" ht="90" hidden="1">
      <c r="A98" s="134" t="s">
        <v>206</v>
      </c>
      <c r="B98" s="135" t="s">
        <v>214</v>
      </c>
      <c r="C98" s="108">
        <v>0</v>
      </c>
      <c r="D98" s="108">
        <v>0</v>
      </c>
      <c r="E98" s="97" t="e">
        <f t="shared" si="11"/>
        <v>#DIV/0!</v>
      </c>
      <c r="F98" s="108">
        <v>0</v>
      </c>
      <c r="G98" s="109">
        <v>0</v>
      </c>
      <c r="H98" s="110" t="e">
        <f t="shared" si="22"/>
        <v>#DIV/0!</v>
      </c>
      <c r="I98" s="111">
        <f t="shared" si="19"/>
        <v>0</v>
      </c>
      <c r="J98" s="112"/>
      <c r="K98" s="113">
        <f t="shared" si="15"/>
        <v>0</v>
      </c>
      <c r="L98" s="111">
        <f t="shared" si="20"/>
        <v>0</v>
      </c>
      <c r="M98" s="112"/>
      <c r="N98" s="113">
        <f t="shared" si="21"/>
        <v>0</v>
      </c>
      <c r="O98" s="114" t="e">
        <f t="shared" si="1"/>
        <v>#DIV/0!</v>
      </c>
      <c r="P98" s="136"/>
    </row>
    <row r="99" spans="1:16" ht="75" hidden="1">
      <c r="A99" s="116" t="s">
        <v>206</v>
      </c>
      <c r="B99" s="107" t="s">
        <v>215</v>
      </c>
      <c r="C99" s="108"/>
      <c r="D99" s="108"/>
      <c r="E99" s="97"/>
      <c r="F99" s="108"/>
      <c r="G99" s="109"/>
      <c r="H99" s="110" t="e">
        <f t="shared" si="22"/>
        <v>#DIV/0!</v>
      </c>
      <c r="I99" s="111">
        <f t="shared" si="19"/>
        <v>0</v>
      </c>
      <c r="J99" s="112"/>
      <c r="K99" s="113">
        <f t="shared" si="15"/>
        <v>0</v>
      </c>
      <c r="L99" s="111">
        <f t="shared" si="20"/>
        <v>0</v>
      </c>
      <c r="M99" s="112"/>
      <c r="N99" s="113">
        <f t="shared" si="21"/>
        <v>0</v>
      </c>
      <c r="O99" s="114"/>
      <c r="P99" s="115"/>
    </row>
    <row r="100" spans="1:16" ht="60" hidden="1">
      <c r="A100" s="116" t="s">
        <v>206</v>
      </c>
      <c r="B100" s="107" t="s">
        <v>216</v>
      </c>
      <c r="C100" s="108"/>
      <c r="D100" s="108"/>
      <c r="E100" s="97" t="e">
        <f t="shared" si="11"/>
        <v>#DIV/0!</v>
      </c>
      <c r="F100" s="108"/>
      <c r="G100" s="109"/>
      <c r="H100" s="110" t="e">
        <f t="shared" si="22"/>
        <v>#DIV/0!</v>
      </c>
      <c r="I100" s="111">
        <f t="shared" si="19"/>
        <v>0</v>
      </c>
      <c r="J100" s="112"/>
      <c r="K100" s="113">
        <f t="shared" si="15"/>
        <v>0</v>
      </c>
      <c r="L100" s="111">
        <f t="shared" si="20"/>
        <v>0</v>
      </c>
      <c r="M100" s="112"/>
      <c r="N100" s="113">
        <f t="shared" si="21"/>
        <v>0</v>
      </c>
      <c r="O100" s="114" t="e">
        <f t="shared" si="1"/>
        <v>#DIV/0!</v>
      </c>
      <c r="P100" s="115"/>
    </row>
    <row r="101" spans="1:16" ht="55.5" customHeight="1">
      <c r="A101" s="116" t="s">
        <v>206</v>
      </c>
      <c r="B101" s="107" t="s">
        <v>217</v>
      </c>
      <c r="C101" s="108"/>
      <c r="D101" s="108"/>
      <c r="E101" s="97"/>
      <c r="F101" s="108">
        <v>1160</v>
      </c>
      <c r="G101" s="109"/>
      <c r="H101" s="110">
        <f t="shared" si="22"/>
        <v>0</v>
      </c>
      <c r="I101" s="111">
        <f>C101+F101</f>
        <v>1160</v>
      </c>
      <c r="J101" s="112"/>
      <c r="K101" s="113">
        <f t="shared" si="15"/>
        <v>1160</v>
      </c>
      <c r="L101" s="111">
        <f>D101+G101</f>
        <v>0</v>
      </c>
      <c r="M101" s="112"/>
      <c r="N101" s="113">
        <f t="shared" si="21"/>
        <v>0</v>
      </c>
      <c r="O101" s="114"/>
      <c r="P101" s="115"/>
    </row>
    <row r="102" spans="1:16" ht="90" hidden="1">
      <c r="A102" s="116" t="s">
        <v>206</v>
      </c>
      <c r="B102" s="138" t="s">
        <v>218</v>
      </c>
      <c r="C102" s="108"/>
      <c r="D102" s="108"/>
      <c r="E102" s="97"/>
      <c r="F102" s="108"/>
      <c r="G102" s="109"/>
      <c r="H102" s="110" t="e">
        <f t="shared" si="22"/>
        <v>#DIV/0!</v>
      </c>
      <c r="I102" s="111">
        <f t="shared" si="19"/>
        <v>0</v>
      </c>
      <c r="J102" s="112"/>
      <c r="K102" s="113">
        <f t="shared" si="15"/>
        <v>0</v>
      </c>
      <c r="L102" s="111">
        <f t="shared" si="20"/>
        <v>0</v>
      </c>
      <c r="M102" s="112"/>
      <c r="N102" s="113">
        <f t="shared" si="21"/>
        <v>0</v>
      </c>
      <c r="O102" s="114" t="e">
        <f t="shared" si="1"/>
        <v>#DIV/0!</v>
      </c>
      <c r="P102" s="115"/>
    </row>
    <row r="103" spans="1:16" ht="30" hidden="1">
      <c r="A103" s="116" t="s">
        <v>206</v>
      </c>
      <c r="B103" s="107" t="s">
        <v>219</v>
      </c>
      <c r="C103" s="108"/>
      <c r="D103" s="108"/>
      <c r="E103" s="97" t="e">
        <f t="shared" si="11"/>
        <v>#DIV/0!</v>
      </c>
      <c r="F103" s="108"/>
      <c r="G103" s="109"/>
      <c r="H103" s="110" t="e">
        <f t="shared" si="22"/>
        <v>#DIV/0!</v>
      </c>
      <c r="I103" s="111">
        <f t="shared" si="19"/>
        <v>0</v>
      </c>
      <c r="J103" s="112"/>
      <c r="K103" s="113">
        <f t="shared" si="15"/>
        <v>0</v>
      </c>
      <c r="L103" s="111">
        <f t="shared" si="20"/>
        <v>0</v>
      </c>
      <c r="M103" s="112"/>
      <c r="N103" s="113">
        <f t="shared" si="21"/>
        <v>0</v>
      </c>
      <c r="O103" s="114" t="e">
        <f t="shared" si="1"/>
        <v>#DIV/0!</v>
      </c>
      <c r="P103" s="115"/>
    </row>
    <row r="104" spans="1:16" ht="45" hidden="1">
      <c r="A104" s="116" t="s">
        <v>206</v>
      </c>
      <c r="B104" s="107" t="s">
        <v>220</v>
      </c>
      <c r="C104" s="108"/>
      <c r="D104" s="108"/>
      <c r="E104" s="97"/>
      <c r="F104" s="108"/>
      <c r="G104" s="109"/>
      <c r="H104" s="110"/>
      <c r="I104" s="111">
        <f t="shared" si="19"/>
        <v>0</v>
      </c>
      <c r="J104" s="112"/>
      <c r="K104" s="113">
        <f t="shared" si="15"/>
        <v>0</v>
      </c>
      <c r="L104" s="111">
        <f t="shared" si="20"/>
        <v>0</v>
      </c>
      <c r="M104" s="112"/>
      <c r="N104" s="113">
        <f t="shared" si="21"/>
        <v>0</v>
      </c>
      <c r="O104" s="114" t="e">
        <f t="shared" si="1"/>
        <v>#DIV/0!</v>
      </c>
      <c r="P104" s="115"/>
    </row>
    <row r="105" spans="1:16" ht="30" hidden="1">
      <c r="A105" s="116" t="s">
        <v>206</v>
      </c>
      <c r="B105" s="107" t="s">
        <v>221</v>
      </c>
      <c r="C105" s="108"/>
      <c r="D105" s="108"/>
      <c r="E105" s="97"/>
      <c r="F105" s="108"/>
      <c r="G105" s="109"/>
      <c r="H105" s="110"/>
      <c r="I105" s="111">
        <f t="shared" si="19"/>
        <v>0</v>
      </c>
      <c r="J105" s="112"/>
      <c r="K105" s="113">
        <f t="shared" si="15"/>
        <v>0</v>
      </c>
      <c r="L105" s="111">
        <f t="shared" si="20"/>
        <v>0</v>
      </c>
      <c r="M105" s="112"/>
      <c r="N105" s="113">
        <f t="shared" si="21"/>
        <v>0</v>
      </c>
      <c r="O105" s="114" t="e">
        <f t="shared" si="1"/>
        <v>#DIV/0!</v>
      </c>
      <c r="P105" s="115"/>
    </row>
    <row r="106" spans="1:16" ht="75" hidden="1">
      <c r="A106" s="116" t="s">
        <v>206</v>
      </c>
      <c r="B106" s="139" t="s">
        <v>222</v>
      </c>
      <c r="C106" s="108"/>
      <c r="D106" s="108"/>
      <c r="E106" s="97"/>
      <c r="F106" s="108"/>
      <c r="G106" s="109"/>
      <c r="H106" s="110"/>
      <c r="I106" s="111">
        <f t="shared" si="19"/>
        <v>0</v>
      </c>
      <c r="J106" s="112"/>
      <c r="K106" s="113">
        <f t="shared" si="15"/>
        <v>0</v>
      </c>
      <c r="L106" s="111">
        <f t="shared" si="20"/>
        <v>0</v>
      </c>
      <c r="M106" s="112"/>
      <c r="N106" s="113">
        <f t="shared" si="21"/>
        <v>0</v>
      </c>
      <c r="O106" s="114" t="e">
        <f t="shared" si="1"/>
        <v>#DIV/0!</v>
      </c>
      <c r="P106" s="115"/>
    </row>
    <row r="107" spans="1:16" ht="39" customHeight="1">
      <c r="A107" s="106" t="s">
        <v>206</v>
      </c>
      <c r="B107" s="107" t="s">
        <v>223</v>
      </c>
      <c r="C107" s="108"/>
      <c r="D107" s="108"/>
      <c r="E107" s="97"/>
      <c r="F107" s="108">
        <f>65396.8+2500</f>
        <v>67896.8</v>
      </c>
      <c r="G107" s="109">
        <v>15591</v>
      </c>
      <c r="H107" s="110">
        <f>G107/F107*100</f>
        <v>22.962790588068952</v>
      </c>
      <c r="I107" s="111">
        <f t="shared" si="19"/>
        <v>67896.8</v>
      </c>
      <c r="J107" s="112"/>
      <c r="K107" s="113">
        <f t="shared" si="15"/>
        <v>67896.8</v>
      </c>
      <c r="L107" s="111">
        <f t="shared" si="20"/>
        <v>15591</v>
      </c>
      <c r="M107" s="112"/>
      <c r="N107" s="113">
        <f t="shared" si="21"/>
        <v>15591</v>
      </c>
      <c r="O107" s="114">
        <f t="shared" si="1"/>
        <v>22.962790588068952</v>
      </c>
      <c r="P107" s="115"/>
    </row>
    <row r="108" spans="1:16" ht="27.75" customHeight="1">
      <c r="A108" s="116" t="s">
        <v>224</v>
      </c>
      <c r="B108" s="107" t="s">
        <v>225</v>
      </c>
      <c r="C108" s="108">
        <v>40.6</v>
      </c>
      <c r="D108" s="108"/>
      <c r="E108" s="97">
        <f>D108/C108*100</f>
        <v>0</v>
      </c>
      <c r="F108" s="108">
        <v>0</v>
      </c>
      <c r="G108" s="109"/>
      <c r="H108" s="110">
        <v>0</v>
      </c>
      <c r="I108" s="111">
        <f t="shared" si="19"/>
        <v>40.6</v>
      </c>
      <c r="J108" s="112"/>
      <c r="K108" s="113">
        <f t="shared" si="15"/>
        <v>40.6</v>
      </c>
      <c r="L108" s="111">
        <f t="shared" si="20"/>
        <v>0</v>
      </c>
      <c r="M108" s="112"/>
      <c r="N108" s="113">
        <f t="shared" si="21"/>
        <v>0</v>
      </c>
      <c r="O108" s="140">
        <f t="shared" si="1"/>
        <v>0</v>
      </c>
      <c r="P108" s="115"/>
    </row>
    <row r="109" spans="1:16" ht="24.75" customHeight="1">
      <c r="A109" s="141" t="s">
        <v>226</v>
      </c>
      <c r="B109" s="142" t="s">
        <v>227</v>
      </c>
      <c r="C109" s="127">
        <f>C110</f>
        <v>154411.2</v>
      </c>
      <c r="D109" s="127">
        <f aca="true" t="shared" si="23" ref="D109:N109">D110</f>
        <v>73</v>
      </c>
      <c r="E109" s="118">
        <f t="shared" si="11"/>
        <v>0.047276363372605094</v>
      </c>
      <c r="F109" s="127">
        <f t="shared" si="23"/>
        <v>0</v>
      </c>
      <c r="G109" s="127">
        <f t="shared" si="23"/>
        <v>0</v>
      </c>
      <c r="H109" s="104" t="e">
        <f t="shared" si="23"/>
        <v>#DIV/0!</v>
      </c>
      <c r="I109" s="127">
        <f t="shared" si="23"/>
        <v>154411.2</v>
      </c>
      <c r="J109" s="127">
        <f t="shared" si="23"/>
        <v>0</v>
      </c>
      <c r="K109" s="127">
        <f>K110</f>
        <v>154411.2</v>
      </c>
      <c r="L109" s="127">
        <f t="shared" si="23"/>
        <v>73</v>
      </c>
      <c r="M109" s="127">
        <f t="shared" si="23"/>
        <v>0</v>
      </c>
      <c r="N109" s="127">
        <f t="shared" si="23"/>
        <v>73</v>
      </c>
      <c r="O109" s="143">
        <f t="shared" si="1"/>
        <v>0.047276363372605094</v>
      </c>
      <c r="P109" s="115"/>
    </row>
    <row r="110" spans="1:16" ht="48.75" customHeight="1">
      <c r="A110" s="116" t="s">
        <v>228</v>
      </c>
      <c r="B110" s="144" t="s">
        <v>229</v>
      </c>
      <c r="C110" s="109">
        <v>154411.2</v>
      </c>
      <c r="D110" s="109">
        <v>73</v>
      </c>
      <c r="E110" s="97">
        <f t="shared" si="11"/>
        <v>0.047276363372605094</v>
      </c>
      <c r="F110" s="109"/>
      <c r="G110" s="109"/>
      <c r="H110" s="110" t="e">
        <f>G110/F110*100</f>
        <v>#DIV/0!</v>
      </c>
      <c r="I110" s="111">
        <f aca="true" t="shared" si="24" ref="I110:I153">C110+F110</f>
        <v>154411.2</v>
      </c>
      <c r="J110" s="112"/>
      <c r="K110" s="113">
        <f>I110-J110</f>
        <v>154411.2</v>
      </c>
      <c r="L110" s="111">
        <f t="shared" si="20"/>
        <v>73</v>
      </c>
      <c r="M110" s="112"/>
      <c r="N110" s="113">
        <f t="shared" si="21"/>
        <v>73</v>
      </c>
      <c r="O110" s="114">
        <f t="shared" si="1"/>
        <v>0.047276363372605094</v>
      </c>
      <c r="P110" s="115"/>
    </row>
    <row r="111" spans="1:16" ht="15">
      <c r="A111" s="101" t="s">
        <v>230</v>
      </c>
      <c r="B111" s="102" t="s">
        <v>231</v>
      </c>
      <c r="C111" s="103">
        <f>SUM(C112:C121)</f>
        <v>2677939.7</v>
      </c>
      <c r="D111" s="103">
        <f>SUM(D112:D121)</f>
        <v>773000.6999999998</v>
      </c>
      <c r="E111" s="103">
        <f>D111/C111*100</f>
        <v>28.865500593609326</v>
      </c>
      <c r="F111" s="127">
        <f>F112+F114+F115+F120+F121</f>
        <v>0</v>
      </c>
      <c r="G111" s="127">
        <f>SUM(G112:G121)</f>
        <v>0</v>
      </c>
      <c r="H111" s="104">
        <v>0</v>
      </c>
      <c r="I111" s="103">
        <f aca="true" t="shared" si="25" ref="I111:N111">SUM(I112:I121)</f>
        <v>2677939.7</v>
      </c>
      <c r="J111" s="103">
        <f t="shared" si="25"/>
        <v>0</v>
      </c>
      <c r="K111" s="103">
        <f t="shared" si="25"/>
        <v>2677939.7</v>
      </c>
      <c r="L111" s="103">
        <f t="shared" si="25"/>
        <v>773000.6999999998</v>
      </c>
      <c r="M111" s="103">
        <f t="shared" si="25"/>
        <v>0</v>
      </c>
      <c r="N111" s="103">
        <f t="shared" si="25"/>
        <v>773000.6999999998</v>
      </c>
      <c r="O111" s="105">
        <f t="shared" si="1"/>
        <v>28.865500593609326</v>
      </c>
      <c r="P111" s="115"/>
    </row>
    <row r="112" spans="1:16" ht="15" customHeight="1">
      <c r="A112" s="106" t="s">
        <v>232</v>
      </c>
      <c r="B112" s="107" t="s">
        <v>233</v>
      </c>
      <c r="C112" s="108">
        <v>394904.9</v>
      </c>
      <c r="D112" s="108">
        <v>144375.3</v>
      </c>
      <c r="E112" s="97">
        <f t="shared" si="11"/>
        <v>36.559510910095064</v>
      </c>
      <c r="F112" s="109">
        <v>0</v>
      </c>
      <c r="G112" s="109">
        <v>0</v>
      </c>
      <c r="H112" s="110">
        <v>0</v>
      </c>
      <c r="I112" s="111">
        <f t="shared" si="24"/>
        <v>394904.9</v>
      </c>
      <c r="J112" s="112"/>
      <c r="K112" s="113">
        <f aca="true" t="shared" si="26" ref="K112:K153">I112-J112</f>
        <v>394904.9</v>
      </c>
      <c r="L112" s="111">
        <f t="shared" si="20"/>
        <v>144375.3</v>
      </c>
      <c r="M112" s="112"/>
      <c r="N112" s="113">
        <f t="shared" si="21"/>
        <v>144375.3</v>
      </c>
      <c r="O112" s="114">
        <f t="shared" si="1"/>
        <v>36.559510910095064</v>
      </c>
      <c r="P112" s="115"/>
    </row>
    <row r="113" spans="1:16" ht="45" hidden="1">
      <c r="A113" s="120" t="s">
        <v>232</v>
      </c>
      <c r="B113" s="107" t="s">
        <v>234</v>
      </c>
      <c r="C113" s="108"/>
      <c r="D113" s="108"/>
      <c r="E113" s="97" t="e">
        <f t="shared" si="11"/>
        <v>#DIV/0!</v>
      </c>
      <c r="F113" s="109">
        <v>0</v>
      </c>
      <c r="G113" s="109">
        <v>0</v>
      </c>
      <c r="H113" s="110">
        <v>0</v>
      </c>
      <c r="I113" s="111">
        <f t="shared" si="24"/>
        <v>0</v>
      </c>
      <c r="J113" s="112"/>
      <c r="K113" s="113">
        <f t="shared" si="26"/>
        <v>0</v>
      </c>
      <c r="L113" s="111">
        <f t="shared" si="20"/>
        <v>0</v>
      </c>
      <c r="M113" s="112"/>
      <c r="N113" s="113">
        <f t="shared" si="21"/>
        <v>0</v>
      </c>
      <c r="O113" s="114" t="e">
        <f t="shared" si="1"/>
        <v>#DIV/0!</v>
      </c>
      <c r="P113" s="115"/>
    </row>
    <row r="114" spans="1:16" ht="15.75" customHeight="1">
      <c r="A114" s="106" t="s">
        <v>235</v>
      </c>
      <c r="B114" s="138" t="s">
        <v>236</v>
      </c>
      <c r="C114" s="108">
        <f>2057760.2-C115-C116-C117</f>
        <v>1942220</v>
      </c>
      <c r="D114" s="108">
        <f>541253-D115-D116-D117</f>
        <v>504936.6</v>
      </c>
      <c r="E114" s="108">
        <f t="shared" si="11"/>
        <v>25.99790960859223</v>
      </c>
      <c r="F114" s="109">
        <v>0</v>
      </c>
      <c r="G114" s="109">
        <v>0</v>
      </c>
      <c r="H114" s="109">
        <v>0</v>
      </c>
      <c r="I114" s="111">
        <f t="shared" si="24"/>
        <v>1942220</v>
      </c>
      <c r="J114" s="112"/>
      <c r="K114" s="113">
        <f t="shared" si="26"/>
        <v>1942220</v>
      </c>
      <c r="L114" s="111">
        <f t="shared" si="20"/>
        <v>504936.6</v>
      </c>
      <c r="M114" s="112"/>
      <c r="N114" s="113">
        <f t="shared" si="21"/>
        <v>504936.6</v>
      </c>
      <c r="O114" s="145">
        <f t="shared" si="1"/>
        <v>25.99790960859223</v>
      </c>
      <c r="P114" s="115"/>
    </row>
    <row r="115" spans="1:16" ht="131.25" customHeight="1">
      <c r="A115" s="106" t="s">
        <v>235</v>
      </c>
      <c r="B115" s="107" t="s">
        <v>237</v>
      </c>
      <c r="C115" s="108">
        <v>93072</v>
      </c>
      <c r="D115" s="108">
        <v>29902.9</v>
      </c>
      <c r="E115" s="97">
        <f t="shared" si="11"/>
        <v>32.12878201822245</v>
      </c>
      <c r="F115" s="109">
        <v>0</v>
      </c>
      <c r="G115" s="109">
        <v>0</v>
      </c>
      <c r="H115" s="110">
        <v>0</v>
      </c>
      <c r="I115" s="111">
        <f t="shared" si="24"/>
        <v>93072</v>
      </c>
      <c r="J115" s="112"/>
      <c r="K115" s="113">
        <f t="shared" si="26"/>
        <v>93072</v>
      </c>
      <c r="L115" s="111">
        <f t="shared" si="20"/>
        <v>29902.9</v>
      </c>
      <c r="M115" s="112"/>
      <c r="N115" s="113">
        <f t="shared" si="21"/>
        <v>29902.9</v>
      </c>
      <c r="O115" s="114">
        <f t="shared" si="1"/>
        <v>32.12878201822245</v>
      </c>
      <c r="P115" s="115"/>
    </row>
    <row r="116" spans="1:16" ht="94.5" customHeight="1">
      <c r="A116" s="106" t="s">
        <v>235</v>
      </c>
      <c r="B116" s="107" t="s">
        <v>238</v>
      </c>
      <c r="C116" s="108">
        <v>22468.2</v>
      </c>
      <c r="D116" s="108">
        <v>6413.5</v>
      </c>
      <c r="E116" s="97">
        <f t="shared" si="11"/>
        <v>28.544787744456606</v>
      </c>
      <c r="F116" s="109"/>
      <c r="G116" s="109"/>
      <c r="H116" s="110" t="e">
        <f>G116/F116*100</f>
        <v>#DIV/0!</v>
      </c>
      <c r="I116" s="111">
        <f t="shared" si="24"/>
        <v>22468.2</v>
      </c>
      <c r="J116" s="112"/>
      <c r="K116" s="113">
        <f t="shared" si="26"/>
        <v>22468.2</v>
      </c>
      <c r="L116" s="111">
        <f t="shared" si="20"/>
        <v>6413.5</v>
      </c>
      <c r="M116" s="112"/>
      <c r="N116" s="113">
        <f t="shared" si="21"/>
        <v>6413.5</v>
      </c>
      <c r="O116" s="114">
        <f t="shared" si="1"/>
        <v>28.544787744456606</v>
      </c>
      <c r="P116" s="115"/>
    </row>
    <row r="117" spans="1:16" ht="60" hidden="1">
      <c r="A117" s="106" t="s">
        <v>235</v>
      </c>
      <c r="B117" s="107" t="s">
        <v>239</v>
      </c>
      <c r="C117" s="108">
        <v>0</v>
      </c>
      <c r="D117" s="108">
        <v>0</v>
      </c>
      <c r="E117" s="97" t="e">
        <f t="shared" si="11"/>
        <v>#DIV/0!</v>
      </c>
      <c r="F117" s="109"/>
      <c r="G117" s="109"/>
      <c r="H117" s="110"/>
      <c r="I117" s="111">
        <f t="shared" si="24"/>
        <v>0</v>
      </c>
      <c r="J117" s="112"/>
      <c r="K117" s="113">
        <f t="shared" si="26"/>
        <v>0</v>
      </c>
      <c r="L117" s="111">
        <f t="shared" si="20"/>
        <v>0</v>
      </c>
      <c r="M117" s="112"/>
      <c r="N117" s="113">
        <f t="shared" si="21"/>
        <v>0</v>
      </c>
      <c r="O117" s="114" t="e">
        <f t="shared" si="1"/>
        <v>#DIV/0!</v>
      </c>
      <c r="P117" s="115"/>
    </row>
    <row r="118" spans="1:16" ht="135" hidden="1">
      <c r="A118" s="106" t="s">
        <v>235</v>
      </c>
      <c r="B118" s="107" t="s">
        <v>240</v>
      </c>
      <c r="C118" s="108"/>
      <c r="D118" s="108"/>
      <c r="E118" s="97"/>
      <c r="F118" s="109">
        <v>0</v>
      </c>
      <c r="G118" s="109">
        <v>0</v>
      </c>
      <c r="H118" s="110">
        <v>0</v>
      </c>
      <c r="I118" s="111">
        <f t="shared" si="24"/>
        <v>0</v>
      </c>
      <c r="J118" s="112"/>
      <c r="K118" s="113">
        <f t="shared" si="26"/>
        <v>0</v>
      </c>
      <c r="L118" s="111">
        <f t="shared" si="20"/>
        <v>0</v>
      </c>
      <c r="M118" s="112"/>
      <c r="N118" s="113">
        <f t="shared" si="21"/>
        <v>0</v>
      </c>
      <c r="O118" s="114"/>
      <c r="P118" s="115"/>
    </row>
    <row r="119" spans="1:16" ht="30.75" customHeight="1">
      <c r="A119" s="106" t="s">
        <v>241</v>
      </c>
      <c r="B119" s="107" t="s">
        <v>242</v>
      </c>
      <c r="C119" s="108">
        <v>139930.9</v>
      </c>
      <c r="D119" s="108">
        <v>48343.7</v>
      </c>
      <c r="E119" s="97">
        <f t="shared" si="11"/>
        <v>34.548266322877936</v>
      </c>
      <c r="F119" s="109"/>
      <c r="G119" s="109"/>
      <c r="H119" s="110"/>
      <c r="I119" s="111">
        <f t="shared" si="24"/>
        <v>139930.9</v>
      </c>
      <c r="J119" s="112"/>
      <c r="K119" s="113">
        <f t="shared" si="26"/>
        <v>139930.9</v>
      </c>
      <c r="L119" s="111">
        <f t="shared" si="20"/>
        <v>48343.7</v>
      </c>
      <c r="M119" s="112"/>
      <c r="N119" s="113">
        <f t="shared" si="21"/>
        <v>48343.7</v>
      </c>
      <c r="O119" s="114">
        <f t="shared" si="1"/>
        <v>34.548266322877936</v>
      </c>
      <c r="P119" s="115"/>
    </row>
    <row r="120" spans="1:16" ht="37.5" customHeight="1">
      <c r="A120" s="106" t="s">
        <v>243</v>
      </c>
      <c r="B120" s="107" t="s">
        <v>244</v>
      </c>
      <c r="C120" s="108">
        <v>25861.1</v>
      </c>
      <c r="D120" s="108">
        <v>14403.6</v>
      </c>
      <c r="E120" s="97">
        <f t="shared" si="11"/>
        <v>55.69600674371934</v>
      </c>
      <c r="F120" s="109"/>
      <c r="G120" s="109"/>
      <c r="H120" s="110"/>
      <c r="I120" s="111">
        <f t="shared" si="24"/>
        <v>25861.1</v>
      </c>
      <c r="J120" s="112"/>
      <c r="K120" s="113">
        <f t="shared" si="26"/>
        <v>25861.1</v>
      </c>
      <c r="L120" s="111">
        <f t="shared" si="20"/>
        <v>14403.6</v>
      </c>
      <c r="M120" s="112"/>
      <c r="N120" s="113">
        <f t="shared" si="21"/>
        <v>14403.6</v>
      </c>
      <c r="O120" s="114">
        <f t="shared" si="1"/>
        <v>55.69600674371934</v>
      </c>
      <c r="P120" s="115"/>
    </row>
    <row r="121" spans="1:16" ht="30.75" customHeight="1">
      <c r="A121" s="106" t="s">
        <v>245</v>
      </c>
      <c r="B121" s="107" t="s">
        <v>246</v>
      </c>
      <c r="C121" s="108">
        <v>59482.6</v>
      </c>
      <c r="D121" s="108">
        <v>24625.1</v>
      </c>
      <c r="E121" s="97">
        <f t="shared" si="11"/>
        <v>41.398829237457676</v>
      </c>
      <c r="F121" s="109">
        <v>0</v>
      </c>
      <c r="G121" s="109"/>
      <c r="H121" s="110">
        <v>0</v>
      </c>
      <c r="I121" s="111">
        <f t="shared" si="24"/>
        <v>59482.6</v>
      </c>
      <c r="J121" s="112"/>
      <c r="K121" s="113">
        <f t="shared" si="26"/>
        <v>59482.6</v>
      </c>
      <c r="L121" s="111">
        <f t="shared" si="20"/>
        <v>24625.1</v>
      </c>
      <c r="M121" s="112"/>
      <c r="N121" s="113">
        <f t="shared" si="21"/>
        <v>24625.1</v>
      </c>
      <c r="O121" s="114">
        <f t="shared" si="1"/>
        <v>41.398829237457676</v>
      </c>
      <c r="P121" s="115"/>
    </row>
    <row r="122" spans="1:16" ht="28.5" customHeight="1">
      <c r="A122" s="101" t="s">
        <v>247</v>
      </c>
      <c r="B122" s="102" t="s">
        <v>248</v>
      </c>
      <c r="C122" s="103">
        <f>SUM(C123:C126)</f>
        <v>88958.6</v>
      </c>
      <c r="D122" s="103">
        <f>SUM(D123:D126)</f>
        <v>25351.600000000002</v>
      </c>
      <c r="E122" s="103">
        <f>D122/C122*100</f>
        <v>28.498200286425373</v>
      </c>
      <c r="F122" s="127">
        <f>SUM(F123:F126)</f>
        <v>118402.1</v>
      </c>
      <c r="G122" s="127">
        <f>SUM(G123:G126)</f>
        <v>38101.9</v>
      </c>
      <c r="H122" s="104">
        <f>G122/F122*100</f>
        <v>32.180088022087446</v>
      </c>
      <c r="I122" s="127">
        <f aca="true" t="shared" si="27" ref="I122:N122">SUM(I123:I126)</f>
        <v>207360.7</v>
      </c>
      <c r="J122" s="127">
        <f t="shared" si="27"/>
        <v>12599.5</v>
      </c>
      <c r="K122" s="127">
        <f t="shared" si="27"/>
        <v>194761.2</v>
      </c>
      <c r="L122" s="127">
        <f t="shared" si="27"/>
        <v>63453.5</v>
      </c>
      <c r="M122" s="127">
        <f t="shared" si="27"/>
        <v>3520.7</v>
      </c>
      <c r="N122" s="127">
        <f t="shared" si="27"/>
        <v>59932.8</v>
      </c>
      <c r="O122" s="105">
        <f t="shared" si="1"/>
        <v>30.772453650932523</v>
      </c>
      <c r="P122" s="115"/>
    </row>
    <row r="123" spans="1:16" ht="15">
      <c r="A123" s="106" t="s">
        <v>249</v>
      </c>
      <c r="B123" s="107" t="s">
        <v>250</v>
      </c>
      <c r="C123" s="108">
        <f>72350.6-C124</f>
        <v>71651.70000000001</v>
      </c>
      <c r="D123" s="108">
        <f>22318.7-D124</f>
        <v>22194.2</v>
      </c>
      <c r="E123" s="97">
        <f t="shared" si="11"/>
        <v>30.975119920392675</v>
      </c>
      <c r="F123" s="146">
        <f>114953.1-F124</f>
        <v>114811.70000000001</v>
      </c>
      <c r="G123" s="109">
        <f>36652.6-G124</f>
        <v>36550.1</v>
      </c>
      <c r="H123" s="110">
        <f>G123/F123*100</f>
        <v>31.83482171242129</v>
      </c>
      <c r="I123" s="111">
        <f t="shared" si="24"/>
        <v>186463.40000000002</v>
      </c>
      <c r="J123" s="112">
        <f>9444.5-J124</f>
        <v>9320</v>
      </c>
      <c r="K123" s="113">
        <f>I123-J123</f>
        <v>177143.40000000002</v>
      </c>
      <c r="L123" s="111">
        <f t="shared" si="20"/>
        <v>58744.3</v>
      </c>
      <c r="M123" s="112">
        <f>2191.7-M124</f>
        <v>2067.2</v>
      </c>
      <c r="N123" s="113">
        <f t="shared" si="21"/>
        <v>56677.100000000006</v>
      </c>
      <c r="O123" s="114">
        <f t="shared" si="1"/>
        <v>31.99503904746098</v>
      </c>
      <c r="P123" s="115"/>
    </row>
    <row r="124" spans="1:16" ht="69" customHeight="1">
      <c r="A124" s="134" t="s">
        <v>249</v>
      </c>
      <c r="B124" s="135" t="s">
        <v>251</v>
      </c>
      <c r="C124" s="108">
        <v>698.9</v>
      </c>
      <c r="D124" s="108">
        <v>124.5</v>
      </c>
      <c r="E124" s="97">
        <f t="shared" si="11"/>
        <v>17.813707254256688</v>
      </c>
      <c r="F124" s="109">
        <v>141.4</v>
      </c>
      <c r="G124" s="109">
        <v>102.5</v>
      </c>
      <c r="H124" s="110">
        <f>G124/F124*100</f>
        <v>72.4893917963225</v>
      </c>
      <c r="I124" s="111">
        <f t="shared" si="24"/>
        <v>840.3</v>
      </c>
      <c r="J124" s="112">
        <v>124.5</v>
      </c>
      <c r="K124" s="113">
        <f>I124-J124</f>
        <v>715.8</v>
      </c>
      <c r="L124" s="111">
        <f t="shared" si="20"/>
        <v>227</v>
      </c>
      <c r="M124" s="112">
        <v>124.5</v>
      </c>
      <c r="N124" s="113">
        <f t="shared" si="21"/>
        <v>102.5</v>
      </c>
      <c r="O124" s="114">
        <f>N124/K124*100</f>
        <v>14.319642358200616</v>
      </c>
      <c r="P124" s="115"/>
    </row>
    <row r="125" spans="1:16" ht="15">
      <c r="A125" s="106" t="s">
        <v>252</v>
      </c>
      <c r="B125" s="107" t="s">
        <v>253</v>
      </c>
      <c r="C125" s="108">
        <v>100</v>
      </c>
      <c r="D125" s="108">
        <v>60</v>
      </c>
      <c r="E125" s="97">
        <f t="shared" si="11"/>
        <v>60</v>
      </c>
      <c r="F125" s="109"/>
      <c r="G125" s="109"/>
      <c r="H125" s="110" t="e">
        <f>G125/F125*100</f>
        <v>#DIV/0!</v>
      </c>
      <c r="I125" s="111">
        <f t="shared" si="24"/>
        <v>100</v>
      </c>
      <c r="J125" s="112"/>
      <c r="K125" s="113">
        <f>I125-J125</f>
        <v>100</v>
      </c>
      <c r="L125" s="111">
        <f t="shared" si="20"/>
        <v>60</v>
      </c>
      <c r="M125" s="112"/>
      <c r="N125" s="113">
        <f t="shared" si="21"/>
        <v>60</v>
      </c>
      <c r="O125" s="114">
        <f aca="true" t="shared" si="28" ref="O125:O154">N125/K125*100</f>
        <v>60</v>
      </c>
      <c r="P125" s="115"/>
    </row>
    <row r="126" spans="1:16" ht="39.75" customHeight="1">
      <c r="A126" s="106" t="s">
        <v>254</v>
      </c>
      <c r="B126" s="107" t="s">
        <v>255</v>
      </c>
      <c r="C126" s="108">
        <v>16508</v>
      </c>
      <c r="D126" s="108">
        <v>2972.9</v>
      </c>
      <c r="E126" s="97">
        <f t="shared" si="11"/>
        <v>18.008844196753092</v>
      </c>
      <c r="F126" s="109">
        <v>3449</v>
      </c>
      <c r="G126" s="109">
        <v>1449.3</v>
      </c>
      <c r="H126" s="110">
        <f>G126/F126*100</f>
        <v>42.02087561612061</v>
      </c>
      <c r="I126" s="111">
        <f t="shared" si="24"/>
        <v>19957</v>
      </c>
      <c r="J126" s="112">
        <v>3155</v>
      </c>
      <c r="K126" s="113">
        <f>I126-J126</f>
        <v>16802</v>
      </c>
      <c r="L126" s="111">
        <f t="shared" si="20"/>
        <v>4422.2</v>
      </c>
      <c r="M126" s="112">
        <v>1329</v>
      </c>
      <c r="N126" s="113">
        <f t="shared" si="21"/>
        <v>3093.2</v>
      </c>
      <c r="O126" s="114">
        <f t="shared" si="28"/>
        <v>18.409713129389356</v>
      </c>
      <c r="P126" s="115"/>
    </row>
    <row r="127" spans="1:16" ht="32.25" customHeight="1">
      <c r="A127" s="101" t="s">
        <v>256</v>
      </c>
      <c r="B127" s="102" t="s">
        <v>257</v>
      </c>
      <c r="C127" s="103">
        <f>SUM(C128:C130)</f>
        <v>2307.7</v>
      </c>
      <c r="D127" s="103">
        <f>SUM(D128:D130)</f>
        <v>0</v>
      </c>
      <c r="E127" s="103">
        <f>SUM(E130:E130)</f>
        <v>0</v>
      </c>
      <c r="F127" s="127">
        <f>F128+F129+F130</f>
        <v>0</v>
      </c>
      <c r="G127" s="127">
        <f>G128+G129+G130</f>
        <v>0</v>
      </c>
      <c r="H127" s="127"/>
      <c r="I127" s="127">
        <f aca="true" t="shared" si="29" ref="I127:N127">I128+I129+I130</f>
        <v>2307.7</v>
      </c>
      <c r="J127" s="127">
        <f t="shared" si="29"/>
        <v>0</v>
      </c>
      <c r="K127" s="127">
        <f>K128+K129+K130</f>
        <v>2307.7</v>
      </c>
      <c r="L127" s="127">
        <f t="shared" si="29"/>
        <v>0</v>
      </c>
      <c r="M127" s="127">
        <f t="shared" si="29"/>
        <v>0</v>
      </c>
      <c r="N127" s="127">
        <f t="shared" si="29"/>
        <v>0</v>
      </c>
      <c r="O127" s="105">
        <f t="shared" si="28"/>
        <v>0</v>
      </c>
      <c r="P127" s="115"/>
    </row>
    <row r="128" spans="1:16" s="148" customFormat="1" ht="75" hidden="1">
      <c r="A128" s="120" t="s">
        <v>258</v>
      </c>
      <c r="B128" s="138" t="s">
        <v>259</v>
      </c>
      <c r="C128" s="108"/>
      <c r="D128" s="108"/>
      <c r="E128" s="97" t="e">
        <f t="shared" si="11"/>
        <v>#DIV/0!</v>
      </c>
      <c r="F128" s="109"/>
      <c r="G128" s="109"/>
      <c r="H128" s="110" t="e">
        <f>G128/F128*100</f>
        <v>#DIV/0!</v>
      </c>
      <c r="I128" s="111">
        <f t="shared" si="24"/>
        <v>0</v>
      </c>
      <c r="J128" s="112"/>
      <c r="K128" s="113">
        <f>I128-J128</f>
        <v>0</v>
      </c>
      <c r="L128" s="111">
        <f t="shared" si="20"/>
        <v>0</v>
      </c>
      <c r="M128" s="112"/>
      <c r="N128" s="113">
        <f t="shared" si="21"/>
        <v>0</v>
      </c>
      <c r="O128" s="114" t="e">
        <f t="shared" si="28"/>
        <v>#DIV/0!</v>
      </c>
      <c r="P128" s="147"/>
    </row>
    <row r="129" spans="1:16" ht="60" hidden="1">
      <c r="A129" s="116" t="s">
        <v>260</v>
      </c>
      <c r="B129" s="135" t="s">
        <v>261</v>
      </c>
      <c r="C129" s="108"/>
      <c r="D129" s="108"/>
      <c r="E129" s="97" t="e">
        <f t="shared" si="11"/>
        <v>#DIV/0!</v>
      </c>
      <c r="F129" s="113"/>
      <c r="G129" s="113"/>
      <c r="H129" s="109"/>
      <c r="I129" s="111">
        <f t="shared" si="24"/>
        <v>0</v>
      </c>
      <c r="J129" s="112"/>
      <c r="K129" s="113">
        <f t="shared" si="26"/>
        <v>0</v>
      </c>
      <c r="L129" s="111">
        <f t="shared" si="20"/>
        <v>0</v>
      </c>
      <c r="M129" s="112"/>
      <c r="N129" s="113">
        <f>L129-M129</f>
        <v>0</v>
      </c>
      <c r="O129" s="114" t="e">
        <f t="shared" si="28"/>
        <v>#DIV/0!</v>
      </c>
      <c r="P129" s="115"/>
    </row>
    <row r="130" spans="1:18" ht="71.25" customHeight="1">
      <c r="A130" s="116" t="s">
        <v>260</v>
      </c>
      <c r="B130" s="135" t="s">
        <v>262</v>
      </c>
      <c r="C130" s="108">
        <v>2307.7</v>
      </c>
      <c r="D130" s="109">
        <v>0</v>
      </c>
      <c r="E130" s="97">
        <f t="shared" si="11"/>
        <v>0</v>
      </c>
      <c r="F130" s="109"/>
      <c r="G130" s="109"/>
      <c r="H130" s="110"/>
      <c r="I130" s="111">
        <f t="shared" si="24"/>
        <v>2307.7</v>
      </c>
      <c r="J130" s="112"/>
      <c r="K130" s="113">
        <f t="shared" si="26"/>
        <v>2307.7</v>
      </c>
      <c r="L130" s="111">
        <f t="shared" si="20"/>
        <v>0</v>
      </c>
      <c r="M130" s="112"/>
      <c r="N130" s="113">
        <f t="shared" si="21"/>
        <v>0</v>
      </c>
      <c r="O130" s="114">
        <f t="shared" si="28"/>
        <v>0</v>
      </c>
      <c r="P130" s="115"/>
      <c r="R130" t="s">
        <v>39</v>
      </c>
    </row>
    <row r="131" spans="1:16" ht="31.5" customHeight="1">
      <c r="A131" s="101">
        <v>10</v>
      </c>
      <c r="B131" s="102" t="s">
        <v>263</v>
      </c>
      <c r="C131" s="103">
        <f>SUM(C132:C141)</f>
        <v>168096.7</v>
      </c>
      <c r="D131" s="103">
        <f>SUM(D132:D141)</f>
        <v>44057.299999999996</v>
      </c>
      <c r="E131" s="103">
        <f>D131/C131*100</f>
        <v>26.20949727151098</v>
      </c>
      <c r="F131" s="103">
        <f>SUM(F132:F141)</f>
        <v>780</v>
      </c>
      <c r="G131" s="103">
        <f>SUM(G132:G141)</f>
        <v>260</v>
      </c>
      <c r="H131" s="104">
        <f>G131/F131*100</f>
        <v>33.33333333333333</v>
      </c>
      <c r="I131" s="103">
        <f aca="true" t="shared" si="30" ref="I131:N131">SUM(I132:I141)</f>
        <v>168876.7</v>
      </c>
      <c r="J131" s="103">
        <f t="shared" si="30"/>
        <v>0</v>
      </c>
      <c r="K131" s="103">
        <f t="shared" si="30"/>
        <v>168876.7</v>
      </c>
      <c r="L131" s="103">
        <f t="shared" si="30"/>
        <v>44317.299999999996</v>
      </c>
      <c r="M131" s="103">
        <f t="shared" si="30"/>
        <v>0</v>
      </c>
      <c r="N131" s="103">
        <f t="shared" si="30"/>
        <v>44317.299999999996</v>
      </c>
      <c r="O131" s="105">
        <f t="shared" si="28"/>
        <v>26.242400520616517</v>
      </c>
      <c r="P131" s="115"/>
    </row>
    <row r="132" spans="1:16" ht="27.75" customHeight="1">
      <c r="A132" s="116">
        <v>1001</v>
      </c>
      <c r="B132" s="107" t="s">
        <v>264</v>
      </c>
      <c r="C132" s="108">
        <v>4925.5</v>
      </c>
      <c r="D132" s="108">
        <v>1583.8</v>
      </c>
      <c r="E132" s="97">
        <f t="shared" si="11"/>
        <v>32.1551111562278</v>
      </c>
      <c r="F132" s="109">
        <v>780</v>
      </c>
      <c r="G132" s="109">
        <v>260</v>
      </c>
      <c r="H132" s="110">
        <f>G132/F132*100</f>
        <v>33.33333333333333</v>
      </c>
      <c r="I132" s="111">
        <f t="shared" si="24"/>
        <v>5705.5</v>
      </c>
      <c r="J132" s="112"/>
      <c r="K132" s="113">
        <f t="shared" si="26"/>
        <v>5705.5</v>
      </c>
      <c r="L132" s="111">
        <f t="shared" si="20"/>
        <v>1843.8</v>
      </c>
      <c r="M132" s="112"/>
      <c r="N132" s="113">
        <f t="shared" si="21"/>
        <v>1843.8</v>
      </c>
      <c r="O132" s="114">
        <f t="shared" si="28"/>
        <v>32.316186136184385</v>
      </c>
      <c r="P132" s="115"/>
    </row>
    <row r="133" spans="1:16" ht="102" customHeight="1">
      <c r="A133" s="116">
        <v>1003</v>
      </c>
      <c r="B133" s="135" t="s">
        <v>265</v>
      </c>
      <c r="C133" s="108">
        <v>3091</v>
      </c>
      <c r="D133" s="108"/>
      <c r="E133" s="97">
        <f t="shared" si="11"/>
        <v>0</v>
      </c>
      <c r="F133" s="109">
        <v>0</v>
      </c>
      <c r="G133" s="109">
        <v>0</v>
      </c>
      <c r="H133" s="110"/>
      <c r="I133" s="111">
        <f t="shared" si="24"/>
        <v>3091</v>
      </c>
      <c r="J133" s="112"/>
      <c r="K133" s="113">
        <f t="shared" si="26"/>
        <v>3091</v>
      </c>
      <c r="L133" s="111">
        <f t="shared" si="20"/>
        <v>0</v>
      </c>
      <c r="M133" s="112"/>
      <c r="N133" s="113">
        <f t="shared" si="21"/>
        <v>0</v>
      </c>
      <c r="O133" s="114">
        <f t="shared" si="28"/>
        <v>0</v>
      </c>
      <c r="P133" s="115"/>
    </row>
    <row r="134" spans="1:16" ht="75" hidden="1">
      <c r="A134" s="116" t="s">
        <v>266</v>
      </c>
      <c r="B134" s="135" t="s">
        <v>267</v>
      </c>
      <c r="C134" s="108"/>
      <c r="D134" s="108"/>
      <c r="E134" s="97" t="e">
        <f t="shared" si="11"/>
        <v>#DIV/0!</v>
      </c>
      <c r="F134" s="109"/>
      <c r="G134" s="109"/>
      <c r="H134" s="110"/>
      <c r="I134" s="111">
        <f t="shared" si="24"/>
        <v>0</v>
      </c>
      <c r="J134" s="112"/>
      <c r="K134" s="113">
        <f t="shared" si="26"/>
        <v>0</v>
      </c>
      <c r="L134" s="111">
        <f t="shared" si="20"/>
        <v>0</v>
      </c>
      <c r="M134" s="112"/>
      <c r="N134" s="113">
        <f t="shared" si="21"/>
        <v>0</v>
      </c>
      <c r="O134" s="114" t="e">
        <f t="shared" si="28"/>
        <v>#DIV/0!</v>
      </c>
      <c r="P134" s="115"/>
    </row>
    <row r="135" spans="1:16" ht="60" hidden="1">
      <c r="A135" s="116" t="s">
        <v>266</v>
      </c>
      <c r="B135" s="107" t="s">
        <v>268</v>
      </c>
      <c r="C135" s="108"/>
      <c r="D135" s="108"/>
      <c r="E135" s="97"/>
      <c r="F135" s="109"/>
      <c r="G135" s="109"/>
      <c r="H135" s="110"/>
      <c r="I135" s="111">
        <f t="shared" si="24"/>
        <v>0</v>
      </c>
      <c r="J135" s="112"/>
      <c r="K135" s="113">
        <f t="shared" si="26"/>
        <v>0</v>
      </c>
      <c r="L135" s="111">
        <f t="shared" si="20"/>
        <v>0</v>
      </c>
      <c r="M135" s="112"/>
      <c r="N135" s="113">
        <f t="shared" si="21"/>
        <v>0</v>
      </c>
      <c r="O135" s="114"/>
      <c r="P135" s="115"/>
    </row>
    <row r="136" spans="1:16" ht="119.25" customHeight="1">
      <c r="A136" s="124">
        <v>1004</v>
      </c>
      <c r="B136" s="107" t="s">
        <v>269</v>
      </c>
      <c r="C136" s="108">
        <v>15709</v>
      </c>
      <c r="D136" s="108">
        <v>3294.5</v>
      </c>
      <c r="E136" s="97">
        <f t="shared" si="11"/>
        <v>20.97205423642498</v>
      </c>
      <c r="F136" s="109">
        <v>0</v>
      </c>
      <c r="G136" s="109">
        <v>0</v>
      </c>
      <c r="H136" s="110"/>
      <c r="I136" s="111">
        <f t="shared" si="24"/>
        <v>15709</v>
      </c>
      <c r="J136" s="112"/>
      <c r="K136" s="113">
        <f t="shared" si="26"/>
        <v>15709</v>
      </c>
      <c r="L136" s="111">
        <f t="shared" si="20"/>
        <v>3294.5</v>
      </c>
      <c r="M136" s="112"/>
      <c r="N136" s="113">
        <f t="shared" si="21"/>
        <v>3294.5</v>
      </c>
      <c r="O136" s="114">
        <f t="shared" si="28"/>
        <v>20.97205423642498</v>
      </c>
      <c r="P136" s="115"/>
    </row>
    <row r="137" spans="1:16" ht="215.25" customHeight="1">
      <c r="A137" s="116">
        <v>1004</v>
      </c>
      <c r="B137" s="107" t="s">
        <v>301</v>
      </c>
      <c r="C137" s="108">
        <v>81607.3</v>
      </c>
      <c r="D137" s="108">
        <v>17476.6</v>
      </c>
      <c r="E137" s="97">
        <f aca="true" t="shared" si="31" ref="E137:E153">D137/C137*100</f>
        <v>21.41548611460004</v>
      </c>
      <c r="F137" s="109">
        <v>0</v>
      </c>
      <c r="G137" s="109">
        <v>0</v>
      </c>
      <c r="H137" s="110"/>
      <c r="I137" s="111">
        <f t="shared" si="24"/>
        <v>81607.3</v>
      </c>
      <c r="J137" s="112"/>
      <c r="K137" s="113">
        <f t="shared" si="26"/>
        <v>81607.3</v>
      </c>
      <c r="L137" s="111">
        <f t="shared" si="20"/>
        <v>17476.6</v>
      </c>
      <c r="M137" s="112"/>
      <c r="N137" s="113">
        <f t="shared" si="21"/>
        <v>17476.6</v>
      </c>
      <c r="O137" s="114">
        <f t="shared" si="28"/>
        <v>21.41548611460004</v>
      </c>
      <c r="P137" s="115"/>
    </row>
    <row r="138" spans="1:16" ht="177.75" customHeight="1">
      <c r="A138" s="116" t="s">
        <v>270</v>
      </c>
      <c r="B138" s="107" t="s">
        <v>271</v>
      </c>
      <c r="C138" s="108">
        <v>40354.3</v>
      </c>
      <c r="D138" s="108">
        <v>15126.9</v>
      </c>
      <c r="E138" s="97">
        <f>D138/C138*100</f>
        <v>37.485224622902635</v>
      </c>
      <c r="F138" s="109">
        <v>0</v>
      </c>
      <c r="G138" s="109">
        <v>0</v>
      </c>
      <c r="H138" s="110"/>
      <c r="I138" s="111">
        <f t="shared" si="24"/>
        <v>40354.3</v>
      </c>
      <c r="J138" s="112"/>
      <c r="K138" s="113">
        <f t="shared" si="26"/>
        <v>40354.3</v>
      </c>
      <c r="L138" s="111">
        <f t="shared" si="20"/>
        <v>15126.9</v>
      </c>
      <c r="M138" s="112"/>
      <c r="N138" s="113">
        <f t="shared" si="21"/>
        <v>15126.9</v>
      </c>
      <c r="O138" s="114">
        <f>N138/K138*100</f>
        <v>37.485224622902635</v>
      </c>
      <c r="P138" s="115"/>
    </row>
    <row r="139" spans="1:16" ht="36" customHeight="1">
      <c r="A139" s="116" t="s">
        <v>270</v>
      </c>
      <c r="B139" s="107" t="s">
        <v>272</v>
      </c>
      <c r="C139" s="108">
        <v>2070.5</v>
      </c>
      <c r="D139" s="108">
        <v>1442.4</v>
      </c>
      <c r="E139" s="97">
        <f>D139/C139*100</f>
        <v>69.66433228688723</v>
      </c>
      <c r="F139" s="109"/>
      <c r="G139" s="109"/>
      <c r="H139" s="110"/>
      <c r="I139" s="111">
        <f t="shared" si="24"/>
        <v>2070.5</v>
      </c>
      <c r="J139" s="112"/>
      <c r="K139" s="113">
        <f t="shared" si="26"/>
        <v>2070.5</v>
      </c>
      <c r="L139" s="111">
        <f t="shared" si="20"/>
        <v>1442.4</v>
      </c>
      <c r="M139" s="112"/>
      <c r="N139" s="113">
        <f t="shared" si="21"/>
        <v>1442.4</v>
      </c>
      <c r="O139" s="114">
        <f>N139/K139*100</f>
        <v>69.66433228688723</v>
      </c>
      <c r="P139" s="115"/>
    </row>
    <row r="140" spans="1:16" ht="75" hidden="1">
      <c r="A140" s="116" t="s">
        <v>273</v>
      </c>
      <c r="B140" s="107" t="s">
        <v>274</v>
      </c>
      <c r="C140" s="108"/>
      <c r="D140" s="108"/>
      <c r="E140" s="97"/>
      <c r="F140" s="109"/>
      <c r="G140" s="109"/>
      <c r="H140" s="110" t="e">
        <f>G140/F140*100</f>
        <v>#DIV/0!</v>
      </c>
      <c r="I140" s="111">
        <f t="shared" si="24"/>
        <v>0</v>
      </c>
      <c r="J140" s="112"/>
      <c r="K140" s="113">
        <f t="shared" si="26"/>
        <v>0</v>
      </c>
      <c r="L140" s="111">
        <f t="shared" si="20"/>
        <v>0</v>
      </c>
      <c r="M140" s="112"/>
      <c r="N140" s="113">
        <f t="shared" si="21"/>
        <v>0</v>
      </c>
      <c r="O140" s="114" t="e">
        <f>N140/K140*100</f>
        <v>#DIV/0!</v>
      </c>
      <c r="P140" s="115"/>
    </row>
    <row r="141" spans="1:16" ht="45" customHeight="1">
      <c r="A141" s="116">
        <v>1006</v>
      </c>
      <c r="B141" s="107" t="s">
        <v>275</v>
      </c>
      <c r="C141" s="108">
        <v>20339.1</v>
      </c>
      <c r="D141" s="108">
        <v>5133.1</v>
      </c>
      <c r="E141" s="97">
        <f t="shared" si="31"/>
        <v>25.237596550486508</v>
      </c>
      <c r="F141" s="109">
        <v>0</v>
      </c>
      <c r="G141" s="109">
        <v>0</v>
      </c>
      <c r="H141" s="110"/>
      <c r="I141" s="111">
        <f t="shared" si="24"/>
        <v>20339.1</v>
      </c>
      <c r="J141" s="112"/>
      <c r="K141" s="113">
        <f t="shared" si="26"/>
        <v>20339.1</v>
      </c>
      <c r="L141" s="111">
        <f t="shared" si="20"/>
        <v>5133.1</v>
      </c>
      <c r="M141" s="112"/>
      <c r="N141" s="113">
        <f t="shared" si="21"/>
        <v>5133.1</v>
      </c>
      <c r="O141" s="114">
        <f t="shared" si="28"/>
        <v>25.237596550486508</v>
      </c>
      <c r="P141" s="115"/>
    </row>
    <row r="142" spans="1:16" ht="15">
      <c r="A142" s="141">
        <v>1100</v>
      </c>
      <c r="B142" s="102" t="s">
        <v>276</v>
      </c>
      <c r="C142" s="103">
        <f>SUM(C143:C145)</f>
        <v>122631.5</v>
      </c>
      <c r="D142" s="103">
        <f>SUM(D143:D145)</f>
        <v>47341.5</v>
      </c>
      <c r="E142" s="103">
        <f>D142/C142*100</f>
        <v>38.60468150515977</v>
      </c>
      <c r="F142" s="127">
        <f>F143+F144</f>
        <v>23214</v>
      </c>
      <c r="G142" s="127">
        <f>G143+G144</f>
        <v>8926.5</v>
      </c>
      <c r="H142" s="104">
        <f>G142/F142*100</f>
        <v>38.45308865339881</v>
      </c>
      <c r="I142" s="127">
        <f aca="true" t="shared" si="32" ref="I142:N142">I143+I144+I145</f>
        <v>145845.5</v>
      </c>
      <c r="J142" s="127">
        <f t="shared" si="32"/>
        <v>207</v>
      </c>
      <c r="K142" s="127">
        <f t="shared" si="32"/>
        <v>145638.5</v>
      </c>
      <c r="L142" s="127">
        <f t="shared" si="32"/>
        <v>56268</v>
      </c>
      <c r="M142" s="127">
        <f t="shared" si="32"/>
        <v>21.7</v>
      </c>
      <c r="N142" s="127">
        <f t="shared" si="32"/>
        <v>56246.3</v>
      </c>
      <c r="O142" s="105">
        <f t="shared" si="28"/>
        <v>38.620488401075264</v>
      </c>
      <c r="P142" s="115"/>
    </row>
    <row r="143" spans="1:16" ht="15">
      <c r="A143" s="116">
        <v>1101</v>
      </c>
      <c r="B143" s="107" t="s">
        <v>277</v>
      </c>
      <c r="C143" s="108">
        <v>121832.6</v>
      </c>
      <c r="D143" s="108">
        <v>47331.5</v>
      </c>
      <c r="E143" s="97">
        <f t="shared" si="31"/>
        <v>38.84961824667618</v>
      </c>
      <c r="F143" s="109">
        <v>23214</v>
      </c>
      <c r="G143" s="109">
        <v>8926.5</v>
      </c>
      <c r="H143" s="110">
        <f>G143/F143*100</f>
        <v>38.45308865339881</v>
      </c>
      <c r="I143" s="111">
        <f t="shared" si="24"/>
        <v>145046.6</v>
      </c>
      <c r="J143" s="112">
        <v>207</v>
      </c>
      <c r="K143" s="113">
        <f>I143-J143</f>
        <v>144839.6</v>
      </c>
      <c r="L143" s="111">
        <f t="shared" si="20"/>
        <v>56258</v>
      </c>
      <c r="M143" s="112">
        <v>21.7</v>
      </c>
      <c r="N143" s="113">
        <f t="shared" si="21"/>
        <v>56236.3</v>
      </c>
      <c r="O143" s="114">
        <f t="shared" si="28"/>
        <v>38.82660543111138</v>
      </c>
      <c r="P143" s="115"/>
    </row>
    <row r="144" spans="1:16" ht="15">
      <c r="A144" s="116">
        <v>1102</v>
      </c>
      <c r="B144" s="107" t="s">
        <v>278</v>
      </c>
      <c r="C144" s="108">
        <v>165</v>
      </c>
      <c r="D144" s="108">
        <v>10</v>
      </c>
      <c r="E144" s="97">
        <f t="shared" si="31"/>
        <v>6.0606060606060606</v>
      </c>
      <c r="F144" s="109"/>
      <c r="G144" s="109">
        <v>0</v>
      </c>
      <c r="H144" s="110"/>
      <c r="I144" s="111">
        <f t="shared" si="24"/>
        <v>165</v>
      </c>
      <c r="J144" s="112"/>
      <c r="K144" s="113">
        <f t="shared" si="26"/>
        <v>165</v>
      </c>
      <c r="L144" s="111">
        <f t="shared" si="20"/>
        <v>10</v>
      </c>
      <c r="M144" s="112"/>
      <c r="N144" s="113">
        <f t="shared" si="21"/>
        <v>10</v>
      </c>
      <c r="O144" s="114">
        <f t="shared" si="28"/>
        <v>6.0606060606060606</v>
      </c>
      <c r="P144" s="115"/>
    </row>
    <row r="145" spans="1:16" ht="24.75" customHeight="1">
      <c r="A145" s="116" t="s">
        <v>279</v>
      </c>
      <c r="B145" s="107" t="s">
        <v>280</v>
      </c>
      <c r="C145" s="108">
        <v>633.9</v>
      </c>
      <c r="D145" s="108">
        <v>0</v>
      </c>
      <c r="E145" s="97">
        <f t="shared" si="31"/>
        <v>0</v>
      </c>
      <c r="F145" s="109"/>
      <c r="G145" s="109"/>
      <c r="H145" s="110"/>
      <c r="I145" s="111">
        <f t="shared" si="24"/>
        <v>633.9</v>
      </c>
      <c r="J145" s="112"/>
      <c r="K145" s="113">
        <f t="shared" si="26"/>
        <v>633.9</v>
      </c>
      <c r="L145" s="111">
        <f t="shared" si="20"/>
        <v>0</v>
      </c>
      <c r="M145" s="112"/>
      <c r="N145" s="113">
        <f t="shared" si="21"/>
        <v>0</v>
      </c>
      <c r="O145" s="114">
        <f t="shared" si="28"/>
        <v>0</v>
      </c>
      <c r="P145" s="115"/>
    </row>
    <row r="146" spans="1:16" ht="33" customHeight="1">
      <c r="A146" s="141">
        <v>1200</v>
      </c>
      <c r="B146" s="102" t="s">
        <v>281</v>
      </c>
      <c r="C146" s="103">
        <f>SUM(C147:C147)</f>
        <v>14359.4</v>
      </c>
      <c r="D146" s="103">
        <f>SUM(D147:D147)</f>
        <v>2869.9</v>
      </c>
      <c r="E146" s="118">
        <f>D146/C146*100</f>
        <v>19.986211123027424</v>
      </c>
      <c r="F146" s="103"/>
      <c r="G146" s="103"/>
      <c r="H146" s="104"/>
      <c r="I146" s="103">
        <f aca="true" t="shared" si="33" ref="I146:N146">I147</f>
        <v>14359.4</v>
      </c>
      <c r="J146" s="103">
        <f t="shared" si="33"/>
        <v>0</v>
      </c>
      <c r="K146" s="103">
        <f>K147</f>
        <v>14359.4</v>
      </c>
      <c r="L146" s="103">
        <f t="shared" si="33"/>
        <v>2869.9</v>
      </c>
      <c r="M146" s="103">
        <f t="shared" si="33"/>
        <v>0</v>
      </c>
      <c r="N146" s="103">
        <f t="shared" si="33"/>
        <v>2869.9</v>
      </c>
      <c r="O146" s="119">
        <f t="shared" si="28"/>
        <v>19.986211123027424</v>
      </c>
      <c r="P146" s="115"/>
    </row>
    <row r="147" spans="1:16" ht="37.5" customHeight="1">
      <c r="A147" s="116" t="s">
        <v>282</v>
      </c>
      <c r="B147" s="107" t="s">
        <v>283</v>
      </c>
      <c r="C147" s="108">
        <v>14359.4</v>
      </c>
      <c r="D147" s="108">
        <v>2869.9</v>
      </c>
      <c r="E147" s="97">
        <f>D147/C147*100</f>
        <v>19.986211123027424</v>
      </c>
      <c r="F147" s="109"/>
      <c r="G147" s="109"/>
      <c r="H147" s="110"/>
      <c r="I147" s="111">
        <f>C147+F147</f>
        <v>14359.4</v>
      </c>
      <c r="J147" s="112">
        <v>0</v>
      </c>
      <c r="K147" s="113">
        <f>I147-J147</f>
        <v>14359.4</v>
      </c>
      <c r="L147" s="111">
        <f t="shared" si="20"/>
        <v>2869.9</v>
      </c>
      <c r="M147" s="112"/>
      <c r="N147" s="113">
        <f t="shared" si="21"/>
        <v>2869.9</v>
      </c>
      <c r="O147" s="114">
        <f>N147/K147*100</f>
        <v>19.986211123027424</v>
      </c>
      <c r="P147" s="115"/>
    </row>
    <row r="148" spans="1:16" ht="43.5" customHeight="1">
      <c r="A148" s="141">
        <v>1300</v>
      </c>
      <c r="B148" s="102" t="s">
        <v>284</v>
      </c>
      <c r="C148" s="103">
        <f aca="true" t="shared" si="34" ref="C148:N148">C149</f>
        <v>23.8</v>
      </c>
      <c r="D148" s="103">
        <f t="shared" si="34"/>
        <v>7.8</v>
      </c>
      <c r="E148" s="103">
        <f t="shared" si="34"/>
        <v>32.773109243697476</v>
      </c>
      <c r="F148" s="103">
        <f t="shared" si="34"/>
        <v>0</v>
      </c>
      <c r="G148" s="103">
        <f t="shared" si="34"/>
        <v>0</v>
      </c>
      <c r="H148" s="118">
        <f t="shared" si="34"/>
        <v>0</v>
      </c>
      <c r="I148" s="103">
        <f t="shared" si="34"/>
        <v>23.8</v>
      </c>
      <c r="J148" s="103">
        <f t="shared" si="34"/>
        <v>0</v>
      </c>
      <c r="K148" s="103">
        <f t="shared" si="34"/>
        <v>23.8</v>
      </c>
      <c r="L148" s="103">
        <f t="shared" si="34"/>
        <v>7.8</v>
      </c>
      <c r="M148" s="103">
        <f t="shared" si="34"/>
        <v>0</v>
      </c>
      <c r="N148" s="103">
        <f t="shared" si="34"/>
        <v>7.8</v>
      </c>
      <c r="O148" s="119">
        <f t="shared" si="28"/>
        <v>32.773109243697476</v>
      </c>
      <c r="P148" s="115"/>
    </row>
    <row r="149" spans="1:16" ht="58.5" customHeight="1">
      <c r="A149" s="116">
        <v>1301</v>
      </c>
      <c r="B149" s="107" t="s">
        <v>285</v>
      </c>
      <c r="C149" s="108">
        <v>23.8</v>
      </c>
      <c r="D149" s="108">
        <v>7.8</v>
      </c>
      <c r="E149" s="97">
        <f t="shared" si="31"/>
        <v>32.773109243697476</v>
      </c>
      <c r="F149" s="109"/>
      <c r="G149" s="109">
        <v>0</v>
      </c>
      <c r="H149" s="110">
        <v>0</v>
      </c>
      <c r="I149" s="111">
        <f t="shared" si="24"/>
        <v>23.8</v>
      </c>
      <c r="J149" s="112"/>
      <c r="K149" s="113">
        <f t="shared" si="26"/>
        <v>23.8</v>
      </c>
      <c r="L149" s="111">
        <f t="shared" si="20"/>
        <v>7.8</v>
      </c>
      <c r="M149" s="149"/>
      <c r="N149" s="113">
        <f t="shared" si="21"/>
        <v>7.8</v>
      </c>
      <c r="O149" s="114">
        <f t="shared" si="28"/>
        <v>32.773109243697476</v>
      </c>
      <c r="P149" s="115"/>
    </row>
    <row r="150" spans="1:16" ht="34.5" customHeight="1">
      <c r="A150" s="141">
        <v>1400</v>
      </c>
      <c r="B150" s="102" t="s">
        <v>286</v>
      </c>
      <c r="C150" s="103">
        <f>SUM(C151:C153)</f>
        <v>293715.1</v>
      </c>
      <c r="D150" s="103">
        <f>SUM(D151:D153)</f>
        <v>113605</v>
      </c>
      <c r="E150" s="103">
        <f>D150/C150*100</f>
        <v>38.67863790455445</v>
      </c>
      <c r="F150" s="127">
        <f>F151+F152+F153</f>
        <v>0</v>
      </c>
      <c r="G150" s="127">
        <f>SUM(G151:G153)</f>
        <v>0</v>
      </c>
      <c r="H150" s="127"/>
      <c r="I150" s="127">
        <f aca="true" t="shared" si="35" ref="I150:N150">I151+I152+I153</f>
        <v>293715.1</v>
      </c>
      <c r="J150" s="127">
        <f t="shared" si="35"/>
        <v>293715.1</v>
      </c>
      <c r="K150" s="127">
        <f t="shared" si="35"/>
        <v>0</v>
      </c>
      <c r="L150" s="127">
        <f t="shared" si="35"/>
        <v>113605</v>
      </c>
      <c r="M150" s="127">
        <f t="shared" si="35"/>
        <v>113604.95</v>
      </c>
      <c r="N150" s="127">
        <f t="shared" si="35"/>
        <v>0.05000000000291038</v>
      </c>
      <c r="O150" s="105">
        <v>0</v>
      </c>
      <c r="P150" s="115"/>
    </row>
    <row r="151" spans="1:16" ht="51.75" customHeight="1">
      <c r="A151" s="116">
        <v>1401</v>
      </c>
      <c r="B151" s="107" t="s">
        <v>287</v>
      </c>
      <c r="C151" s="108">
        <v>149882.1</v>
      </c>
      <c r="D151" s="108">
        <v>44964.5</v>
      </c>
      <c r="E151" s="97">
        <f t="shared" si="31"/>
        <v>29.99991326515975</v>
      </c>
      <c r="F151" s="109">
        <v>0</v>
      </c>
      <c r="G151" s="109">
        <v>0</v>
      </c>
      <c r="H151" s="110">
        <v>0</v>
      </c>
      <c r="I151" s="111">
        <f t="shared" si="24"/>
        <v>149882.1</v>
      </c>
      <c r="J151" s="112">
        <v>149882.1</v>
      </c>
      <c r="K151" s="113">
        <f>I151-J151</f>
        <v>0</v>
      </c>
      <c r="L151" s="111">
        <f t="shared" si="20"/>
        <v>44964.5</v>
      </c>
      <c r="M151" s="149">
        <v>44964.5</v>
      </c>
      <c r="N151" s="113">
        <f t="shared" si="21"/>
        <v>0</v>
      </c>
      <c r="O151" s="114">
        <v>0</v>
      </c>
      <c r="P151" s="115"/>
    </row>
    <row r="152" spans="1:16" ht="15" hidden="1">
      <c r="A152" s="116">
        <v>1402</v>
      </c>
      <c r="B152" s="107" t="s">
        <v>288</v>
      </c>
      <c r="C152" s="108"/>
      <c r="D152" s="108"/>
      <c r="E152" s="97" t="e">
        <f t="shared" si="31"/>
        <v>#DIV/0!</v>
      </c>
      <c r="F152" s="109">
        <v>0</v>
      </c>
      <c r="G152" s="109">
        <v>0</v>
      </c>
      <c r="H152" s="110">
        <v>0</v>
      </c>
      <c r="I152" s="111">
        <f t="shared" si="24"/>
        <v>0</v>
      </c>
      <c r="J152" s="112"/>
      <c r="K152" s="113">
        <f t="shared" si="26"/>
        <v>0</v>
      </c>
      <c r="L152" s="111">
        <f t="shared" si="20"/>
        <v>0</v>
      </c>
      <c r="M152" s="149"/>
      <c r="N152" s="113">
        <f t="shared" si="21"/>
        <v>0</v>
      </c>
      <c r="O152" s="114">
        <v>0</v>
      </c>
      <c r="P152" s="115"/>
    </row>
    <row r="153" spans="1:16" ht="43.5" customHeight="1">
      <c r="A153" s="116">
        <v>1403</v>
      </c>
      <c r="B153" s="107" t="s">
        <v>289</v>
      </c>
      <c r="C153" s="108">
        <v>143833</v>
      </c>
      <c r="D153" s="108">
        <v>68640.5</v>
      </c>
      <c r="E153" s="97">
        <f t="shared" si="31"/>
        <v>47.72235856861777</v>
      </c>
      <c r="F153" s="109">
        <v>0</v>
      </c>
      <c r="G153" s="109">
        <v>0</v>
      </c>
      <c r="H153" s="110">
        <v>0</v>
      </c>
      <c r="I153" s="111">
        <f t="shared" si="24"/>
        <v>143833</v>
      </c>
      <c r="J153" s="112">
        <v>143833</v>
      </c>
      <c r="K153" s="113">
        <f t="shared" si="26"/>
        <v>0</v>
      </c>
      <c r="L153" s="111">
        <f t="shared" si="20"/>
        <v>68640.5</v>
      </c>
      <c r="M153" s="112">
        <v>68640.45</v>
      </c>
      <c r="N153" s="113">
        <f t="shared" si="21"/>
        <v>0.05000000000291038</v>
      </c>
      <c r="O153" s="114">
        <v>0</v>
      </c>
      <c r="P153" s="115"/>
    </row>
    <row r="154" spans="1:16" ht="15.75" thickBot="1">
      <c r="A154" s="226" t="s">
        <v>290</v>
      </c>
      <c r="B154" s="227"/>
      <c r="C154" s="150">
        <f>C10+C19+C21+C26+C59+C109+C111+C122+C127+C131+C142+C146+C148+C150</f>
        <v>4739127.1</v>
      </c>
      <c r="D154" s="150">
        <f>D150+D148+D146+D142+D131+D127+D122+D111+D109+D59+D26+D21+D19+D10</f>
        <v>1226118</v>
      </c>
      <c r="E154" s="150">
        <f>D154/C154*100</f>
        <v>25.872232884406078</v>
      </c>
      <c r="F154" s="150">
        <f>F10+F19+F21+F26+F59+F109+F111+F122+F127+F131+F142+F146+F148+F150</f>
        <v>652917.5</v>
      </c>
      <c r="G154" s="150">
        <f>G10+G19+G21+G26+G59+G109+G111+G122+G127+G131+G142+G146+G148+G150</f>
        <v>197620.1</v>
      </c>
      <c r="H154" s="151">
        <f>G154/F154*100</f>
        <v>30.26723896970138</v>
      </c>
      <c r="I154" s="150"/>
      <c r="J154" s="150">
        <f>J10+J19+J21+J26+J59+J109+J111+J122+J127+J131+J142+J146+J148+J150</f>
        <v>432822.6</v>
      </c>
      <c r="K154" s="150">
        <f>K150+K148+K146+K142+K131+K127+K122+K111+K109+K59+K26+K21+K19+K10</f>
        <v>4959221.999999999</v>
      </c>
      <c r="L154" s="152"/>
      <c r="M154" s="150">
        <f>M10+M19+M21+M26+M59+M109+M111+M122+M127+M131+M142+M146+M148+M150</f>
        <v>133185.05</v>
      </c>
      <c r="N154" s="150">
        <f>N150+N148+N146+N142+N131+N127+N122+N111+N109+N59+N26+N21+N19+N10</f>
        <v>1290553.0499999998</v>
      </c>
      <c r="O154" s="153">
        <f t="shared" si="28"/>
        <v>26.02329659773247</v>
      </c>
      <c r="P154" s="115"/>
    </row>
    <row r="155" spans="1:15" ht="12.75">
      <c r="A155" s="154"/>
      <c r="B155" s="155"/>
      <c r="C155" s="156"/>
      <c r="D155" s="88"/>
      <c r="E155" s="157"/>
      <c r="F155" s="90"/>
      <c r="G155" s="90"/>
      <c r="H155" s="91"/>
      <c r="I155" s="91"/>
      <c r="J155" s="91"/>
      <c r="K155" s="94"/>
      <c r="L155" s="90"/>
      <c r="M155" s="94"/>
      <c r="N155" s="94"/>
      <c r="O155" s="95"/>
    </row>
    <row r="156" spans="1:15" ht="12.75" hidden="1">
      <c r="A156" s="158"/>
      <c r="B156" s="159"/>
      <c r="C156" s="160">
        <v>4739127.1</v>
      </c>
      <c r="D156" s="160">
        <v>1226118</v>
      </c>
      <c r="E156" s="160"/>
      <c r="F156" s="160">
        <v>652917.5</v>
      </c>
      <c r="G156" s="160">
        <v>197620.1</v>
      </c>
      <c r="H156" s="160"/>
      <c r="I156" s="160"/>
      <c r="J156" s="160">
        <v>432822.6</v>
      </c>
      <c r="K156" s="161">
        <v>4959222</v>
      </c>
      <c r="L156" s="160"/>
      <c r="M156" s="160">
        <v>133185</v>
      </c>
      <c r="N156" s="160">
        <v>1290553</v>
      </c>
      <c r="O156" s="160"/>
    </row>
    <row r="157" spans="1:15" ht="12.75" hidden="1">
      <c r="A157" s="158"/>
      <c r="B157" s="159"/>
      <c r="C157" s="162">
        <f>C156-C154</f>
        <v>0</v>
      </c>
      <c r="D157" s="162">
        <f>D156-D154</f>
        <v>0</v>
      </c>
      <c r="E157" s="163"/>
      <c r="F157" s="164">
        <f>F154-F156</f>
        <v>0</v>
      </c>
      <c r="G157" s="165">
        <f>G154-G156</f>
        <v>0</v>
      </c>
      <c r="H157" s="165"/>
      <c r="I157" s="165"/>
      <c r="J157" s="166">
        <f>J154-J156</f>
        <v>0</v>
      </c>
      <c r="K157" s="166">
        <f>K154-K156</f>
        <v>0</v>
      </c>
      <c r="L157" s="166">
        <f>L154-L156</f>
        <v>0</v>
      </c>
      <c r="M157" s="166">
        <f>M154-M156</f>
        <v>0.04999999998835847</v>
      </c>
      <c r="N157" s="166">
        <f>N154-N156</f>
        <v>0.049999999813735485</v>
      </c>
      <c r="O157" s="166"/>
    </row>
    <row r="158" spans="1:15" ht="12.75">
      <c r="A158" s="228" t="s">
        <v>291</v>
      </c>
      <c r="B158" s="228"/>
      <c r="C158" s="228"/>
      <c r="D158" s="167"/>
      <c r="E158" s="168"/>
      <c r="F158" s="167"/>
      <c r="G158" s="90"/>
      <c r="H158" s="91"/>
      <c r="I158" s="91"/>
      <c r="J158" s="91"/>
      <c r="K158" s="95"/>
      <c r="L158" s="91"/>
      <c r="M158" s="95"/>
      <c r="N158" s="94"/>
      <c r="O158" s="95"/>
    </row>
    <row r="159" spans="1:15" ht="12.75">
      <c r="A159" s="228" t="s">
        <v>292</v>
      </c>
      <c r="B159" s="228"/>
      <c r="C159" s="228"/>
      <c r="D159" s="169"/>
      <c r="E159" s="231" t="s">
        <v>293</v>
      </c>
      <c r="F159" s="231"/>
      <c r="G159" s="90"/>
      <c r="H159" s="91"/>
      <c r="I159" s="91"/>
      <c r="J159" s="91"/>
      <c r="K159" s="92"/>
      <c r="L159" s="93"/>
      <c r="M159" s="92"/>
      <c r="N159" s="94"/>
      <c r="O159" s="95"/>
    </row>
    <row r="160" spans="1:15" ht="12.75">
      <c r="A160" s="170"/>
      <c r="B160" s="171"/>
      <c r="C160" s="172"/>
      <c r="D160" s="173"/>
      <c r="E160" s="174"/>
      <c r="F160" s="175"/>
      <c r="G160" s="90"/>
      <c r="H160" s="91"/>
      <c r="I160" s="91"/>
      <c r="J160" s="91"/>
      <c r="K160" s="92"/>
      <c r="L160" s="93"/>
      <c r="M160" s="92"/>
      <c r="N160" s="94"/>
      <c r="O160" s="95"/>
    </row>
    <row r="161" spans="1:15" ht="12.75">
      <c r="A161" s="228" t="s">
        <v>294</v>
      </c>
      <c r="B161" s="228"/>
      <c r="C161" s="228"/>
      <c r="D161" s="176"/>
      <c r="E161" s="231" t="s">
        <v>295</v>
      </c>
      <c r="F161" s="231"/>
      <c r="G161" s="90"/>
      <c r="H161" s="91"/>
      <c r="I161" s="91"/>
      <c r="J161" s="91"/>
      <c r="K161" s="92"/>
      <c r="L161" s="93"/>
      <c r="M161" s="92"/>
      <c r="N161" s="94"/>
      <c r="O161" s="95"/>
    </row>
    <row r="162" spans="1:15" ht="12.75">
      <c r="A162" s="170"/>
      <c r="B162" s="177"/>
      <c r="C162" s="178"/>
      <c r="D162" s="179"/>
      <c r="E162" s="174"/>
      <c r="F162" s="175"/>
      <c r="G162" s="90"/>
      <c r="H162" s="91"/>
      <c r="I162" s="91"/>
      <c r="J162" s="91"/>
      <c r="K162" s="92"/>
      <c r="L162" s="93"/>
      <c r="M162" s="92"/>
      <c r="N162" s="94"/>
      <c r="O162" s="95"/>
    </row>
    <row r="163" spans="1:15" ht="12.75">
      <c r="A163" s="228" t="s">
        <v>296</v>
      </c>
      <c r="B163" s="228"/>
      <c r="C163" s="228"/>
      <c r="D163" s="176"/>
      <c r="E163" s="231" t="s">
        <v>297</v>
      </c>
      <c r="F163" s="231"/>
      <c r="G163" s="90"/>
      <c r="H163" s="91"/>
      <c r="I163" s="91"/>
      <c r="J163" s="91"/>
      <c r="K163" s="92"/>
      <c r="L163" s="93"/>
      <c r="M163" s="92"/>
      <c r="N163" s="94"/>
      <c r="O163" s="95"/>
    </row>
    <row r="164" spans="1:15" ht="12.75">
      <c r="A164" s="180"/>
      <c r="B164" s="181"/>
      <c r="C164" s="182"/>
      <c r="D164" s="167"/>
      <c r="E164" s="183"/>
      <c r="F164" s="167"/>
      <c r="G164" s="90"/>
      <c r="H164" s="91"/>
      <c r="I164" s="91"/>
      <c r="J164" s="91"/>
      <c r="K164" s="95"/>
      <c r="L164" s="91"/>
      <c r="M164" s="95"/>
      <c r="N164" s="94" t="s">
        <v>39</v>
      </c>
      <c r="O164" s="95"/>
    </row>
    <row r="165" spans="1:14" ht="12.75">
      <c r="A165" s="137"/>
      <c r="B165" s="137"/>
      <c r="C165" s="184" t="s">
        <v>298</v>
      </c>
      <c r="D165" s="185"/>
      <c r="E165" s="186" t="s">
        <v>299</v>
      </c>
      <c r="F165" s="187"/>
      <c r="G165" s="148"/>
      <c r="K165" t="s">
        <v>300</v>
      </c>
      <c r="L165" s="188"/>
      <c r="N165" s="148"/>
    </row>
    <row r="166" spans="3:12" ht="12.75">
      <c r="C166" s="148"/>
      <c r="F166" s="148"/>
      <c r="L166" s="188"/>
    </row>
    <row r="167" spans="11:13" ht="12.75">
      <c r="K167" s="189"/>
      <c r="L167" s="189" t="s">
        <v>39</v>
      </c>
      <c r="M167" s="189"/>
    </row>
  </sheetData>
  <sheetProtection/>
  <mergeCells count="28">
    <mergeCell ref="A159:C159"/>
    <mergeCell ref="E159:F159"/>
    <mergeCell ref="A161:C161"/>
    <mergeCell ref="E161:F161"/>
    <mergeCell ref="A163:C163"/>
    <mergeCell ref="E163:F163"/>
    <mergeCell ref="A154:B154"/>
    <mergeCell ref="A158:C158"/>
    <mergeCell ref="G4:G5"/>
    <mergeCell ref="H4:H5"/>
    <mergeCell ref="I4:I5"/>
    <mergeCell ref="J4:J5"/>
    <mergeCell ref="C4:C5"/>
    <mergeCell ref="D4:D5"/>
    <mergeCell ref="M4:M5"/>
    <mergeCell ref="N4:N5"/>
    <mergeCell ref="O4:O5"/>
    <mergeCell ref="B6:O8"/>
    <mergeCell ref="E4:E5"/>
    <mergeCell ref="F4:F5"/>
    <mergeCell ref="K4:K5"/>
    <mergeCell ref="L4:L5"/>
    <mergeCell ref="A1:O1"/>
    <mergeCell ref="A3:A8"/>
    <mergeCell ref="B3:B5"/>
    <mergeCell ref="C3:E3"/>
    <mergeCell ref="F3:H3"/>
    <mergeCell ref="I3:O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nnkochanov@oktregion.ru</cp:lastModifiedBy>
  <cp:lastPrinted>2022-05-06T09:40:53Z</cp:lastPrinted>
  <dcterms:created xsi:type="dcterms:W3CDTF">2006-05-12T06:58:42Z</dcterms:created>
  <dcterms:modified xsi:type="dcterms:W3CDTF">2022-06-22T05:47:19Z</dcterms:modified>
  <cp:category/>
  <cp:version/>
  <cp:contentType/>
  <cp:contentStatus/>
</cp:coreProperties>
</file>