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984" windowHeight="8976" activeTab="1"/>
  </bookViews>
  <sheets>
    <sheet name="доходы" sheetId="1" r:id="rId1"/>
    <sheet name="расходы" sheetId="2" r:id="rId2"/>
  </sheets>
  <definedNames>
    <definedName name="_xlnm.Print_Titles" localSheetId="0">'доходы'!$4:$6</definedName>
  </definedNames>
  <calcPr fullCalcOnLoad="1"/>
</workbook>
</file>

<file path=xl/sharedStrings.xml><?xml version="1.0" encoding="utf-8"?>
<sst xmlns="http://schemas.openxmlformats.org/spreadsheetml/2006/main" count="757" uniqueCount="304">
  <si>
    <t>БЕЗВОЗМЕЗДНЫЕ ПОСТУПЛЕНИЯ</t>
  </si>
  <si>
    <t>00020000000000000000</t>
  </si>
  <si>
    <t>00020700000000000180</t>
  </si>
  <si>
    <t>00010000000000000000</t>
  </si>
  <si>
    <t>ВСЕГО ДОХОДОВ</t>
  </si>
  <si>
    <t>Налоги на совокупный доход</t>
  </si>
  <si>
    <t>Налоги  на  имущество</t>
  </si>
  <si>
    <t>Штрафы, санкции, возмещение  ущерба</t>
  </si>
  <si>
    <t>00010500000000000000</t>
  </si>
  <si>
    <t>00010600000000000000</t>
  </si>
  <si>
    <t>00010800000000000000</t>
  </si>
  <si>
    <t>00011100000000000000</t>
  </si>
  <si>
    <t>00011600000000000000</t>
  </si>
  <si>
    <t>Платежи при пользовании  природными  ресурсами</t>
  </si>
  <si>
    <t>00011200000000000000</t>
  </si>
  <si>
    <t>Доходы от продажи материальных и нематериальных активов</t>
  </si>
  <si>
    <t>Наименование дохода</t>
  </si>
  <si>
    <t>Доходы от использования имущества , находящегося  в государственной и муниципальной собственности</t>
  </si>
  <si>
    <t>00011400000000000000</t>
  </si>
  <si>
    <t>Прочие безвозмездные поступления</t>
  </si>
  <si>
    <t>Безвозмездные поступления от других бюджетов бюджетной системы Российской Федерации</t>
  </si>
  <si>
    <t>Государственная пошлина</t>
  </si>
  <si>
    <t>Октябрьский район</t>
  </si>
  <si>
    <t>городское поселение Андра</t>
  </si>
  <si>
    <t>городское поселение Октябрьское</t>
  </si>
  <si>
    <t>городское поселение Приобье</t>
  </si>
  <si>
    <t>городское поселение Талинка</t>
  </si>
  <si>
    <t>сельское поселение Каменное</t>
  </si>
  <si>
    <t>сельское поселение Карымкары</t>
  </si>
  <si>
    <t>сельское поселение М-Атлым</t>
  </si>
  <si>
    <t>сельское поселение Перегрёбное</t>
  </si>
  <si>
    <t>сельское поселение Сергино</t>
  </si>
  <si>
    <t>сельское поселение Унъюган</t>
  </si>
  <si>
    <t>сельское поселение Шеркалы</t>
  </si>
  <si>
    <t>Октябрьский район (консолидированный бюджет)</t>
  </si>
  <si>
    <t>00010900000000000000</t>
  </si>
  <si>
    <t>Задолженность и перерасчеты по отмененным налогам, сборам и иным обязательным платежам</t>
  </si>
  <si>
    <t>00011700000000000000</t>
  </si>
  <si>
    <t>Прочие неналоговые доходы</t>
  </si>
  <si>
    <t xml:space="preserve"> </t>
  </si>
  <si>
    <t>00011300000000000000</t>
  </si>
  <si>
    <t>Доходы от оказания платных услуг и компенсации затрат государства</t>
  </si>
  <si>
    <t>00011900000000000000</t>
  </si>
  <si>
    <t>Возврат остатков субсидий и субвенций прошлых лет</t>
  </si>
  <si>
    <t>КБК</t>
  </si>
  <si>
    <t>112</t>
  </si>
  <si>
    <t>111</t>
  </si>
  <si>
    <t>108</t>
  </si>
  <si>
    <t>116</t>
  </si>
  <si>
    <t>202</t>
  </si>
  <si>
    <t>207</t>
  </si>
  <si>
    <t>114</t>
  </si>
  <si>
    <t>105</t>
  </si>
  <si>
    <t>106</t>
  </si>
  <si>
    <t xml:space="preserve"> -</t>
  </si>
  <si>
    <t>113</t>
  </si>
  <si>
    <t>контроль</t>
  </si>
  <si>
    <t>00011500000000000000</t>
  </si>
  <si>
    <t>Административные платежи и сборы</t>
  </si>
  <si>
    <t>=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</si>
  <si>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</si>
  <si>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</si>
  <si>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00021900000000000000</t>
  </si>
  <si>
    <t>00020200000000000000</t>
  </si>
  <si>
    <t>НАЛОГОВЫЕ И НЕНАЛОГОВЫЕ ДОХОДЫ</t>
  </si>
  <si>
    <t>(тыс.руб.)</t>
  </si>
  <si>
    <t>1 квартал</t>
  </si>
  <si>
    <t>2 квартал</t>
  </si>
  <si>
    <t>3 квартал</t>
  </si>
  <si>
    <t>4 квартал</t>
  </si>
  <si>
    <t>00021800000000000000</t>
  </si>
  <si>
    <t>00020700000000000000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</si>
  <si>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</si>
  <si>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</si>
  <si>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00010102000010000110</t>
  </si>
  <si>
    <t>Налог на доходы физических лиц</t>
  </si>
  <si>
    <t>Первонач. план на 2022 год</t>
  </si>
  <si>
    <t>Уточн. план на 2022 год</t>
  </si>
  <si>
    <t xml:space="preserve">% исп-ия к уточн. плану на 2022 год </t>
  </si>
  <si>
    <t xml:space="preserve">% исп-ия к первонач. плану на 2022 год </t>
  </si>
  <si>
    <t>00020300000000000000</t>
  </si>
  <si>
    <t xml:space="preserve">Безвозмездные поступления от государственных (муниципальных) организаций </t>
  </si>
  <si>
    <t>План                 на 1 полугодие 2022 года</t>
  </si>
  <si>
    <t xml:space="preserve">% исп-ия к плану за 1 полугодие 2022 года </t>
  </si>
  <si>
    <t>Отчет об исполнении консолидированного бюджета Октябрьского района по состоянию на 01.07.2022</t>
  </si>
  <si>
    <t>Исполнение на 01.07.2022</t>
  </si>
  <si>
    <t>Отчет  об  исполнении  консолидированного  бюджета  района  по  расходам на 1 июля 2022 года</t>
  </si>
  <si>
    <t>ФКР</t>
  </si>
  <si>
    <t>Наименование показателя</t>
  </si>
  <si>
    <t>Бюджет Район</t>
  </si>
  <si>
    <t>Бюджет Поселения</t>
  </si>
  <si>
    <t>Консолидированный бюджет</t>
  </si>
  <si>
    <t>План на год</t>
  </si>
  <si>
    <t>исполнение на 01.07.2022</t>
  </si>
  <si>
    <t>% исполнения</t>
  </si>
  <si>
    <t>суммы подлежащие исключению</t>
  </si>
  <si>
    <t>исполнения на 01.07.2022</t>
  </si>
  <si>
    <t>РАСХОДЫ</t>
  </si>
  <si>
    <t>01</t>
  </si>
  <si>
    <t>Общегосударственные  вопросы</t>
  </si>
  <si>
    <t>0102</t>
  </si>
  <si>
    <t>Функционирование  высшего  должностного  лица</t>
  </si>
  <si>
    <t>0103</t>
  </si>
  <si>
    <t>Функционирование  законодательных (представительных)  органов власти</t>
  </si>
  <si>
    <t>0104</t>
  </si>
  <si>
    <t>Функционирование  органов  местного   самоуправления</t>
  </si>
  <si>
    <t>0105</t>
  </si>
  <si>
    <t>Судебная система</t>
  </si>
  <si>
    <t>0106</t>
  </si>
  <si>
    <t>Обеспечение  деятельности  финансовых  органов</t>
  </si>
  <si>
    <t>0107</t>
  </si>
  <si>
    <t>Обеспечение проведения выборов и референдумов</t>
  </si>
  <si>
    <t>0111</t>
  </si>
  <si>
    <t>Резервный  фонд</t>
  </si>
  <si>
    <t>0113</t>
  </si>
  <si>
    <t>Другие  общегосударственные  вопросы</t>
  </si>
  <si>
    <t>02</t>
  </si>
  <si>
    <t>Национальная оборона</t>
  </si>
  <si>
    <t>0203</t>
  </si>
  <si>
    <t>Содержание инспекторов ВУС</t>
  </si>
  <si>
    <t>03</t>
  </si>
  <si>
    <t>Национальная  безопасность и правоохранительная деятельность</t>
  </si>
  <si>
    <t>0304</t>
  </si>
  <si>
    <t xml:space="preserve">ЗАГС </t>
  </si>
  <si>
    <t>0309</t>
  </si>
  <si>
    <t>Предупреждение и  ликвидация  последствий ЧС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</si>
  <si>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</si>
  <si>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</si>
  <si>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</si>
  <si>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</si>
  <si>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</t>
  </si>
  <si>
    <t>Национальная  экономика</t>
  </si>
  <si>
    <t>0401</t>
  </si>
  <si>
    <t>Государственная программа "Содействие занятости населения в Ханты-Мансийском автономном округе – Югре на 2014 – 2020 годы"</t>
  </si>
  <si>
    <t>0405</t>
  </si>
  <si>
    <t>Сельское хозяйство и рыболовство</t>
  </si>
  <si>
    <t>0408</t>
  </si>
  <si>
    <t>Воздушный транспорт (1120161100)</t>
  </si>
  <si>
    <t>Автомобильный транспорт (1140199990 - район, 4030099990, 4110089020, ****99990 - поселения)</t>
  </si>
  <si>
    <t>Водный транспорт (1130161100)</t>
  </si>
  <si>
    <t>0409</t>
  </si>
  <si>
    <t>Муниципальная  программа" Развитие транспортной  системы муниципального  образования Октябрьский  район" (11101S2390)</t>
  </si>
  <si>
    <t>Муниципальная  программа" Развитие транспортной  системы муниципального  образования Октябрьский  район"  (1110182390) окружные средства</t>
  </si>
  <si>
    <t>Содержание автомобильных дорог общего пользования (1110199990)  (дорожный фонд)</t>
  </si>
  <si>
    <t>Основное мероприятие "Капитальный ремонт и ремонт автомобильных дорог местного значения городского поселения Талинка". (0300189111, 0300289112, 0300199990, 0300399990)</t>
  </si>
  <si>
    <t>Основное мероприятие "Содержание автомобильных дорог" (0400299990)</t>
  </si>
  <si>
    <t xml:space="preserve"> (0100199990, 0100189111, 0100489112, 0100189113, ,0100189152, 4030089111,0100190105, 0100189112)</t>
  </si>
  <si>
    <t>Основное мероприятие "Проведение диагностики автомобильных дорог" ( 0100490106)</t>
  </si>
  <si>
    <t>Основное мероприятие "Содержание автомобильных дорог" (0100299990)</t>
  </si>
  <si>
    <t>Основное мероприятие "Приобретение дорожных знаков и краски для разметки" (0100399990)</t>
  </si>
  <si>
    <t>Основное мероприятие "Закупка товаров, работ и услуг для обеспечения  государственных (муниципальных) нужд" (0100199990, 0100189111, 0100189112)</t>
  </si>
  <si>
    <t>Расходы на реализацию мероприятий (2560199990, 2570199990)</t>
  </si>
  <si>
    <t>Содержание и ремонт автомобильных дорог общего пользования (4030099990) (средства бюджетов поселений)</t>
  </si>
  <si>
    <t>0410</t>
  </si>
  <si>
    <t>Связь и информатика</t>
  </si>
  <si>
    <t>0412</t>
  </si>
  <si>
    <t>Иные межбюджетные трансферты на межевание земельных участков (1800289182, 1800299990)(4030089182, 1800299990, 4010089182, 4050089182 поселения)</t>
  </si>
  <si>
    <t>Реализация мероприятий по градостроительной деятельностиа (0910282761, 09102S2761)</t>
  </si>
  <si>
    <t>Реализация мероприятий муниципальной программы "Поддержка малого и среднего предпринимательства в Октябрьском районе" ( 0810199990,0820199990,  ****82380, ****S2380)</t>
  </si>
  <si>
    <t>Расходы на развитие деятельности по заготовке и переработке дикоросов (0500284190 )</t>
  </si>
  <si>
    <t>Расходы на финансовую поддержку впервые зарегистрированным и действующим менее одного года субъектам малого и среднего предпринимательства в органах местного самоуправления ( 082I4S2320, 082I482320)</t>
  </si>
  <si>
    <t>Осуществление полномочий по государственному управлению охраной труда (1910184120, 1910199990) тс. 01.30.39</t>
  </si>
  <si>
    <t xml:space="preserve">Реализация мероприятий муниципальной программы "Финансовая поддержка субъектов малого и среднего предпринимательства в Октябрьском районе" (0820199990) </t>
  </si>
  <si>
    <t xml:space="preserve">Основное мероприятие "Управлене и распоряжение земельными ресурсами" (1800299990) </t>
  </si>
  <si>
    <t>Осуществление полномочий по государственному управлению охраной труда (1910199990) местный бюджет</t>
  </si>
  <si>
    <t>Реализация мероприятий муниципальной программы "Развитие агропромышленного комплекса в муниципальном образовании Октябрьский район" Расходы на развитие  системы заготовки и переработки дикиросов (0500284190)</t>
  </si>
  <si>
    <t>Реализация мероприятий в области жилищно-коммунального хозяйтсва(4060099990)</t>
  </si>
  <si>
    <t>Реализация мероприятий в рамках непрограммного направления деятельности (4030099990)</t>
  </si>
  <si>
    <t>05</t>
  </si>
  <si>
    <t>Жилищно-коммунальное хозяйство</t>
  </si>
  <si>
    <t>0501</t>
  </si>
  <si>
    <t>Развитие жилищной сферы в муниципальном образовании Октябрьский район" (0910182661, 0910199990, 09101S2661, 091F382661, 091F3S2661, 0910342110) 01.40.04, 01.02.00, 01.00.00, 01.40.01</t>
  </si>
  <si>
    <t xml:space="preserve"> "Управление и распоряжение  муниципальным  имуществом муниципального  образования Октябрьский  район" (1800199990)</t>
  </si>
  <si>
    <t>Укрепление материально-технической базы объектов муниципальной собственности (1800742110)</t>
  </si>
  <si>
    <t>Строительство и реконструкция  объектов  муниципальной  собственности (0910342110)</t>
  </si>
  <si>
    <t>Основное мероприятие "Приобретение жилых помещений в целях предоставления гражданам, формирование муниципального маневренного жилищного фонда" (0910182762, 09101S2762)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</si>
  <si>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бюджета автономного округа (091F367484)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</si>
  <si>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местного бюджета  (091F36748S)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</si>
  <si>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поступивших от гос.корпорации - Фонда содействия реформированию ЖКХ. (091F367483)</t>
  </si>
  <si>
    <t>Основное мероприятие "Признание объектов недвижимости аварийными и проведение мероприятий по их сносу" 1030289107,01030289108, 1030299108</t>
  </si>
  <si>
    <t>Основное мероприятие "Управление и аспоряжение муниципальным имуществом муниципального образования Октябрьский район" (1800199990)</t>
  </si>
  <si>
    <t>Капитальный ремонт жилого фонда 1030189102, 1030142120, 1030199990 (4060099990,4060089102, 4010089102, 4010099990  средства поселений)</t>
  </si>
  <si>
    <t>0502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</si>
  <si>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 (1020161100, 1020189103, 1020184340,1020182830, 10201S2830 )  (0220161100, 4060061100, 4060089103 поселения)</t>
  </si>
  <si>
    <t xml:space="preserve"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(расходы на финансовое обеспечение затрат в целях оплаты задолженности организаций коммунального компдлекса за потребление топливо-энергетические ресурсы перед гарантирующими поставщиками) 1020185150 т.с. 01.51.22 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</si>
  <si>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(предоставление субсидий организациям в городских поселениях Талинка, Октябрьское) (1020161100 т.с. 01.00)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</si>
  <si>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 (электроснабжение) (10201S2240)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</si>
  <si>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(электроснабжение) (1020182240) окружной бюджет</t>
  </si>
  <si>
    <t>Субвенции на возмещение недополученных доходов организациям, осуществляющим реализацию населению   сжиженного газа по социально-ориентированным розничным ценам  (1020184340)</t>
  </si>
  <si>
    <t>Основное  мероприятие " Реализация мероприятий обеспечения  качественными  коммунальными  услугами"  1010189104</t>
  </si>
  <si>
    <t>Расходы на реализацию полномочий в сфере ЖКХ (1010182591, 10101S2591, 1010199990,1010189105)(4060082591, 40600S2591 , 0210182591, 02101S2591, поселения)</t>
  </si>
  <si>
    <t>Реализация программ (4060099990, 0210199990)</t>
  </si>
  <si>
    <t>Региональный проект "Чистая вода" (101F5S2190)</t>
  </si>
  <si>
    <t>Основное мероприятие "Реализация мероприятий обеспечения качественными коммунальными услугами". Расходы на реконструкцию, расширение, модернизацию, строительство коммунальных объектов (101F582190)</t>
  </si>
  <si>
    <t>Иные межбюджетные трансферты на аварийно-технический запас(1010189101,) (0210189101, 4060089101 поселения)</t>
  </si>
  <si>
    <t xml:space="preserve">Расходы на реализацию мероприятий по строительству и реконструкции (модернизации) объектов питьевого водоснабжения 101F5S2140, 101F582140
</t>
  </si>
  <si>
    <t>Межбюджетные трансферты, передаваемые бюджетным муниципальным образованиям на осуществление части полномочий по решению вопросов местного значения в соответствии с заключенными соглашениями (4110089020 поселения)</t>
  </si>
  <si>
    <t>Основное мероприятие "Расходы на аварийно-технический запас в сфере ЖКХ"(0210199990 , 4060099990 поселения)</t>
  </si>
  <si>
    <t>Капитальные вложения в объекты государственной (муниципально) собственности (1010142110,)</t>
  </si>
  <si>
    <t>Разработка проектно-сметной документации (1010142130, 1010189104, )(4060089104,  поселения)</t>
  </si>
  <si>
    <t>Иные межбюджетные трансферты на реализацию полномочий в сфере жкк (подготовка к осенне-зимнему периоду(1010189105)</t>
  </si>
  <si>
    <t>Содержание резервов материальных ресурсов для предупреждения, ликвидации чрезвычайных ситуаций. (1010120030)</t>
  </si>
  <si>
    <t>0503</t>
  </si>
  <si>
    <t>Основное мероприятие "Реализация мероприятий обеспечения качественными коммунальными услугами". Подпрограмма "Формирование комфортной городской среды". (105F255550, 105F2S2600, 105F282600), (025F255550, 406F255550, 105F255550, 406F282600, 406F2S2600 поселения)</t>
  </si>
  <si>
    <t>Реализация  мероприятий  муниципальной  программы "Обеспечение и организация мероприятий по благоустройству улиц, тротуаров, сохранение объектов внешнего благоустройства (зеленое хозяйство), содержание, ремонт объектов уличного освещения(1500189151, 4060089151 поселения)</t>
  </si>
  <si>
    <t>Иные межбюджетные трансферты на финансирование наказов избирателей депутатам Думы ХМАО-Югры  (4120085160)</t>
  </si>
  <si>
    <t>Расходы на создание площадок временного накопления твердых коммунальных отходов (0100189061)</t>
  </si>
  <si>
    <t>Расходы на конкурсный отбор инициативных проектов (0200182751, 0200182753, 0200182754), ****2751, ***2753, ****2754</t>
  </si>
  <si>
    <t xml:space="preserve">Иные межбюджетные трансферты на благоустройство территорий муниципальных образований 1050189106
</t>
  </si>
  <si>
    <t>"Улучшение экологической ситуации на территории Октябрьского района" расходы на создание площадок временного накопления твердых коммунальных отходов(0600289061)(4060089061 поселения)</t>
  </si>
  <si>
    <t>Реализация мероприятий муниципальной программы "Развитие гражданского общества в муниципальном образовании Октябрьский район" (2200282751, 2200282753) (0500182751, 05001S2751, 02000S2753,  0200082753 поселения)</t>
  </si>
  <si>
    <t>"Улучшение экологической ситуации на территории Октябрьского района"  за счет средств резервного фонда Правительства Ханты-Мансийского автономного округа -Югры(0600285150)</t>
  </si>
  <si>
    <t>Основное мероприятие "Увеличение количества благоустроенных дворовых территорий и мест общего пользования" (1050199990)</t>
  </si>
  <si>
    <t>Расходы на признание объектов аварийными (4060089108, 0250189108, 0100189108)</t>
  </si>
  <si>
    <t>Расходы по содействию местному самоуправлению в развитии исторических и иных местных традиций в рамках непрограммного направления  деятельности (1640482420) 4060082420, 0100199990 доля поселения 40600S2420</t>
  </si>
  <si>
    <t>Субсидии на формирование современной городской среды (105F255550)</t>
  </si>
  <si>
    <t>Расходы на капитальный ремонт муниципального жилищного фонда (10501S2600, 105F282600)</t>
  </si>
  <si>
    <t>Расходы на благоустройство территорий муниципальных образований (105F2S2600)</t>
  </si>
  <si>
    <t>Основное мероприятие "Реализация социально значимых инициативных проектов на территории муниципального образования Октябрьский район"( 0500182751, 05001S2751)</t>
  </si>
  <si>
    <t xml:space="preserve"> Реализация мероприятий (0100199990, 4060099990, 0250199990, 0500199991)</t>
  </si>
  <si>
    <t>0505</t>
  </si>
  <si>
    <t>Администрирование по жилищному отделу</t>
  </si>
  <si>
    <t>06</t>
  </si>
  <si>
    <t>Охрана окружающей среды</t>
  </si>
  <si>
    <t>0605</t>
  </si>
  <si>
    <t>Другие вопросы в области охраны окружающей среды</t>
  </si>
  <si>
    <t>07</t>
  </si>
  <si>
    <t>Образование</t>
  </si>
  <si>
    <t>0701</t>
  </si>
  <si>
    <t>Дошкольное образование</t>
  </si>
  <si>
    <t xml:space="preserve">Субсидии на строительство и реконструкцию объектов муниципальной собственности (0140442110) </t>
  </si>
  <si>
    <t>0702</t>
  </si>
  <si>
    <t>Общее образование</t>
  </si>
  <si>
    <t>Расходы на соц.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гос. аккредитацию  основным общеобразовательным программам (140284030)</t>
  </si>
  <si>
    <t>Расходы на организацию бесплатного горячего питания обучающихся, получающих начальное общее образование в гоосударственных и муниципальных образовательных организациях (01402L3040)</t>
  </si>
  <si>
    <t>Региональный проект "Современная школа" Расходы на строительство и  реконструкцию общеобразовательных организаций (014E182680, 014Е1S2680)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</si>
  <si>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районе" (0140482030) 01.40.18 и местн. 01404S2030</t>
  </si>
  <si>
    <t>0703</t>
  </si>
  <si>
    <t>Дополнительное образование детей</t>
  </si>
  <si>
    <t>0707</t>
  </si>
  <si>
    <t>Молодежная политика  и оздоровление   детей</t>
  </si>
  <si>
    <t>0709</t>
  </si>
  <si>
    <t>Другие вопросы в области  образования</t>
  </si>
  <si>
    <t>08</t>
  </si>
  <si>
    <t>Культура и кинематография</t>
  </si>
  <si>
    <t>0801</t>
  </si>
  <si>
    <t>Культура</t>
  </si>
  <si>
    <t>Подпрограмма "Библиотечное дело" (0310182520, 03101S2520, 4070082520, 40700S2520 поселения)</t>
  </si>
  <si>
    <t>0802</t>
  </si>
  <si>
    <t>Кинематография</t>
  </si>
  <si>
    <t>0804</t>
  </si>
  <si>
    <t>Другие вопросы в области культуры, кинематографии</t>
  </si>
  <si>
    <t>09</t>
  </si>
  <si>
    <t xml:space="preserve">Здравоохранение </t>
  </si>
  <si>
    <t>0907</t>
  </si>
  <si>
    <t>Дотация по обеспечению  санитарно-эпидемиологической безопасности при подготовке к проведению общероссийского голосования (140W058530)</t>
  </si>
  <si>
    <t>0909</t>
  </si>
  <si>
    <t>Бюджетные инвестиции в объекты капитального строительства государственной собственности субъектов РФ (1800542110)</t>
  </si>
  <si>
    <t>Расходы на организацию мероприятий по проведению дезинсекции и дератизации (1800684280)</t>
  </si>
  <si>
    <t>Социальная политика</t>
  </si>
  <si>
    <t>Пенсионное обеспечение</t>
  </si>
  <si>
    <t>Субвенции на осуществление полномочий по обеспечению жильем отдельных категорий граждан, установленных федеральным законом от 12.01.1995 № 5-ФЗ "О ветеранах" и …" (0920251350) 01.20.04 (09202D1340 01.30.15) 0920251340</t>
  </si>
  <si>
    <t>1003</t>
  </si>
  <si>
    <t>Мероприятие на реализацию мер, направленных на профилактику и устранение последствий распространения новой коронавирусной инфекции (1350191350)</t>
  </si>
  <si>
    <t>Субсидии на софинансирование мероприятий подпрограммы "Обеспечение жильем молодых семей"  за счет средств бюджета автономного округа (0920251760)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</si>
  <si>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(0140284050) тс 01.30.09</t>
  </si>
  <si>
    <t>Субвенции на предоставление дополнительных мер социальной поддержки детям-сиротам и детям, оставшимся без попечения родителей, а так же лицам из числа детей-сирот и детей, оставшихся без попечения родителей, усыновителям, приемным родителям, патронатных воспитателям и воспитателям детских домов семейного типа в рамках подпрограммы "Дети Югры" государственной программы "Социальная поддержка жителей ХМАО-Югры на 2014-2020 годы" (1310184060)</t>
  </si>
  <si>
    <t>1004</t>
  </si>
  <si>
    <t>Субвенции на 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- Югры" за счет средств автономного округа (1310184310)</t>
  </si>
  <si>
    <t>Обеспечение жильем молодых семей (09201L4970) 01.40.02, 01.02.00, 01.41.04,</t>
  </si>
  <si>
    <t>1006</t>
  </si>
  <si>
    <t>Реализация мероприятий по защите населения и территории от чрезвычайных ситуацийприродного и техногенного характера, гражданская оборона (4020099990)</t>
  </si>
  <si>
    <t>Осуществление деятельности отдела по опеке и попечительству</t>
  </si>
  <si>
    <t>Физическая культура и спорт</t>
  </si>
  <si>
    <t>Физическая культура</t>
  </si>
  <si>
    <t>Массовый спорт</t>
  </si>
  <si>
    <t>1103</t>
  </si>
  <si>
    <t>Спорт высших достижений</t>
  </si>
  <si>
    <t>Средства массовой информации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</si>
  <si>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</si>
  <si>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</si>
  <si>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</si>
  <si>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</si>
  <si>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</si>
  <si>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</si>
  <si>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</t>
  </si>
  <si>
    <t>Дотации на выравнивание  бюджетной обеспеченности субъектов РФ и муниципальных образований</t>
  </si>
  <si>
    <t>Иные дотации</t>
  </si>
  <si>
    <t>Прочие межбюджетные трансферты</t>
  </si>
  <si>
    <t>ИТОГО РАСХОДОВ</t>
  </si>
  <si>
    <t>Председатель Комитета по управлению муниципальными</t>
  </si>
  <si>
    <t>финансами администрации Октябрьского района</t>
  </si>
  <si>
    <t>Куклина Н.Г.</t>
  </si>
  <si>
    <t>Заведующий отделом учета исполнения бюджета</t>
  </si>
  <si>
    <t>Мальгин С.В.</t>
  </si>
  <si>
    <t>Заведующий бюджетным отделом</t>
  </si>
  <si>
    <t>Заворотынская Н.А.</t>
  </si>
  <si>
    <t>Заведующий отделом  доходов</t>
  </si>
  <si>
    <t>Мартюшова О.Г.</t>
  </si>
  <si>
    <t xml:space="preserve">                        </t>
  </si>
  <si>
    <r>
      <t xml:space="preserve">план                </t>
    </r>
    <r>
      <rPr>
        <b/>
        <i/>
        <sz val="12"/>
        <rFont val="Times New Roman"/>
        <family val="1"/>
      </rPr>
      <t xml:space="preserve"> итого</t>
    </r>
    <r>
      <rPr>
        <b/>
        <i/>
        <sz val="11"/>
        <rFont val="Times New Roman"/>
        <family val="1"/>
      </rPr>
      <t xml:space="preserve"> </t>
    </r>
  </si>
  <si>
    <r>
      <t xml:space="preserve">исполнение               </t>
    </r>
    <r>
      <rPr>
        <i/>
        <sz val="12"/>
        <rFont val="Times New Roman"/>
        <family val="1"/>
      </rPr>
      <t xml:space="preserve"> итого</t>
    </r>
    <r>
      <rPr>
        <i/>
        <sz val="11"/>
        <rFont val="Times New Roman"/>
        <family val="1"/>
      </rPr>
      <t xml:space="preserve"> </t>
    </r>
  </si>
  <si>
    <r>
      <t>Основное мероприятие "Выполнение работ по содержанию автомобильных дорог общего пользования местного  значения, внутриквартальных автомобильных дорог, тротуаров в  городском поселении Приобье". (</t>
    </r>
    <r>
      <rPr>
        <sz val="11"/>
        <rFont val="Times New Roman"/>
        <family val="1"/>
      </rPr>
      <t>2560189111</t>
    </r>
    <r>
      <rPr>
        <sz val="11"/>
        <color indexed="8"/>
        <rFont val="Times New Roman"/>
        <family val="1"/>
      </rPr>
      <t xml:space="preserve">,2560199990, </t>
    </r>
    <r>
      <rPr>
        <sz val="11"/>
        <rFont val="Times New Roman"/>
        <family val="1"/>
      </rPr>
      <t>2560189112</t>
    </r>
    <r>
      <rPr>
        <sz val="11"/>
        <color indexed="8"/>
        <rFont val="Times New Roman"/>
        <family val="1"/>
      </rPr>
      <t xml:space="preserve">, </t>
    </r>
    <r>
      <rPr>
        <sz val="11"/>
        <rFont val="Times New Roman"/>
        <family val="1"/>
      </rPr>
      <t>2570199990</t>
    </r>
    <r>
      <rPr>
        <sz val="11"/>
        <color indexed="8"/>
        <rFont val="Times New Roman"/>
        <family val="1"/>
      </rPr>
      <t>)</t>
    </r>
  </si>
  <si>
    <r>
      <t>Основное мероприятие "Реализация мероприятий в рамках дорожной деятельности" (</t>
    </r>
    <r>
      <rPr>
        <sz val="11"/>
        <rFont val="Times New Roman"/>
        <family val="1"/>
      </rPr>
      <t>1110189111, 1110189112</t>
    </r>
    <r>
      <rPr>
        <sz val="11"/>
        <color indexed="8"/>
        <rFont val="Times New Roman"/>
        <family val="1"/>
      </rPr>
      <t>, 1110189113, 1500289152)(0110189111, 0110189112, 1110199990 , 4030089112 поселения)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</si>
</sst>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#,##0.000"/>
    <numFmt numFmtId="181" formatCode="_-* #,##0.0_р_._-;\-* #,##0.0_р_._-;_-* &quot;-&quot;?_р_._-;_-@_-"/>
    <numFmt numFmtId="182" formatCode="#,##0.00_ ;\-#,##0.00\ "/>
  </numFmts>
  <fonts count="74">
    <font>
      <sz val="10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sz val="11"/>
      <name val="Arial Cyr"/>
      <family val="0"/>
    </font>
    <font>
      <b/>
      <sz val="11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36"/>
      <name val="Times New Roman"/>
      <family val="1"/>
    </font>
    <font>
      <sz val="8"/>
      <color indexed="10"/>
      <name val="Arial Cyr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rgb="FFFF0000"/>
      <name val="Arial Cyr"/>
      <family val="0"/>
    </font>
    <font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178" fontId="7" fillId="0" borderId="0" xfId="0" applyNumberFormat="1" applyFont="1" applyFill="1" applyBorder="1" applyAlignment="1">
      <alignment/>
    </xf>
    <xf numFmtId="178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178" fontId="2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178" fontId="7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178" fontId="5" fillId="0" borderId="13" xfId="0" applyNumberFormat="1" applyFont="1" applyFill="1" applyBorder="1" applyAlignment="1">
      <alignment horizontal="right" vertical="top"/>
    </xf>
    <xf numFmtId="178" fontId="5" fillId="0" borderId="13" xfId="0" applyNumberFormat="1" applyFont="1" applyFill="1" applyBorder="1" applyAlignment="1">
      <alignment vertical="top"/>
    </xf>
    <xf numFmtId="0" fontId="2" fillId="0" borderId="12" xfId="0" applyFont="1" applyFill="1" applyBorder="1" applyAlignment="1">
      <alignment vertical="top" wrapText="1" shrinkToFit="1"/>
    </xf>
    <xf numFmtId="178" fontId="5" fillId="0" borderId="10" xfId="0" applyNumberFormat="1" applyFont="1" applyFill="1" applyBorder="1" applyAlignment="1">
      <alignment horizontal="right" vertical="top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178" fontId="4" fillId="0" borderId="13" xfId="0" applyNumberFormat="1" applyFont="1" applyFill="1" applyBorder="1" applyAlignment="1">
      <alignment vertical="top"/>
    </xf>
    <xf numFmtId="49" fontId="1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/>
    </xf>
    <xf numFmtId="178" fontId="4" fillId="0" borderId="10" xfId="0" applyNumberFormat="1" applyFont="1" applyFill="1" applyBorder="1" applyAlignment="1">
      <alignment horizontal="right" vertical="top"/>
    </xf>
    <xf numFmtId="0" fontId="2" fillId="0" borderId="13" xfId="0" applyFont="1" applyFill="1" applyBorder="1" applyAlignment="1">
      <alignment vertical="top" wrapText="1"/>
    </xf>
    <xf numFmtId="49" fontId="5" fillId="0" borderId="13" xfId="0" applyNumberFormat="1" applyFont="1" applyFill="1" applyBorder="1" applyAlignment="1">
      <alignment horizontal="center" vertical="top"/>
    </xf>
    <xf numFmtId="49" fontId="5" fillId="0" borderId="11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vertical="top"/>
    </xf>
    <xf numFmtId="178" fontId="1" fillId="0" borderId="13" xfId="0" applyNumberFormat="1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 horizontal="justify" vertical="top" wrapText="1"/>
    </xf>
    <xf numFmtId="0" fontId="2" fillId="0" borderId="13" xfId="0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179" fontId="5" fillId="0" borderId="13" xfId="0" applyNumberFormat="1" applyFont="1" applyFill="1" applyBorder="1" applyAlignment="1">
      <alignment vertical="top"/>
    </xf>
    <xf numFmtId="49" fontId="2" fillId="0" borderId="11" xfId="0" applyNumberFormat="1" applyFont="1" applyFill="1" applyBorder="1" applyAlignment="1">
      <alignment horizontal="left" vertical="top" wrapText="1"/>
    </xf>
    <xf numFmtId="49" fontId="5" fillId="0" borderId="13" xfId="0" applyNumberFormat="1" applyFont="1" applyFill="1" applyBorder="1" applyAlignment="1">
      <alignment horizontal="left" vertical="top"/>
    </xf>
    <xf numFmtId="49" fontId="5" fillId="0" borderId="11" xfId="0" applyNumberFormat="1" applyFont="1" applyFill="1" applyBorder="1" applyAlignment="1">
      <alignment horizontal="left" vertical="top"/>
    </xf>
    <xf numFmtId="178" fontId="2" fillId="0" borderId="13" xfId="0" applyNumberFormat="1" applyFont="1" applyFill="1" applyBorder="1" applyAlignment="1">
      <alignment horizontal="right" vertical="top" wrapText="1"/>
    </xf>
    <xf numFmtId="49" fontId="2" fillId="0" borderId="12" xfId="0" applyNumberFormat="1" applyFont="1" applyFill="1" applyBorder="1" applyAlignment="1">
      <alignment horizontal="left" vertical="top" wrapText="1"/>
    </xf>
    <xf numFmtId="178" fontId="0" fillId="0" borderId="0" xfId="0" applyNumberFormat="1" applyFill="1" applyAlignment="1">
      <alignment vertical="top" wrapText="1"/>
    </xf>
    <xf numFmtId="178" fontId="2" fillId="0" borderId="10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6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178" fontId="4" fillId="0" borderId="15" xfId="0" applyNumberFormat="1" applyFont="1" applyFill="1" applyBorder="1" applyAlignment="1">
      <alignment vertical="top"/>
    </xf>
    <xf numFmtId="178" fontId="4" fillId="0" borderId="0" xfId="0" applyNumberFormat="1" applyFont="1" applyFill="1" applyBorder="1" applyAlignment="1">
      <alignment vertical="top"/>
    </xf>
    <xf numFmtId="178" fontId="7" fillId="0" borderId="0" xfId="0" applyNumberFormat="1" applyFont="1" applyFill="1" applyAlignment="1">
      <alignment vertical="top" wrapText="1"/>
    </xf>
    <xf numFmtId="178" fontId="2" fillId="0" borderId="13" xfId="0" applyNumberFormat="1" applyFont="1" applyFill="1" applyBorder="1" applyAlignment="1">
      <alignment horizontal="right" vertical="top" wrapText="1"/>
    </xf>
    <xf numFmtId="178" fontId="2" fillId="0" borderId="13" xfId="0" applyNumberFormat="1" applyFont="1" applyFill="1" applyBorder="1" applyAlignment="1">
      <alignment vertical="top" wrapText="1"/>
    </xf>
    <xf numFmtId="49" fontId="5" fillId="0" borderId="12" xfId="0" applyNumberFormat="1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 wrapText="1"/>
    </xf>
    <xf numFmtId="178" fontId="4" fillId="0" borderId="13" xfId="0" applyNumberFormat="1" applyFont="1" applyFill="1" applyBorder="1" applyAlignment="1">
      <alignment horizontal="right" vertical="top"/>
    </xf>
    <xf numFmtId="49" fontId="1" fillId="0" borderId="13" xfId="0" applyNumberFormat="1" applyFont="1" applyFill="1" applyBorder="1" applyAlignment="1">
      <alignment horizontal="center" vertical="top" wrapText="1"/>
    </xf>
    <xf numFmtId="178" fontId="1" fillId="0" borderId="13" xfId="0" applyNumberFormat="1" applyFont="1" applyFill="1" applyBorder="1" applyAlignment="1">
      <alignment vertical="top" wrapText="1"/>
    </xf>
    <xf numFmtId="178" fontId="2" fillId="0" borderId="13" xfId="0" applyNumberFormat="1" applyFont="1" applyFill="1" applyBorder="1" applyAlignment="1">
      <alignment vertical="top"/>
    </xf>
    <xf numFmtId="49" fontId="2" fillId="0" borderId="12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/>
    </xf>
    <xf numFmtId="178" fontId="2" fillId="0" borderId="13" xfId="0" applyNumberFormat="1" applyFont="1" applyFill="1" applyBorder="1" applyAlignment="1">
      <alignment horizontal="right" vertical="top"/>
    </xf>
    <xf numFmtId="0" fontId="4" fillId="0" borderId="13" xfId="0" applyFont="1" applyFill="1" applyBorder="1" applyAlignment="1">
      <alignment horizontal="left" vertical="top"/>
    </xf>
    <xf numFmtId="178" fontId="5" fillId="0" borderId="10" xfId="0" applyNumberFormat="1" applyFont="1" applyFill="1" applyBorder="1" applyAlignment="1">
      <alignment vertical="top"/>
    </xf>
    <xf numFmtId="178" fontId="2" fillId="0" borderId="13" xfId="0" applyNumberFormat="1" applyFont="1" applyFill="1" applyBorder="1" applyAlignment="1">
      <alignment vertical="top" wrapText="1" shrinkToFit="1"/>
    </xf>
    <xf numFmtId="178" fontId="2" fillId="0" borderId="12" xfId="0" applyNumberFormat="1" applyFont="1" applyFill="1" applyBorder="1" applyAlignment="1">
      <alignment vertical="top" wrapText="1"/>
    </xf>
    <xf numFmtId="178" fontId="5" fillId="0" borderId="11" xfId="0" applyNumberFormat="1" applyFont="1" applyFill="1" applyBorder="1" applyAlignment="1">
      <alignment horizontal="right" vertical="top"/>
    </xf>
    <xf numFmtId="178" fontId="2" fillId="0" borderId="13" xfId="0" applyNumberFormat="1" applyFont="1" applyFill="1" applyBorder="1" applyAlignment="1">
      <alignment horizontal="right" vertical="top" wrapText="1" shrinkToFit="1"/>
    </xf>
    <xf numFmtId="49" fontId="2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178" fontId="4" fillId="0" borderId="11" xfId="0" applyNumberFormat="1" applyFont="1" applyFill="1" applyBorder="1" applyAlignment="1">
      <alignment vertical="top"/>
    </xf>
    <xf numFmtId="178" fontId="2" fillId="0" borderId="10" xfId="0" applyNumberFormat="1" applyFont="1" applyFill="1" applyBorder="1" applyAlignment="1">
      <alignment horizontal="right" vertical="top" wrapText="1"/>
    </xf>
    <xf numFmtId="178" fontId="1" fillId="0" borderId="17" xfId="0" applyNumberFormat="1" applyFont="1" applyFill="1" applyBorder="1" applyAlignment="1">
      <alignment horizontal="right" vertical="top" wrapText="1"/>
    </xf>
    <xf numFmtId="0" fontId="2" fillId="0" borderId="17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right" vertical="top" wrapText="1"/>
    </xf>
    <xf numFmtId="49" fontId="1" fillId="0" borderId="13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178" fontId="4" fillId="0" borderId="18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170" fontId="2" fillId="0" borderId="14" xfId="43" applyFont="1" applyFill="1" applyBorder="1" applyAlignment="1">
      <alignment horizontal="center" vertical="top" wrapText="1"/>
    </xf>
    <xf numFmtId="170" fontId="2" fillId="0" borderId="18" xfId="43" applyFont="1" applyFill="1" applyBorder="1" applyAlignment="1">
      <alignment horizontal="center" vertical="top" wrapText="1"/>
    </xf>
    <xf numFmtId="0" fontId="27" fillId="0" borderId="0" xfId="54" applyFont="1" applyAlignment="1">
      <alignment horizontal="center" vertical="center" wrapText="1"/>
      <protection/>
    </xf>
    <xf numFmtId="49" fontId="28" fillId="0" borderId="0" xfId="54" applyNumberFormat="1" applyFont="1" applyAlignment="1">
      <alignment horizontal="center" vertical="center" wrapText="1"/>
      <protection/>
    </xf>
    <xf numFmtId="0" fontId="28" fillId="0" borderId="0" xfId="54" applyFont="1" applyAlignment="1">
      <alignment horizontal="left" vertical="center" wrapText="1"/>
      <protection/>
    </xf>
    <xf numFmtId="181" fontId="69" fillId="33" borderId="0" xfId="54" applyNumberFormat="1" applyFont="1" applyFill="1" applyAlignment="1">
      <alignment horizontal="center" vertical="center" wrapText="1"/>
      <protection/>
    </xf>
    <xf numFmtId="181" fontId="30" fillId="33" borderId="0" xfId="54" applyNumberFormat="1" applyFont="1" applyFill="1" applyAlignment="1">
      <alignment horizontal="center" vertical="center" wrapText="1"/>
      <protection/>
    </xf>
    <xf numFmtId="181" fontId="30" fillId="0" borderId="0" xfId="54" applyNumberFormat="1" applyFont="1" applyAlignment="1">
      <alignment horizontal="center" vertical="center" wrapText="1"/>
      <protection/>
    </xf>
    <xf numFmtId="181" fontId="30" fillId="33" borderId="0" xfId="0" applyNumberFormat="1" applyFont="1" applyFill="1" applyAlignment="1">
      <alignment horizontal="center" vertical="center" wrapText="1"/>
    </xf>
    <xf numFmtId="181" fontId="30" fillId="0" borderId="0" xfId="0" applyNumberFormat="1" applyFont="1" applyAlignment="1">
      <alignment horizontal="center" vertical="center" wrapText="1"/>
    </xf>
    <xf numFmtId="181" fontId="31" fillId="0" borderId="0" xfId="0" applyNumberFormat="1" applyFont="1" applyAlignment="1">
      <alignment horizontal="center" vertical="center" wrapText="1"/>
    </xf>
    <xf numFmtId="181" fontId="31" fillId="33" borderId="0" xfId="0" applyNumberFormat="1" applyFont="1" applyFill="1" applyAlignment="1">
      <alignment horizontal="center" vertical="center" wrapText="1"/>
    </xf>
    <xf numFmtId="49" fontId="32" fillId="0" borderId="20" xfId="54" applyNumberFormat="1" applyFont="1" applyBorder="1" applyAlignment="1">
      <alignment horizontal="center" vertical="center" wrapText="1"/>
      <protection/>
    </xf>
    <xf numFmtId="0" fontId="32" fillId="0" borderId="21" xfId="54" applyFont="1" applyBorder="1" applyAlignment="1">
      <alignment horizontal="center" vertical="center" wrapText="1"/>
      <protection/>
    </xf>
    <xf numFmtId="181" fontId="33" fillId="0" borderId="21" xfId="54" applyNumberFormat="1" applyFont="1" applyBorder="1" applyAlignment="1">
      <alignment horizontal="center" vertical="center" wrapText="1"/>
      <protection/>
    </xf>
    <xf numFmtId="181" fontId="33" fillId="0" borderId="21" xfId="0" applyNumberFormat="1" applyFont="1" applyBorder="1" applyAlignment="1">
      <alignment horizontal="center" vertical="center" wrapText="1"/>
    </xf>
    <xf numFmtId="181" fontId="34" fillId="0" borderId="22" xfId="0" applyNumberFormat="1" applyFont="1" applyBorder="1" applyAlignment="1">
      <alignment horizontal="center" vertical="center" wrapText="1"/>
    </xf>
    <xf numFmtId="181" fontId="34" fillId="0" borderId="23" xfId="0" applyNumberFormat="1" applyFont="1" applyBorder="1" applyAlignment="1">
      <alignment horizontal="center" vertical="center" wrapText="1"/>
    </xf>
    <xf numFmtId="181" fontId="34" fillId="0" borderId="24" xfId="0" applyNumberFormat="1" applyFont="1" applyBorder="1" applyAlignment="1">
      <alignment horizontal="center" vertical="center" wrapText="1"/>
    </xf>
    <xf numFmtId="49" fontId="32" fillId="0" borderId="25" xfId="54" applyNumberFormat="1" applyFont="1" applyBorder="1" applyAlignment="1">
      <alignment horizontal="center" vertical="center" wrapText="1"/>
      <protection/>
    </xf>
    <xf numFmtId="0" fontId="32" fillId="0" borderId="13" xfId="54" applyFont="1" applyBorder="1" applyAlignment="1">
      <alignment horizontal="center" vertical="center" wrapText="1"/>
      <protection/>
    </xf>
    <xf numFmtId="181" fontId="33" fillId="33" borderId="13" xfId="54" applyNumberFormat="1" applyFont="1" applyFill="1" applyBorder="1" applyAlignment="1">
      <alignment horizontal="center" vertical="center" wrapText="1"/>
      <protection/>
    </xf>
    <xf numFmtId="181" fontId="33" fillId="0" borderId="13" xfId="54" applyNumberFormat="1" applyFont="1" applyBorder="1" applyAlignment="1">
      <alignment horizontal="center" vertical="center" wrapText="1"/>
      <protection/>
    </xf>
    <xf numFmtId="181" fontId="35" fillId="5" borderId="13" xfId="0" applyNumberFormat="1" applyFont="1" applyFill="1" applyBorder="1" applyAlignment="1">
      <alignment horizontal="center" vertical="center" wrapText="1"/>
    </xf>
    <xf numFmtId="181" fontId="34" fillId="0" borderId="13" xfId="54" applyNumberFormat="1" applyFont="1" applyBorder="1" applyAlignment="1">
      <alignment horizontal="center" vertical="center" wrapText="1"/>
      <protection/>
    </xf>
    <xf numFmtId="181" fontId="34" fillId="33" borderId="13" xfId="54" applyNumberFormat="1" applyFont="1" applyFill="1" applyBorder="1" applyAlignment="1">
      <alignment horizontal="center" vertical="center" wrapText="1"/>
      <protection/>
    </xf>
    <xf numFmtId="181" fontId="34" fillId="0" borderId="26" xfId="54" applyNumberFormat="1" applyFont="1" applyBorder="1" applyAlignment="1">
      <alignment horizontal="center" vertical="center" wrapText="1"/>
      <protection/>
    </xf>
    <xf numFmtId="181" fontId="33" fillId="33" borderId="13" xfId="0" applyNumberFormat="1" applyFont="1" applyFill="1" applyBorder="1" applyAlignment="1">
      <alignment horizontal="center" vertical="center" wrapText="1"/>
    </xf>
    <xf numFmtId="181" fontId="39" fillId="0" borderId="13" xfId="0" applyNumberFormat="1" applyFont="1" applyBorder="1" applyAlignment="1">
      <alignment horizontal="center" vertical="center"/>
    </xf>
    <xf numFmtId="181" fontId="33" fillId="0" borderId="13" xfId="0" applyNumberFormat="1" applyFont="1" applyBorder="1" applyAlignment="1">
      <alignment horizontal="center" vertical="center" wrapText="1"/>
    </xf>
    <xf numFmtId="181" fontId="34" fillId="0" borderId="13" xfId="0" applyNumberFormat="1" applyFont="1" applyBorder="1" applyAlignment="1">
      <alignment horizontal="center" vertical="center" wrapText="1"/>
    </xf>
    <xf numFmtId="181" fontId="34" fillId="0" borderId="26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49" fontId="32" fillId="0" borderId="25" xfId="54" applyNumberFormat="1" applyFont="1" applyBorder="1" applyAlignment="1">
      <alignment horizontal="center" vertical="center" wrapText="1"/>
      <protection/>
    </xf>
    <xf numFmtId="0" fontId="40" fillId="0" borderId="13" xfId="54" applyFont="1" applyBorder="1" applyAlignment="1">
      <alignment horizontal="center" vertical="center" wrapText="1"/>
      <protection/>
    </xf>
    <xf numFmtId="0" fontId="32" fillId="0" borderId="13" xfId="54" applyFont="1" applyBorder="1" applyAlignment="1">
      <alignment horizontal="center" vertical="center" wrapText="1"/>
      <protection/>
    </xf>
    <xf numFmtId="0" fontId="40" fillId="0" borderId="26" xfId="54" applyFont="1" applyBorder="1" applyAlignment="1">
      <alignment horizontal="center" vertical="center" wrapText="1"/>
      <protection/>
    </xf>
    <xf numFmtId="49" fontId="40" fillId="34" borderId="25" xfId="54" applyNumberFormat="1" applyFont="1" applyFill="1" applyBorder="1" applyAlignment="1" quotePrefix="1">
      <alignment horizontal="center" vertical="center" wrapText="1"/>
      <protection/>
    </xf>
    <xf numFmtId="0" fontId="40" fillId="34" borderId="13" xfId="54" applyFont="1" applyFill="1" applyBorder="1" applyAlignment="1">
      <alignment horizontal="left" vertical="center" wrapText="1"/>
      <protection/>
    </xf>
    <xf numFmtId="181" fontId="34" fillId="34" borderId="13" xfId="54" applyNumberFormat="1" applyFont="1" applyFill="1" applyBorder="1" applyAlignment="1">
      <alignment horizontal="center" vertical="center" wrapText="1"/>
      <protection/>
    </xf>
    <xf numFmtId="181" fontId="33" fillId="34" borderId="13" xfId="0" applyNumberFormat="1" applyFont="1" applyFill="1" applyBorder="1" applyAlignment="1">
      <alignment horizontal="center" vertical="center" wrapText="1"/>
    </xf>
    <xf numFmtId="181" fontId="34" fillId="34" borderId="26" xfId="0" applyNumberFormat="1" applyFont="1" applyFill="1" applyBorder="1" applyAlignment="1">
      <alignment horizontal="center" vertical="center" wrapText="1"/>
    </xf>
    <xf numFmtId="49" fontId="32" fillId="0" borderId="25" xfId="54" applyNumberFormat="1" applyFont="1" applyBorder="1" applyAlignment="1" quotePrefix="1">
      <alignment horizontal="center" vertical="center" wrapText="1"/>
      <protection/>
    </xf>
    <xf numFmtId="0" fontId="32" fillId="0" borderId="13" xfId="54" applyFont="1" applyBorder="1" applyAlignment="1">
      <alignment horizontal="left" vertical="center" wrapText="1"/>
      <protection/>
    </xf>
    <xf numFmtId="181" fontId="33" fillId="33" borderId="13" xfId="54" applyNumberFormat="1" applyFont="1" applyFill="1" applyBorder="1" applyAlignment="1">
      <alignment horizontal="center" vertical="center" wrapText="1"/>
      <protection/>
    </xf>
    <xf numFmtId="181" fontId="33" fillId="0" borderId="13" xfId="54" applyNumberFormat="1" applyFont="1" applyBorder="1" applyAlignment="1">
      <alignment horizontal="center" vertical="center" wrapText="1"/>
      <protection/>
    </xf>
    <xf numFmtId="181" fontId="33" fillId="33" borderId="13" xfId="0" applyNumberFormat="1" applyFont="1" applyFill="1" applyBorder="1" applyAlignment="1">
      <alignment horizontal="center" vertical="center" wrapText="1"/>
    </xf>
    <xf numFmtId="181" fontId="33" fillId="0" borderId="13" xfId="0" applyNumberFormat="1" applyFont="1" applyBorder="1" applyAlignment="1">
      <alignment horizontal="center" vertical="center" wrapText="1"/>
    </xf>
    <xf numFmtId="181" fontId="41" fillId="35" borderId="13" xfId="0" applyNumberFormat="1" applyFont="1" applyFill="1" applyBorder="1" applyAlignment="1">
      <alignment horizontal="center" vertical="center" wrapText="1"/>
    </xf>
    <xf numFmtId="181" fontId="41" fillId="5" borderId="13" xfId="0" applyNumberFormat="1" applyFont="1" applyFill="1" applyBorder="1" applyAlignment="1">
      <alignment horizontal="center" vertical="center" wrapText="1"/>
    </xf>
    <xf numFmtId="181" fontId="34" fillId="33" borderId="13" xfId="0" applyNumberFormat="1" applyFont="1" applyFill="1" applyBorder="1" applyAlignment="1">
      <alignment horizontal="center" vertical="center" wrapText="1"/>
    </xf>
    <xf numFmtId="181" fontId="34" fillId="0" borderId="26" xfId="0" applyNumberFormat="1" applyFont="1" applyBorder="1" applyAlignment="1">
      <alignment horizontal="center" vertical="center" wrapText="1"/>
    </xf>
    <xf numFmtId="181" fontId="70" fillId="5" borderId="13" xfId="0" applyNumberFormat="1" applyFont="1" applyFill="1" applyBorder="1" applyAlignment="1">
      <alignment horizontal="center" vertical="center" wrapText="1"/>
    </xf>
    <xf numFmtId="181" fontId="33" fillId="34" borderId="13" xfId="54" applyNumberFormat="1" applyFont="1" applyFill="1" applyBorder="1" applyAlignment="1">
      <alignment horizontal="center" vertical="center" wrapText="1"/>
      <protection/>
    </xf>
    <xf numFmtId="181" fontId="34" fillId="34" borderId="26" xfId="54" applyNumberFormat="1" applyFont="1" applyFill="1" applyBorder="1" applyAlignment="1">
      <alignment horizontal="center" vertical="center" wrapText="1"/>
      <protection/>
    </xf>
    <xf numFmtId="49" fontId="32" fillId="33" borderId="25" xfId="54" applyNumberFormat="1" applyFont="1" applyFill="1" applyBorder="1" applyAlignment="1" quotePrefix="1">
      <alignment horizontal="center" vertical="center" wrapText="1"/>
      <protection/>
    </xf>
    <xf numFmtId="0" fontId="40" fillId="34" borderId="11" xfId="54" applyFont="1" applyFill="1" applyBorder="1" applyAlignment="1">
      <alignment vertical="center" wrapText="1"/>
      <protection/>
    </xf>
    <xf numFmtId="181" fontId="34" fillId="34" borderId="11" xfId="54" applyNumberFormat="1" applyFont="1" applyFill="1" applyBorder="1" applyAlignment="1">
      <alignment vertical="center" wrapText="1"/>
      <protection/>
    </xf>
    <xf numFmtId="181" fontId="34" fillId="34" borderId="11" xfId="54" applyNumberFormat="1" applyFont="1" applyFill="1" applyBorder="1" applyAlignment="1">
      <alignment horizontal="center" wrapText="1"/>
      <protection/>
    </xf>
    <xf numFmtId="49" fontId="32" fillId="33" borderId="25" xfId="54" applyNumberFormat="1" applyFont="1" applyFill="1" applyBorder="1" applyAlignment="1">
      <alignment horizontal="center" vertical="center" wrapText="1"/>
      <protection/>
    </xf>
    <xf numFmtId="0" fontId="32" fillId="36" borderId="13" xfId="54" applyFont="1" applyFill="1" applyBorder="1" applyAlignment="1">
      <alignment horizontal="left" vertical="center" wrapText="1"/>
      <protection/>
    </xf>
    <xf numFmtId="0" fontId="33" fillId="0" borderId="13" xfId="53" applyFont="1" applyBorder="1" applyAlignment="1" applyProtection="1">
      <alignment horizontal="left" vertical="center" wrapText="1"/>
      <protection hidden="1"/>
    </xf>
    <xf numFmtId="181" fontId="34" fillId="34" borderId="13" xfId="0" applyNumberFormat="1" applyFont="1" applyFill="1" applyBorder="1" applyAlignment="1">
      <alignment horizontal="center" vertical="center" wrapText="1"/>
    </xf>
    <xf numFmtId="181" fontId="44" fillId="34" borderId="13" xfId="0" applyNumberFormat="1" applyFont="1" applyFill="1" applyBorder="1" applyAlignment="1">
      <alignment horizontal="center" vertical="center" wrapText="1"/>
    </xf>
    <xf numFmtId="0" fontId="32" fillId="33" borderId="13" xfId="54" applyFont="1" applyFill="1" applyBorder="1" applyAlignment="1">
      <alignment horizontal="left" vertical="center" wrapText="1"/>
      <protection/>
    </xf>
    <xf numFmtId="0" fontId="45" fillId="0" borderId="13" xfId="54" applyFont="1" applyBorder="1" applyAlignment="1">
      <alignment horizontal="left" vertical="center" wrapText="1"/>
      <protection/>
    </xf>
    <xf numFmtId="0" fontId="33" fillId="33" borderId="13" xfId="53" applyFont="1" applyFill="1" applyBorder="1" applyAlignment="1" applyProtection="1">
      <alignment horizontal="left" vertical="center" wrapText="1"/>
      <protection hidden="1"/>
    </xf>
    <xf numFmtId="0" fontId="33" fillId="0" borderId="13" xfId="53" applyFont="1" applyBorder="1" applyAlignment="1" applyProtection="1">
      <alignment horizontal="left" vertical="top" wrapText="1"/>
      <protection hidden="1"/>
    </xf>
    <xf numFmtId="2" fontId="34" fillId="0" borderId="26" xfId="0" applyNumberFormat="1" applyFont="1" applyBorder="1" applyAlignment="1">
      <alignment horizontal="center" vertical="center" wrapText="1"/>
    </xf>
    <xf numFmtId="0" fontId="32" fillId="0" borderId="13" xfId="54" applyFont="1" applyBorder="1" applyAlignment="1">
      <alignment horizontal="left" vertical="top" wrapText="1"/>
      <protection/>
    </xf>
    <xf numFmtId="181" fontId="71" fillId="33" borderId="13" xfId="54" applyNumberFormat="1" applyFont="1" applyFill="1" applyBorder="1" applyAlignment="1">
      <alignment horizontal="center" vertical="center" wrapText="1"/>
      <protection/>
    </xf>
    <xf numFmtId="49" fontId="33" fillId="0" borderId="25" xfId="54" applyNumberFormat="1" applyFont="1" applyBorder="1" applyAlignment="1">
      <alignment horizontal="center" vertical="center" wrapText="1"/>
      <protection/>
    </xf>
    <xf numFmtId="0" fontId="33" fillId="0" borderId="13" xfId="54" applyFont="1" applyBorder="1" applyAlignment="1">
      <alignment horizontal="left" vertical="center" wrapText="1"/>
      <protection/>
    </xf>
    <xf numFmtId="0" fontId="33" fillId="0" borderId="0" xfId="0" applyFont="1" applyAlignment="1">
      <alignment wrapText="1"/>
    </xf>
    <xf numFmtId="179" fontId="34" fillId="0" borderId="26" xfId="0" applyNumberFormat="1" applyFont="1" applyBorder="1" applyAlignment="1">
      <alignment horizontal="center" vertical="center" wrapText="1"/>
    </xf>
    <xf numFmtId="49" fontId="40" fillId="34" borderId="25" xfId="54" applyNumberFormat="1" applyFont="1" applyFill="1" applyBorder="1" applyAlignment="1">
      <alignment horizontal="center" vertical="center" wrapText="1"/>
      <protection/>
    </xf>
    <xf numFmtId="0" fontId="40" fillId="34" borderId="13" xfId="0" applyFont="1" applyFill="1" applyBorder="1" applyAlignment="1">
      <alignment horizontal="left" vertical="center" wrapText="1"/>
    </xf>
    <xf numFmtId="179" fontId="34" fillId="34" borderId="26" xfId="0" applyNumberFormat="1" applyFont="1" applyFill="1" applyBorder="1" applyAlignment="1">
      <alignment horizontal="center" vertical="center" wrapText="1"/>
    </xf>
    <xf numFmtId="0" fontId="32" fillId="0" borderId="13" xfId="0" applyFont="1" applyBorder="1" applyAlignment="1">
      <alignment horizontal="left" vertical="center" wrapText="1"/>
    </xf>
    <xf numFmtId="181" fontId="34" fillId="33" borderId="26" xfId="0" applyNumberFormat="1" applyFont="1" applyFill="1" applyBorder="1" applyAlignment="1">
      <alignment horizontal="center" vertical="center" wrapText="1"/>
    </xf>
    <xf numFmtId="181" fontId="33" fillId="37" borderId="13" xfId="0" applyNumberFormat="1" applyFont="1" applyFill="1" applyBorder="1" applyAlignment="1">
      <alignment horizontal="center" vertical="center" wrapText="1"/>
    </xf>
    <xf numFmtId="181" fontId="41" fillId="5" borderId="13" xfId="54" applyNumberFormat="1" applyFont="1" applyFill="1" applyBorder="1" applyAlignment="1">
      <alignment horizontal="center" vertical="center" wrapText="1"/>
      <protection/>
    </xf>
    <xf numFmtId="0" fontId="46" fillId="34" borderId="27" xfId="54" applyFont="1" applyFill="1" applyBorder="1" applyAlignment="1">
      <alignment horizontal="center" vertical="center" wrapText="1"/>
      <protection/>
    </xf>
    <xf numFmtId="0" fontId="46" fillId="34" borderId="28" xfId="54" applyFont="1" applyFill="1" applyBorder="1" applyAlignment="1">
      <alignment horizontal="center" vertical="center" wrapText="1"/>
      <protection/>
    </xf>
    <xf numFmtId="181" fontId="34" fillId="34" borderId="28" xfId="54" applyNumberFormat="1" applyFont="1" applyFill="1" applyBorder="1" applyAlignment="1">
      <alignment horizontal="center" vertical="center" wrapText="1"/>
      <protection/>
    </xf>
    <xf numFmtId="181" fontId="34" fillId="34" borderId="28" xfId="0" applyNumberFormat="1" applyFont="1" applyFill="1" applyBorder="1" applyAlignment="1">
      <alignment horizontal="center" vertical="center" wrapText="1"/>
    </xf>
    <xf numFmtId="181" fontId="33" fillId="34" borderId="28" xfId="54" applyNumberFormat="1" applyFont="1" applyFill="1" applyBorder="1" applyAlignment="1">
      <alignment horizontal="center" vertical="center" wrapText="1"/>
      <protection/>
    </xf>
    <xf numFmtId="181" fontId="34" fillId="34" borderId="29" xfId="0" applyNumberFormat="1" applyFont="1" applyFill="1" applyBorder="1" applyAlignment="1">
      <alignment horizontal="center" vertical="center" wrapText="1"/>
    </xf>
    <xf numFmtId="182" fontId="69" fillId="33" borderId="0" xfId="54" applyNumberFormat="1" applyFont="1" applyFill="1" applyAlignment="1">
      <alignment horizontal="center" vertical="center" wrapText="1"/>
      <protection/>
    </xf>
    <xf numFmtId="181" fontId="31" fillId="0" borderId="0" xfId="54" applyNumberFormat="1" applyFont="1" applyAlignment="1">
      <alignment horizontal="center" vertical="center" wrapText="1"/>
      <protection/>
    </xf>
    <xf numFmtId="49" fontId="28" fillId="0" borderId="0" xfId="0" applyNumberFormat="1" applyFont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181" fontId="69" fillId="5" borderId="0" xfId="0" applyNumberFormat="1" applyFont="1" applyFill="1" applyAlignment="1">
      <alignment horizontal="center" vertical="center" wrapText="1"/>
    </xf>
    <xf numFmtId="4" fontId="72" fillId="0" borderId="0" xfId="0" applyNumberFormat="1" applyFont="1" applyAlignment="1">
      <alignment/>
    </xf>
    <xf numFmtId="181" fontId="30" fillId="5" borderId="0" xfId="0" applyNumberFormat="1" applyFont="1" applyFill="1" applyAlignment="1">
      <alignment horizontal="center" vertical="center" wrapText="1"/>
    </xf>
    <xf numFmtId="181" fontId="31" fillId="5" borderId="0" xfId="54" applyNumberFormat="1" applyFont="1" applyFill="1" applyAlignment="1">
      <alignment horizontal="center" vertical="center" wrapText="1"/>
      <protection/>
    </xf>
    <xf numFmtId="181" fontId="30" fillId="38" borderId="0" xfId="0" applyNumberFormat="1" applyFont="1" applyFill="1" applyAlignment="1">
      <alignment horizontal="center" vertical="center" wrapText="1"/>
    </xf>
    <xf numFmtId="181" fontId="31" fillId="38" borderId="0" xfId="0" applyNumberFormat="1" applyFont="1" applyFill="1" applyAlignment="1">
      <alignment horizontal="center" vertical="center" wrapText="1"/>
    </xf>
    <xf numFmtId="0" fontId="45" fillId="0" borderId="0" xfId="54" applyFont="1" applyAlignment="1">
      <alignment horizontal="right" vertical="center" wrapText="1"/>
      <protection/>
    </xf>
    <xf numFmtId="181" fontId="48" fillId="33" borderId="0" xfId="0" applyNumberFormat="1" applyFont="1" applyFill="1" applyAlignment="1">
      <alignment horizontal="center" vertical="center" wrapText="1"/>
    </xf>
    <xf numFmtId="181" fontId="48" fillId="0" borderId="0" xfId="0" applyNumberFormat="1" applyFont="1" applyAlignment="1">
      <alignment horizontal="center" vertical="center" wrapText="1"/>
    </xf>
    <xf numFmtId="181" fontId="48" fillId="33" borderId="12" xfId="54" applyNumberFormat="1" applyFont="1" applyFill="1" applyBorder="1" applyAlignment="1">
      <alignment horizontal="center" vertical="center" wrapText="1"/>
      <protection/>
    </xf>
    <xf numFmtId="181" fontId="48" fillId="0" borderId="0" xfId="54" applyNumberFormat="1" applyFont="1" applyAlignment="1">
      <alignment horizontal="left" vertical="center" wrapText="1"/>
      <protection/>
    </xf>
    <xf numFmtId="49" fontId="45" fillId="0" borderId="0" xfId="0" applyNumberFormat="1" applyFont="1" applyAlignment="1">
      <alignment horizontal="right" vertical="center" wrapText="1"/>
    </xf>
    <xf numFmtId="0" fontId="45" fillId="0" borderId="0" xfId="54" applyFont="1" applyAlignment="1">
      <alignment horizontal="left" vertical="center" wrapText="1"/>
      <protection/>
    </xf>
    <xf numFmtId="181" fontId="73" fillId="33" borderId="0" xfId="54" applyNumberFormat="1" applyFont="1" applyFill="1" applyAlignment="1">
      <alignment horizontal="center" vertical="center" wrapText="1"/>
      <protection/>
    </xf>
    <xf numFmtId="181" fontId="48" fillId="33" borderId="0" xfId="54" applyNumberFormat="1" applyFont="1" applyFill="1" applyAlignment="1">
      <alignment horizontal="center" vertical="center" wrapText="1"/>
      <protection/>
    </xf>
    <xf numFmtId="181" fontId="48" fillId="0" borderId="0" xfId="0" applyNumberFormat="1" applyFont="1" applyAlignment="1">
      <alignment horizontal="left" vertical="center" wrapText="1"/>
    </xf>
    <xf numFmtId="181" fontId="48" fillId="33" borderId="0" xfId="0" applyNumberFormat="1" applyFont="1" applyFill="1" applyAlignment="1">
      <alignment horizontal="left" vertical="center" wrapText="1"/>
    </xf>
    <xf numFmtId="181" fontId="48" fillId="33" borderId="12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181" fontId="73" fillId="33" borderId="0" xfId="0" applyNumberFormat="1" applyFont="1" applyFill="1" applyAlignment="1">
      <alignment horizontal="center" vertical="center" wrapText="1"/>
    </xf>
    <xf numFmtId="49" fontId="48" fillId="0" borderId="0" xfId="0" applyNumberFormat="1" applyFont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48" fillId="33" borderId="0" xfId="0" applyFont="1" applyFill="1" applyAlignment="1">
      <alignment horizontal="right"/>
    </xf>
    <xf numFmtId="0" fontId="0" fillId="33" borderId="12" xfId="0" applyFont="1" applyFill="1" applyBorder="1" applyAlignment="1">
      <alignment/>
    </xf>
    <xf numFmtId="0" fontId="48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7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5"/>
  <sheetViews>
    <sheetView zoomScalePageLayoutView="0" workbookViewId="0" topLeftCell="A1">
      <pane ySplit="1" topLeftCell="A230" activePane="bottomLeft" state="frozen"/>
      <selection pane="topLeft" activeCell="A1" sqref="A1"/>
      <selection pane="bottomLeft" activeCell="R67" sqref="R67"/>
    </sheetView>
  </sheetViews>
  <sheetFormatPr defaultColWidth="9.125" defaultRowHeight="12.75" outlineLevelCol="1"/>
  <cols>
    <col min="1" max="1" width="21.375" style="1" customWidth="1"/>
    <col min="2" max="2" width="6.625" style="1" hidden="1" customWidth="1"/>
    <col min="3" max="3" width="46.50390625" style="1" customWidth="1"/>
    <col min="4" max="4" width="11.125" style="1" customWidth="1"/>
    <col min="5" max="5" width="11.00390625" style="1" customWidth="1"/>
    <col min="6" max="6" width="11.375" style="1" customWidth="1"/>
    <col min="7" max="7" width="11.00390625" style="1" hidden="1" customWidth="1"/>
    <col min="8" max="8" width="11.125" style="1" hidden="1" customWidth="1"/>
    <col min="9" max="9" width="10.375" style="1" hidden="1" customWidth="1"/>
    <col min="10" max="10" width="11.00390625" style="1" hidden="1" customWidth="1" outlineLevel="1"/>
    <col min="11" max="11" width="11.00390625" style="1" customWidth="1" collapsed="1"/>
    <col min="12" max="12" width="8.50390625" style="1" customWidth="1"/>
    <col min="13" max="13" width="9.625" style="1" customWidth="1"/>
    <col min="14" max="14" width="10.50390625" style="1" customWidth="1"/>
    <col min="15" max="16384" width="9.125" style="1" customWidth="1"/>
  </cols>
  <sheetData>
    <row r="1" spans="1:14" ht="12.75">
      <c r="A1" s="93" t="s">
        <v>84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1" ht="9.7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14.25" customHeight="1">
      <c r="A3" s="46"/>
      <c r="B3" s="46"/>
      <c r="C3" s="47"/>
      <c r="D3" s="47"/>
      <c r="E3" s="47"/>
      <c r="F3" s="47"/>
      <c r="G3" s="47"/>
      <c r="H3" s="47"/>
      <c r="I3" s="48"/>
      <c r="J3" s="48"/>
      <c r="K3" s="49" t="s">
        <v>65</v>
      </c>
    </row>
    <row r="4" spans="1:14" ht="12.75" customHeight="1">
      <c r="A4" s="50" t="s">
        <v>39</v>
      </c>
      <c r="B4" s="50"/>
      <c r="C4" s="51"/>
      <c r="D4" s="88" t="s">
        <v>76</v>
      </c>
      <c r="E4" s="88" t="s">
        <v>77</v>
      </c>
      <c r="F4" s="88" t="s">
        <v>82</v>
      </c>
      <c r="G4" s="95" t="s">
        <v>66</v>
      </c>
      <c r="H4" s="95" t="s">
        <v>67</v>
      </c>
      <c r="I4" s="95" t="s">
        <v>68</v>
      </c>
      <c r="J4" s="95" t="s">
        <v>69</v>
      </c>
      <c r="K4" s="88" t="s">
        <v>85</v>
      </c>
      <c r="L4" s="88" t="s">
        <v>83</v>
      </c>
      <c r="M4" s="88" t="s">
        <v>78</v>
      </c>
      <c r="N4" s="88" t="s">
        <v>79</v>
      </c>
    </row>
    <row r="5" spans="1:14" ht="27.75" customHeight="1">
      <c r="A5" s="52" t="s">
        <v>44</v>
      </c>
      <c r="B5" s="52"/>
      <c r="C5" s="53" t="s">
        <v>16</v>
      </c>
      <c r="D5" s="89"/>
      <c r="E5" s="89"/>
      <c r="F5" s="89"/>
      <c r="G5" s="96"/>
      <c r="H5" s="96"/>
      <c r="I5" s="96"/>
      <c r="J5" s="96"/>
      <c r="K5" s="89"/>
      <c r="L5" s="89"/>
      <c r="M5" s="89"/>
      <c r="N5" s="89"/>
    </row>
    <row r="6" spans="1:14" ht="39.75" customHeight="1">
      <c r="A6" s="52"/>
      <c r="B6" s="52"/>
      <c r="C6" s="53"/>
      <c r="D6" s="90"/>
      <c r="E6" s="90"/>
      <c r="F6" s="90"/>
      <c r="G6" s="97"/>
      <c r="H6" s="97"/>
      <c r="I6" s="97"/>
      <c r="J6" s="97"/>
      <c r="K6" s="90"/>
      <c r="L6" s="90"/>
      <c r="M6" s="90"/>
      <c r="N6" s="90"/>
    </row>
    <row r="7" spans="1:14" ht="12.75">
      <c r="A7" s="91" t="s">
        <v>22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</row>
    <row r="8" spans="1:14" ht="12.75">
      <c r="A8" s="82" t="s">
        <v>3</v>
      </c>
      <c r="B8" s="63"/>
      <c r="C8" s="69" t="s">
        <v>64</v>
      </c>
      <c r="D8" s="62">
        <f aca="true" t="shared" si="0" ref="D8:J8">D9+D11+D12+D13+D15+D16+D18+D20+D14+D21+D17+D19+D10</f>
        <v>810292.5000000001</v>
      </c>
      <c r="E8" s="62">
        <f t="shared" si="0"/>
        <v>838864.9000000001</v>
      </c>
      <c r="F8" s="62">
        <f>F9+F11+F12+F13+F15+F16+F18+F20+F14+F21+F17+F19+F10</f>
        <v>450094.60000000003</v>
      </c>
      <c r="G8" s="62">
        <f t="shared" si="0"/>
        <v>217180.60000000003</v>
      </c>
      <c r="H8" s="62">
        <f t="shared" si="0"/>
        <v>232913.99999999997</v>
      </c>
      <c r="I8" s="62">
        <f t="shared" si="0"/>
        <v>183388.30000000002</v>
      </c>
      <c r="J8" s="62">
        <f t="shared" si="0"/>
        <v>205382</v>
      </c>
      <c r="K8" s="62">
        <f>K9+K11+K12+K13+K15+K16+K18+K20+K14+K21+K17+K19+K10</f>
        <v>475039.1</v>
      </c>
      <c r="L8" s="62">
        <f aca="true" t="shared" si="1" ref="L8:L13">K8*100/F8</f>
        <v>105.54205715865064</v>
      </c>
      <c r="M8" s="24">
        <f aca="true" t="shared" si="2" ref="M8:M13">K8*100/E8</f>
        <v>56.628796842018296</v>
      </c>
      <c r="N8" s="24">
        <f aca="true" t="shared" si="3" ref="N8:N21">K8*100/D8</f>
        <v>58.625632101987854</v>
      </c>
    </row>
    <row r="9" spans="1:14" ht="12.75">
      <c r="A9" s="35" t="s">
        <v>74</v>
      </c>
      <c r="B9" s="12"/>
      <c r="C9" s="54" t="s">
        <v>75</v>
      </c>
      <c r="D9" s="45">
        <v>602385.5</v>
      </c>
      <c r="E9" s="45">
        <f>G9+H9+I9+J9</f>
        <v>613739.9</v>
      </c>
      <c r="F9" s="45">
        <f>G9+H9</f>
        <v>326896.8</v>
      </c>
      <c r="G9" s="45">
        <v>161804.3</v>
      </c>
      <c r="H9" s="45">
        <v>165092.5</v>
      </c>
      <c r="I9" s="20">
        <v>137881.1</v>
      </c>
      <c r="J9" s="70">
        <v>148962</v>
      </c>
      <c r="K9" s="70">
        <v>337212.8</v>
      </c>
      <c r="L9" s="20">
        <f t="shared" si="1"/>
        <v>103.15573599986296</v>
      </c>
      <c r="M9" s="70">
        <f t="shared" si="2"/>
        <v>54.943926572152144</v>
      </c>
      <c r="N9" s="18">
        <f t="shared" si="3"/>
        <v>55.979567901285805</v>
      </c>
    </row>
    <row r="10" spans="1:14" ht="25.5" customHeight="1">
      <c r="A10" s="35" t="s">
        <v>73</v>
      </c>
      <c r="B10" s="12"/>
      <c r="C10" s="28" t="s">
        <v>72</v>
      </c>
      <c r="D10" s="59">
        <v>3868.9</v>
      </c>
      <c r="E10" s="59">
        <f aca="true" t="shared" si="4" ref="E10:E27">G10+H10+I10+J10</f>
        <v>3868.9</v>
      </c>
      <c r="F10" s="45">
        <f aca="true" t="shared" si="5" ref="F10:F27">G10+H10</f>
        <v>2000.8</v>
      </c>
      <c r="G10" s="59">
        <v>1080</v>
      </c>
      <c r="H10" s="59">
        <v>920.8</v>
      </c>
      <c r="I10" s="17">
        <v>967.2</v>
      </c>
      <c r="J10" s="18">
        <v>900.9</v>
      </c>
      <c r="K10" s="18">
        <v>2267.8</v>
      </c>
      <c r="L10" s="20">
        <f t="shared" si="1"/>
        <v>113.34466213514595</v>
      </c>
      <c r="M10" s="18">
        <f t="shared" si="2"/>
        <v>58.616144123652724</v>
      </c>
      <c r="N10" s="18">
        <f t="shared" si="3"/>
        <v>58.616144123652724</v>
      </c>
    </row>
    <row r="11" spans="1:14" ht="12.75">
      <c r="A11" s="35" t="s">
        <v>8</v>
      </c>
      <c r="B11" s="12"/>
      <c r="C11" s="28" t="s">
        <v>5</v>
      </c>
      <c r="D11" s="59">
        <v>53331.5</v>
      </c>
      <c r="E11" s="59">
        <f t="shared" si="4"/>
        <v>54779</v>
      </c>
      <c r="F11" s="45">
        <f t="shared" si="5"/>
        <v>40115.7</v>
      </c>
      <c r="G11" s="59">
        <v>13473.2</v>
      </c>
      <c r="H11" s="59">
        <v>26642.5</v>
      </c>
      <c r="I11" s="17">
        <v>7280</v>
      </c>
      <c r="J11" s="18">
        <v>7383.3</v>
      </c>
      <c r="K11" s="18">
        <v>49943.1</v>
      </c>
      <c r="L11" s="20">
        <f t="shared" si="1"/>
        <v>124.49764057463787</v>
      </c>
      <c r="M11" s="18">
        <f t="shared" si="2"/>
        <v>91.17198196389127</v>
      </c>
      <c r="N11" s="18">
        <f t="shared" si="3"/>
        <v>93.64653159952374</v>
      </c>
    </row>
    <row r="12" spans="1:14" ht="12.75">
      <c r="A12" s="35" t="s">
        <v>9</v>
      </c>
      <c r="B12" s="12"/>
      <c r="C12" s="28" t="s">
        <v>6</v>
      </c>
      <c r="D12" s="59">
        <v>8680</v>
      </c>
      <c r="E12" s="59">
        <f t="shared" si="4"/>
        <v>8880</v>
      </c>
      <c r="F12" s="45">
        <f t="shared" si="5"/>
        <v>2986.4</v>
      </c>
      <c r="G12" s="59">
        <v>2016.5</v>
      </c>
      <c r="H12" s="59">
        <v>969.9</v>
      </c>
      <c r="I12" s="17">
        <v>1517.4</v>
      </c>
      <c r="J12" s="18">
        <v>4376.2</v>
      </c>
      <c r="K12" s="18">
        <v>3912.7</v>
      </c>
      <c r="L12" s="20">
        <f t="shared" si="1"/>
        <v>131.01727832842218</v>
      </c>
      <c r="M12" s="18">
        <f t="shared" si="2"/>
        <v>44.06193693693694</v>
      </c>
      <c r="N12" s="18">
        <f t="shared" si="3"/>
        <v>45.077188940092164</v>
      </c>
    </row>
    <row r="13" spans="1:14" ht="12.75">
      <c r="A13" s="35" t="s">
        <v>10</v>
      </c>
      <c r="B13" s="12"/>
      <c r="C13" s="28" t="s">
        <v>21</v>
      </c>
      <c r="D13" s="59">
        <v>3802</v>
      </c>
      <c r="E13" s="59">
        <f t="shared" si="4"/>
        <v>4005</v>
      </c>
      <c r="F13" s="45">
        <f t="shared" si="5"/>
        <v>2390.8</v>
      </c>
      <c r="G13" s="59">
        <v>1169.4</v>
      </c>
      <c r="H13" s="59">
        <v>1221.4</v>
      </c>
      <c r="I13" s="17">
        <v>1000</v>
      </c>
      <c r="J13" s="18">
        <v>614.2</v>
      </c>
      <c r="K13" s="18">
        <v>2441.9</v>
      </c>
      <c r="L13" s="20">
        <f t="shared" si="1"/>
        <v>102.13735987953822</v>
      </c>
      <c r="M13" s="18">
        <f t="shared" si="2"/>
        <v>60.97128589263421</v>
      </c>
      <c r="N13" s="18">
        <f t="shared" si="3"/>
        <v>64.22672277748553</v>
      </c>
    </row>
    <row r="14" spans="1:14" ht="21.75" customHeight="1" hidden="1">
      <c r="A14" s="35" t="s">
        <v>35</v>
      </c>
      <c r="B14" s="12"/>
      <c r="C14" s="28" t="s">
        <v>36</v>
      </c>
      <c r="D14" s="59"/>
      <c r="E14" s="59">
        <f t="shared" si="4"/>
        <v>0</v>
      </c>
      <c r="F14" s="45">
        <f t="shared" si="5"/>
        <v>0</v>
      </c>
      <c r="G14" s="59"/>
      <c r="H14" s="59"/>
      <c r="I14" s="17"/>
      <c r="J14" s="18"/>
      <c r="K14" s="18"/>
      <c r="L14" s="20"/>
      <c r="M14" s="18"/>
      <c r="N14" s="18" t="e">
        <f t="shared" si="3"/>
        <v>#DIV/0!</v>
      </c>
    </row>
    <row r="15" spans="1:14" ht="22.5">
      <c r="A15" s="39" t="s">
        <v>11</v>
      </c>
      <c r="B15" s="13"/>
      <c r="C15" s="28" t="s">
        <v>17</v>
      </c>
      <c r="D15" s="59">
        <v>106610.9</v>
      </c>
      <c r="E15" s="59">
        <f t="shared" si="4"/>
        <v>111115.90000000001</v>
      </c>
      <c r="F15" s="45">
        <f t="shared" si="5"/>
        <v>54429.600000000006</v>
      </c>
      <c r="G15" s="59">
        <v>24377.7</v>
      </c>
      <c r="H15" s="59">
        <v>30051.9</v>
      </c>
      <c r="I15" s="17">
        <v>24930.1</v>
      </c>
      <c r="J15" s="18">
        <v>31756.2</v>
      </c>
      <c r="K15" s="18">
        <v>53724.3</v>
      </c>
      <c r="L15" s="20">
        <f aca="true" t="shared" si="6" ref="L15:L20">K15*100/F15</f>
        <v>98.70419771594867</v>
      </c>
      <c r="M15" s="18">
        <f aca="true" t="shared" si="7" ref="M15:M20">K15*100/E15</f>
        <v>48.34978612421804</v>
      </c>
      <c r="N15" s="18">
        <f t="shared" si="3"/>
        <v>50.39287727615094</v>
      </c>
    </row>
    <row r="16" spans="1:14" ht="12.75">
      <c r="A16" s="40" t="s">
        <v>14</v>
      </c>
      <c r="B16" s="29"/>
      <c r="C16" s="28" t="s">
        <v>13</v>
      </c>
      <c r="D16" s="59">
        <v>18177.1</v>
      </c>
      <c r="E16" s="59">
        <f t="shared" si="4"/>
        <v>18177.1</v>
      </c>
      <c r="F16" s="45">
        <f t="shared" si="5"/>
        <v>7087</v>
      </c>
      <c r="G16" s="59">
        <v>4412.7</v>
      </c>
      <c r="H16" s="59">
        <v>2674.3</v>
      </c>
      <c r="I16" s="17">
        <v>5484.3</v>
      </c>
      <c r="J16" s="18">
        <v>5605.8</v>
      </c>
      <c r="K16" s="18">
        <v>7902.1</v>
      </c>
      <c r="L16" s="20">
        <f t="shared" si="6"/>
        <v>111.50134048257372</v>
      </c>
      <c r="M16" s="18">
        <f t="shared" si="7"/>
        <v>43.47283119969632</v>
      </c>
      <c r="N16" s="18">
        <f t="shared" si="3"/>
        <v>43.47283119969632</v>
      </c>
    </row>
    <row r="17" spans="1:14" ht="22.5">
      <c r="A17" s="41" t="s">
        <v>40</v>
      </c>
      <c r="B17" s="30"/>
      <c r="C17" s="28" t="s">
        <v>41</v>
      </c>
      <c r="D17" s="59">
        <v>740.3</v>
      </c>
      <c r="E17" s="59">
        <f t="shared" si="4"/>
        <v>785.3</v>
      </c>
      <c r="F17" s="45">
        <f t="shared" si="5"/>
        <v>-332.70000000000005</v>
      </c>
      <c r="G17" s="59">
        <v>1237.1</v>
      </c>
      <c r="H17" s="59">
        <v>-1569.8</v>
      </c>
      <c r="I17" s="17">
        <v>918.8</v>
      </c>
      <c r="J17" s="18">
        <v>199.2</v>
      </c>
      <c r="K17" s="18">
        <v>100.5</v>
      </c>
      <c r="L17" s="20">
        <f t="shared" si="6"/>
        <v>-30.20739404869251</v>
      </c>
      <c r="M17" s="18">
        <f t="shared" si="7"/>
        <v>12.797656946389916</v>
      </c>
      <c r="N17" s="18">
        <f t="shared" si="3"/>
        <v>13.575577468593814</v>
      </c>
    </row>
    <row r="18" spans="1:14" ht="22.5">
      <c r="A18" s="41" t="s">
        <v>18</v>
      </c>
      <c r="B18" s="30"/>
      <c r="C18" s="28" t="s">
        <v>15</v>
      </c>
      <c r="D18" s="59">
        <v>8611.5</v>
      </c>
      <c r="E18" s="59">
        <f t="shared" si="4"/>
        <v>16241.5</v>
      </c>
      <c r="F18" s="45">
        <f t="shared" si="5"/>
        <v>7731</v>
      </c>
      <c r="G18" s="59">
        <v>4404.7</v>
      </c>
      <c r="H18" s="59">
        <v>3326.3</v>
      </c>
      <c r="I18" s="17">
        <v>3291.7</v>
      </c>
      <c r="J18" s="18">
        <v>5218.8</v>
      </c>
      <c r="K18" s="18">
        <v>9756.9</v>
      </c>
      <c r="L18" s="20">
        <f t="shared" si="6"/>
        <v>126.20488940628638</v>
      </c>
      <c r="M18" s="18">
        <f t="shared" si="7"/>
        <v>60.07388480128067</v>
      </c>
      <c r="N18" s="18">
        <f t="shared" si="3"/>
        <v>113.3008186727051</v>
      </c>
    </row>
    <row r="19" spans="1:14" ht="12.75">
      <c r="A19" s="41" t="s">
        <v>57</v>
      </c>
      <c r="B19" s="30"/>
      <c r="C19" s="28" t="s">
        <v>58</v>
      </c>
      <c r="D19" s="59">
        <v>11</v>
      </c>
      <c r="E19" s="59">
        <f t="shared" si="4"/>
        <v>43</v>
      </c>
      <c r="F19" s="45">
        <f t="shared" si="5"/>
        <v>43</v>
      </c>
      <c r="G19" s="59">
        <v>16</v>
      </c>
      <c r="H19" s="59">
        <v>27</v>
      </c>
      <c r="I19" s="17"/>
      <c r="J19" s="18"/>
      <c r="K19" s="18">
        <v>44</v>
      </c>
      <c r="L19" s="20">
        <f t="shared" si="6"/>
        <v>102.32558139534883</v>
      </c>
      <c r="M19" s="18">
        <f t="shared" si="7"/>
        <v>102.32558139534883</v>
      </c>
      <c r="N19" s="18">
        <f t="shared" si="3"/>
        <v>400</v>
      </c>
    </row>
    <row r="20" spans="1:14" ht="12.75">
      <c r="A20" s="37" t="s">
        <v>12</v>
      </c>
      <c r="B20" s="21"/>
      <c r="C20" s="28" t="s">
        <v>7</v>
      </c>
      <c r="D20" s="59">
        <v>4028.8</v>
      </c>
      <c r="E20" s="59">
        <f t="shared" si="4"/>
        <v>7229.299999999999</v>
      </c>
      <c r="F20" s="45">
        <f t="shared" si="5"/>
        <v>6746.2</v>
      </c>
      <c r="G20" s="59">
        <v>3189</v>
      </c>
      <c r="H20" s="59">
        <v>3557.2</v>
      </c>
      <c r="I20" s="17">
        <v>117.7</v>
      </c>
      <c r="J20" s="18">
        <v>365.4</v>
      </c>
      <c r="K20" s="18">
        <v>7732.7</v>
      </c>
      <c r="L20" s="20">
        <f t="shared" si="6"/>
        <v>114.62304704870891</v>
      </c>
      <c r="M20" s="18">
        <f t="shared" si="7"/>
        <v>106.96332978296655</v>
      </c>
      <c r="N20" s="18">
        <f t="shared" si="3"/>
        <v>191.93556393963462</v>
      </c>
    </row>
    <row r="21" spans="1:14" ht="12.75">
      <c r="A21" s="83" t="s">
        <v>37</v>
      </c>
      <c r="B21" s="61"/>
      <c r="C21" s="16" t="s">
        <v>38</v>
      </c>
      <c r="D21" s="59">
        <v>45</v>
      </c>
      <c r="E21" s="59">
        <f t="shared" si="4"/>
        <v>0</v>
      </c>
      <c r="F21" s="45">
        <f t="shared" si="5"/>
        <v>0</v>
      </c>
      <c r="G21" s="59"/>
      <c r="H21" s="59"/>
      <c r="I21" s="17"/>
      <c r="J21" s="18"/>
      <c r="K21" s="18">
        <v>0.3</v>
      </c>
      <c r="L21" s="20"/>
      <c r="M21" s="18"/>
      <c r="N21" s="18">
        <f t="shared" si="3"/>
        <v>0.6666666666666666</v>
      </c>
    </row>
    <row r="22" spans="1:14" ht="12.75">
      <c r="A22" s="36" t="s">
        <v>1</v>
      </c>
      <c r="B22" s="25"/>
      <c r="C22" s="31" t="s">
        <v>0</v>
      </c>
      <c r="D22" s="32">
        <f>D23+D25+D27+D26+D24</f>
        <v>3698820.7</v>
      </c>
      <c r="E22" s="32">
        <f aca="true" t="shared" si="8" ref="E22:K22">E23+E25+E27+E26+E24</f>
        <v>3651325.1999999997</v>
      </c>
      <c r="F22" s="32">
        <f t="shared" si="8"/>
        <v>1719635.0999999999</v>
      </c>
      <c r="G22" s="32">
        <f t="shared" si="8"/>
        <v>685804.7999999999</v>
      </c>
      <c r="H22" s="32">
        <f t="shared" si="8"/>
        <v>1033830.2999999999</v>
      </c>
      <c r="I22" s="32">
        <f t="shared" si="8"/>
        <v>713646.4</v>
      </c>
      <c r="J22" s="32">
        <f t="shared" si="8"/>
        <v>1218043.7</v>
      </c>
      <c r="K22" s="32">
        <f t="shared" si="8"/>
        <v>1674787.1</v>
      </c>
      <c r="L22" s="27">
        <f aca="true" t="shared" si="9" ref="L22:L28">K22*100/F22</f>
        <v>97.39200485033133</v>
      </c>
      <c r="M22" s="24">
        <f aca="true" t="shared" si="10" ref="M22:M28">K22*100/E22</f>
        <v>45.867924883820265</v>
      </c>
      <c r="N22" s="24">
        <f>K22*100/D22</f>
        <v>45.278947963062926</v>
      </c>
    </row>
    <row r="23" spans="1:14" ht="22.5">
      <c r="A23" s="83" t="s">
        <v>63</v>
      </c>
      <c r="B23" s="12"/>
      <c r="C23" s="33" t="s">
        <v>20</v>
      </c>
      <c r="D23" s="58">
        <v>3698820.7</v>
      </c>
      <c r="E23" s="59">
        <f t="shared" si="4"/>
        <v>3619934.8999999994</v>
      </c>
      <c r="F23" s="45">
        <f t="shared" si="5"/>
        <v>1717844.7999999998</v>
      </c>
      <c r="G23" s="59">
        <v>684883.6</v>
      </c>
      <c r="H23" s="59">
        <v>1032961.2</v>
      </c>
      <c r="I23" s="18">
        <v>708646.4</v>
      </c>
      <c r="J23" s="18">
        <v>1193443.7</v>
      </c>
      <c r="K23" s="18">
        <v>1668546.8</v>
      </c>
      <c r="L23" s="20">
        <f t="shared" si="9"/>
        <v>97.13024133495647</v>
      </c>
      <c r="M23" s="18">
        <f t="shared" si="10"/>
        <v>46.09328195377216</v>
      </c>
      <c r="N23" s="18">
        <f>K23*100/D23</f>
        <v>45.1102374332446</v>
      </c>
    </row>
    <row r="24" spans="1:14" ht="22.5">
      <c r="A24" s="83" t="s">
        <v>80</v>
      </c>
      <c r="B24" s="14"/>
      <c r="C24" s="28" t="s">
        <v>81</v>
      </c>
      <c r="D24" s="58"/>
      <c r="E24" s="59">
        <f t="shared" si="4"/>
        <v>500</v>
      </c>
      <c r="F24" s="45">
        <f t="shared" si="5"/>
        <v>500</v>
      </c>
      <c r="G24" s="59"/>
      <c r="H24" s="59">
        <v>500</v>
      </c>
      <c r="I24" s="18"/>
      <c r="J24" s="18"/>
      <c r="K24" s="18">
        <v>500</v>
      </c>
      <c r="L24" s="20">
        <f>K24*100/F24</f>
        <v>100</v>
      </c>
      <c r="M24" s="18">
        <f>K24*100/E24</f>
        <v>100</v>
      </c>
      <c r="N24" s="18"/>
    </row>
    <row r="25" spans="1:14" ht="18.75" customHeight="1">
      <c r="A25" s="83" t="s">
        <v>71</v>
      </c>
      <c r="B25" s="14"/>
      <c r="C25" s="34" t="s">
        <v>19</v>
      </c>
      <c r="D25" s="65"/>
      <c r="E25" s="59">
        <f t="shared" si="4"/>
        <v>37269.1</v>
      </c>
      <c r="F25" s="45">
        <f t="shared" si="5"/>
        <v>7669.1</v>
      </c>
      <c r="G25" s="65">
        <v>7300</v>
      </c>
      <c r="H25" s="65">
        <v>369.1</v>
      </c>
      <c r="I25" s="18">
        <v>5000</v>
      </c>
      <c r="J25" s="18">
        <v>24600</v>
      </c>
      <c r="K25" s="18">
        <v>12119.1</v>
      </c>
      <c r="L25" s="20">
        <f>K25*100/F25</f>
        <v>158.02506161088002</v>
      </c>
      <c r="M25" s="18">
        <f t="shared" si="10"/>
        <v>32.517823075953004</v>
      </c>
      <c r="N25" s="18"/>
    </row>
    <row r="26" spans="1:14" ht="61.5" customHeight="1" hidden="1">
      <c r="A26" s="83" t="s">
        <v>70</v>
      </c>
      <c r="B26" s="15" t="s">
        <v>61</v>
      </c>
      <c r="C26" s="16" t="s">
        <v>61</v>
      </c>
      <c r="D26" s="59"/>
      <c r="E26" s="59">
        <f t="shared" si="4"/>
        <v>0</v>
      </c>
      <c r="F26" s="45">
        <f t="shared" si="5"/>
        <v>0</v>
      </c>
      <c r="G26" s="59"/>
      <c r="H26" s="59"/>
      <c r="I26" s="18"/>
      <c r="J26" s="18"/>
      <c r="K26" s="18"/>
      <c r="L26" s="20" t="e">
        <f>K26*100/F26</f>
        <v>#DIV/0!</v>
      </c>
      <c r="M26" s="18" t="e">
        <f t="shared" si="10"/>
        <v>#DIV/0!</v>
      </c>
      <c r="N26" s="18"/>
    </row>
    <row r="27" spans="1:14" ht="39" customHeight="1">
      <c r="A27" s="83" t="s">
        <v>62</v>
      </c>
      <c r="B27" s="66"/>
      <c r="C27" s="19" t="s">
        <v>60</v>
      </c>
      <c r="D27" s="71"/>
      <c r="E27" s="59">
        <f t="shared" si="4"/>
        <v>-6378.8</v>
      </c>
      <c r="F27" s="45">
        <f t="shared" si="5"/>
        <v>-6378.8</v>
      </c>
      <c r="G27" s="71">
        <v>-6378.8</v>
      </c>
      <c r="H27" s="71"/>
      <c r="I27" s="18"/>
      <c r="J27" s="18"/>
      <c r="K27" s="18">
        <v>-6378.8</v>
      </c>
      <c r="L27" s="20">
        <f>K27*100/F27</f>
        <v>100</v>
      </c>
      <c r="M27" s="18">
        <f t="shared" si="10"/>
        <v>100</v>
      </c>
      <c r="N27" s="18"/>
    </row>
    <row r="28" spans="1:14" ht="12.75">
      <c r="A28" s="37"/>
      <c r="B28" s="22"/>
      <c r="C28" s="23" t="s">
        <v>4</v>
      </c>
      <c r="D28" s="24">
        <f aca="true" t="shared" si="11" ref="D28:J28">D22+D8</f>
        <v>4509113.2</v>
      </c>
      <c r="E28" s="24">
        <f t="shared" si="11"/>
        <v>4490190.1</v>
      </c>
      <c r="F28" s="24">
        <f t="shared" si="11"/>
        <v>2169729.6999999997</v>
      </c>
      <c r="G28" s="24">
        <f t="shared" si="11"/>
        <v>902985.3999999999</v>
      </c>
      <c r="H28" s="24">
        <f t="shared" si="11"/>
        <v>1266744.2999999998</v>
      </c>
      <c r="I28" s="24">
        <f t="shared" si="11"/>
        <v>897034.7000000001</v>
      </c>
      <c r="J28" s="24">
        <f t="shared" si="11"/>
        <v>1423425.7</v>
      </c>
      <c r="K28" s="24">
        <f>K22+K8</f>
        <v>2149826.2</v>
      </c>
      <c r="L28" s="27">
        <f t="shared" si="9"/>
        <v>99.08267375424693</v>
      </c>
      <c r="M28" s="24">
        <f t="shared" si="10"/>
        <v>47.87828916196667</v>
      </c>
      <c r="N28" s="24">
        <f>K28*100/D28</f>
        <v>47.6773614820759</v>
      </c>
    </row>
    <row r="29" spans="1:14" ht="12.75">
      <c r="A29" s="85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27"/>
      <c r="M29" s="24"/>
      <c r="N29" s="18"/>
    </row>
    <row r="30" spans="1:14" ht="12.75">
      <c r="A30" s="91" t="s">
        <v>23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</row>
    <row r="31" spans="1:14" ht="12.75">
      <c r="A31" s="36" t="s">
        <v>3</v>
      </c>
      <c r="B31" s="25"/>
      <c r="C31" s="26" t="s">
        <v>64</v>
      </c>
      <c r="D31" s="27">
        <f aca="true" t="shared" si="12" ref="D31:J31">D32+D34+D36+D38+D35+D37+D40+D33</f>
        <v>19719.7</v>
      </c>
      <c r="E31" s="27">
        <f t="shared" si="12"/>
        <v>21195.6</v>
      </c>
      <c r="F31" s="27">
        <f t="shared" si="12"/>
        <v>11460.599999999999</v>
      </c>
      <c r="G31" s="27">
        <f t="shared" si="12"/>
        <v>4576.9</v>
      </c>
      <c r="H31" s="27">
        <f t="shared" si="12"/>
        <v>6883.7</v>
      </c>
      <c r="I31" s="27">
        <f t="shared" si="12"/>
        <v>4525.400000000001</v>
      </c>
      <c r="J31" s="27">
        <f t="shared" si="12"/>
        <v>5209.6</v>
      </c>
      <c r="K31" s="27">
        <f>K32+K34+K36+K38+K35+K37+K40+K33+K39</f>
        <v>11489.599999999999</v>
      </c>
      <c r="L31" s="27">
        <f aca="true" t="shared" si="13" ref="L31:L37">K31*100/F31</f>
        <v>100.25304085300944</v>
      </c>
      <c r="M31" s="24">
        <f aca="true" t="shared" si="14" ref="M31:M36">K31*100/E31</f>
        <v>54.20747702353318</v>
      </c>
      <c r="N31" s="24">
        <f aca="true" t="shared" si="15" ref="N31:N37">K31*100/D31</f>
        <v>58.26457806153236</v>
      </c>
    </row>
    <row r="32" spans="1:18" ht="12.75">
      <c r="A32" s="35" t="s">
        <v>74</v>
      </c>
      <c r="B32" s="12"/>
      <c r="C32" s="54" t="s">
        <v>75</v>
      </c>
      <c r="D32" s="45">
        <v>16000</v>
      </c>
      <c r="E32" s="59">
        <f aca="true" t="shared" si="16" ref="E32:E40">G32+H32+I32+J32</f>
        <v>16900</v>
      </c>
      <c r="F32" s="45">
        <f aca="true" t="shared" si="17" ref="F32:F42">G32+H32</f>
        <v>9585.5</v>
      </c>
      <c r="G32" s="45">
        <v>3704.1</v>
      </c>
      <c r="H32" s="45">
        <v>5881.4</v>
      </c>
      <c r="I32" s="17">
        <v>3757.6</v>
      </c>
      <c r="J32" s="18">
        <v>3556.9</v>
      </c>
      <c r="K32" s="70">
        <v>9388.8</v>
      </c>
      <c r="L32" s="20">
        <f t="shared" si="13"/>
        <v>97.94794220437117</v>
      </c>
      <c r="M32" s="18">
        <f t="shared" si="14"/>
        <v>55.55502958579881</v>
      </c>
      <c r="N32" s="18">
        <f t="shared" si="15"/>
        <v>58.67999999999999</v>
      </c>
      <c r="R32" s="2"/>
    </row>
    <row r="33" spans="1:14" ht="25.5" customHeight="1">
      <c r="A33" s="35" t="s">
        <v>73</v>
      </c>
      <c r="B33" s="12"/>
      <c r="C33" s="28" t="s">
        <v>72</v>
      </c>
      <c r="D33" s="59">
        <v>1802.4</v>
      </c>
      <c r="E33" s="59">
        <f t="shared" si="16"/>
        <v>2050.7999999999997</v>
      </c>
      <c r="F33" s="45">
        <f t="shared" si="17"/>
        <v>1149</v>
      </c>
      <c r="G33" s="45">
        <v>598.7</v>
      </c>
      <c r="H33" s="45">
        <v>550.3</v>
      </c>
      <c r="I33" s="17">
        <v>450.6</v>
      </c>
      <c r="J33" s="18">
        <v>451.2</v>
      </c>
      <c r="K33" s="70">
        <v>1056.5</v>
      </c>
      <c r="L33" s="20">
        <f t="shared" si="13"/>
        <v>91.94952132288947</v>
      </c>
      <c r="M33" s="18">
        <f t="shared" si="14"/>
        <v>51.51648137312269</v>
      </c>
      <c r="N33" s="18">
        <f t="shared" si="15"/>
        <v>58.61628939192188</v>
      </c>
    </row>
    <row r="34" spans="1:14" ht="12.75">
      <c r="A34" s="35" t="s">
        <v>9</v>
      </c>
      <c r="B34" s="12"/>
      <c r="C34" s="28" t="s">
        <v>6</v>
      </c>
      <c r="D34" s="59">
        <v>1250</v>
      </c>
      <c r="E34" s="59">
        <f t="shared" si="16"/>
        <v>1250</v>
      </c>
      <c r="F34" s="45">
        <f t="shared" si="17"/>
        <v>104.80000000000001</v>
      </c>
      <c r="G34" s="59">
        <v>66.2</v>
      </c>
      <c r="H34" s="59">
        <v>38.6</v>
      </c>
      <c r="I34" s="17">
        <v>229.8</v>
      </c>
      <c r="J34" s="18">
        <v>915.4</v>
      </c>
      <c r="K34" s="18">
        <v>178</v>
      </c>
      <c r="L34" s="20">
        <f t="shared" si="13"/>
        <v>169.8473282442748</v>
      </c>
      <c r="M34" s="18">
        <f t="shared" si="14"/>
        <v>14.24</v>
      </c>
      <c r="N34" s="18">
        <f t="shared" si="15"/>
        <v>14.24</v>
      </c>
    </row>
    <row r="35" spans="1:14" ht="12.75">
      <c r="A35" s="35" t="s">
        <v>10</v>
      </c>
      <c r="B35" s="12"/>
      <c r="C35" s="28" t="s">
        <v>21</v>
      </c>
      <c r="D35" s="59">
        <v>12.3</v>
      </c>
      <c r="E35" s="59">
        <f t="shared" si="16"/>
        <v>12.3</v>
      </c>
      <c r="F35" s="45">
        <f t="shared" si="17"/>
        <v>6</v>
      </c>
      <c r="G35" s="59">
        <v>3</v>
      </c>
      <c r="H35" s="59">
        <v>3</v>
      </c>
      <c r="I35" s="17">
        <v>3</v>
      </c>
      <c r="J35" s="18">
        <v>3.3</v>
      </c>
      <c r="K35" s="18">
        <v>1.8</v>
      </c>
      <c r="L35" s="20">
        <f t="shared" si="13"/>
        <v>30</v>
      </c>
      <c r="M35" s="18">
        <f t="shared" si="14"/>
        <v>14.634146341463413</v>
      </c>
      <c r="N35" s="18">
        <f t="shared" si="15"/>
        <v>14.634146341463413</v>
      </c>
    </row>
    <row r="36" spans="1:14" ht="22.5">
      <c r="A36" s="39" t="s">
        <v>11</v>
      </c>
      <c r="B36" s="13"/>
      <c r="C36" s="28" t="s">
        <v>17</v>
      </c>
      <c r="D36" s="59">
        <v>505</v>
      </c>
      <c r="E36" s="59">
        <f t="shared" si="16"/>
        <v>505</v>
      </c>
      <c r="F36" s="45">
        <f t="shared" si="17"/>
        <v>238</v>
      </c>
      <c r="G36" s="59">
        <v>122.5</v>
      </c>
      <c r="H36" s="59">
        <v>115.5</v>
      </c>
      <c r="I36" s="17">
        <v>59.5</v>
      </c>
      <c r="J36" s="18">
        <v>207.5</v>
      </c>
      <c r="K36" s="18">
        <v>400.5</v>
      </c>
      <c r="L36" s="20">
        <f t="shared" si="13"/>
        <v>168.27731092436974</v>
      </c>
      <c r="M36" s="18">
        <f t="shared" si="14"/>
        <v>79.3069306930693</v>
      </c>
      <c r="N36" s="18">
        <f t="shared" si="15"/>
        <v>79.3069306930693</v>
      </c>
    </row>
    <row r="37" spans="1:14" ht="24" customHeight="1">
      <c r="A37" s="41" t="s">
        <v>40</v>
      </c>
      <c r="B37" s="30"/>
      <c r="C37" s="28" t="s">
        <v>41</v>
      </c>
      <c r="D37" s="59">
        <v>50</v>
      </c>
      <c r="E37" s="59">
        <f t="shared" si="16"/>
        <v>107.5</v>
      </c>
      <c r="F37" s="45">
        <f t="shared" si="17"/>
        <v>57.5</v>
      </c>
      <c r="G37" s="59">
        <v>57.5</v>
      </c>
      <c r="H37" s="59"/>
      <c r="I37" s="17"/>
      <c r="J37" s="18">
        <v>50</v>
      </c>
      <c r="K37" s="18">
        <v>108.4</v>
      </c>
      <c r="L37" s="20">
        <f t="shared" si="13"/>
        <v>188.52173913043478</v>
      </c>
      <c r="M37" s="18">
        <f>K37*100/E37</f>
        <v>100.83720930232558</v>
      </c>
      <c r="N37" s="18">
        <f t="shared" si="15"/>
        <v>216.8</v>
      </c>
    </row>
    <row r="38" spans="1:14" ht="13.5" customHeight="1">
      <c r="A38" s="40" t="s">
        <v>18</v>
      </c>
      <c r="B38" s="29"/>
      <c r="C38" s="28" t="s">
        <v>15</v>
      </c>
      <c r="D38" s="59">
        <v>100</v>
      </c>
      <c r="E38" s="59">
        <f t="shared" si="16"/>
        <v>99.99999999999999</v>
      </c>
      <c r="F38" s="45">
        <f t="shared" si="17"/>
        <v>49.8</v>
      </c>
      <c r="G38" s="59">
        <v>24.9</v>
      </c>
      <c r="H38" s="59">
        <v>24.9</v>
      </c>
      <c r="I38" s="17">
        <v>24.9</v>
      </c>
      <c r="J38" s="18">
        <v>25.3</v>
      </c>
      <c r="K38" s="18">
        <v>85.5</v>
      </c>
      <c r="L38" s="20">
        <f>K38*100/F38</f>
        <v>171.6867469879518</v>
      </c>
      <c r="M38" s="18">
        <f>K38*100/E38</f>
        <v>85.50000000000001</v>
      </c>
      <c r="N38" s="18">
        <f>K38*100/D38</f>
        <v>85.5</v>
      </c>
    </row>
    <row r="39" spans="1:14" ht="14.25" customHeight="1" hidden="1">
      <c r="A39" s="37" t="s">
        <v>12</v>
      </c>
      <c r="B39" s="60"/>
      <c r="C39" s="28" t="s">
        <v>7</v>
      </c>
      <c r="D39" s="72"/>
      <c r="E39" s="59">
        <f t="shared" si="16"/>
        <v>0</v>
      </c>
      <c r="F39" s="45">
        <f t="shared" si="17"/>
        <v>0</v>
      </c>
      <c r="G39" s="59"/>
      <c r="H39" s="59"/>
      <c r="I39" s="17"/>
      <c r="J39" s="18"/>
      <c r="K39" s="18"/>
      <c r="L39" s="20"/>
      <c r="M39" s="18"/>
      <c r="N39" s="18"/>
    </row>
    <row r="40" spans="1:14" ht="15.75" customHeight="1">
      <c r="A40" s="83" t="s">
        <v>37</v>
      </c>
      <c r="B40" s="61"/>
      <c r="C40" s="16" t="s">
        <v>38</v>
      </c>
      <c r="D40" s="59">
        <v>0</v>
      </c>
      <c r="E40" s="59">
        <f t="shared" si="16"/>
        <v>270</v>
      </c>
      <c r="F40" s="45">
        <f t="shared" si="17"/>
        <v>270</v>
      </c>
      <c r="G40" s="59"/>
      <c r="H40" s="59">
        <v>270</v>
      </c>
      <c r="I40" s="17"/>
      <c r="J40" s="18"/>
      <c r="K40" s="18">
        <v>270.1</v>
      </c>
      <c r="L40" s="27"/>
      <c r="M40" s="24"/>
      <c r="N40" s="18"/>
    </row>
    <row r="41" spans="1:14" ht="12.75">
      <c r="A41" s="36" t="s">
        <v>1</v>
      </c>
      <c r="B41" s="25"/>
      <c r="C41" s="31" t="s">
        <v>0</v>
      </c>
      <c r="D41" s="32">
        <f aca="true" t="shared" si="18" ref="D41:J41">D42+D43</f>
        <v>6852.5</v>
      </c>
      <c r="E41" s="32">
        <f t="shared" si="18"/>
        <v>17403.8</v>
      </c>
      <c r="F41" s="32">
        <f t="shared" si="18"/>
        <v>13977</v>
      </c>
      <c r="G41" s="32">
        <f t="shared" si="18"/>
        <v>1912.8</v>
      </c>
      <c r="H41" s="32">
        <f t="shared" si="18"/>
        <v>12064.2</v>
      </c>
      <c r="I41" s="32">
        <f t="shared" si="18"/>
        <v>1713.1</v>
      </c>
      <c r="J41" s="32">
        <f t="shared" si="18"/>
        <v>1713.7</v>
      </c>
      <c r="K41" s="32">
        <f>K42+K43</f>
        <v>3602.5</v>
      </c>
      <c r="L41" s="27">
        <f>K41*100/F41</f>
        <v>25.77448665665021</v>
      </c>
      <c r="M41" s="24">
        <f>K41*100/E41</f>
        <v>20.699502407520196</v>
      </c>
      <c r="N41" s="24">
        <f>K41*100/D41</f>
        <v>52.57205399489237</v>
      </c>
    </row>
    <row r="42" spans="1:14" ht="23.25" customHeight="1">
      <c r="A42" s="83" t="s">
        <v>63</v>
      </c>
      <c r="B42" s="12"/>
      <c r="C42" s="33" t="s">
        <v>20</v>
      </c>
      <c r="D42" s="58">
        <v>6852.5</v>
      </c>
      <c r="E42" s="59">
        <f>G42+H42+I42+J42</f>
        <v>17403.8</v>
      </c>
      <c r="F42" s="45">
        <f t="shared" si="17"/>
        <v>13977</v>
      </c>
      <c r="G42" s="58">
        <v>1912.8</v>
      </c>
      <c r="H42" s="58">
        <v>12064.2</v>
      </c>
      <c r="I42" s="17">
        <v>1713.1</v>
      </c>
      <c r="J42" s="58">
        <v>1713.7</v>
      </c>
      <c r="K42" s="18">
        <v>3602.5</v>
      </c>
      <c r="L42" s="20">
        <f>K42*100/F42</f>
        <v>25.77448665665021</v>
      </c>
      <c r="M42" s="18">
        <f>K42*100/E42</f>
        <v>20.699502407520196</v>
      </c>
      <c r="N42" s="18">
        <f>K42*100/D42</f>
        <v>52.57205399489237</v>
      </c>
    </row>
    <row r="43" spans="1:14" ht="37.5" customHeight="1" hidden="1">
      <c r="A43" s="14" t="s">
        <v>62</v>
      </c>
      <c r="B43" s="66"/>
      <c r="C43" s="19" t="s">
        <v>60</v>
      </c>
      <c r="D43" s="71"/>
      <c r="E43" s="59">
        <f>G43+H43+I43+J43</f>
        <v>0</v>
      </c>
      <c r="F43" s="45">
        <f>G43</f>
        <v>0</v>
      </c>
      <c r="G43" s="58"/>
      <c r="H43" s="58"/>
      <c r="I43" s="17"/>
      <c r="J43" s="58"/>
      <c r="K43" s="18"/>
      <c r="L43" s="20"/>
      <c r="M43" s="18"/>
      <c r="N43" s="18"/>
    </row>
    <row r="44" spans="1:14" ht="12.75">
      <c r="A44" s="21"/>
      <c r="B44" s="22"/>
      <c r="C44" s="23" t="s">
        <v>4</v>
      </c>
      <c r="D44" s="24">
        <f aca="true" t="shared" si="19" ref="D44:J44">D41+D31</f>
        <v>26572.2</v>
      </c>
      <c r="E44" s="24">
        <f t="shared" si="19"/>
        <v>38599.399999999994</v>
      </c>
      <c r="F44" s="24">
        <f t="shared" si="19"/>
        <v>25437.6</v>
      </c>
      <c r="G44" s="24">
        <f t="shared" si="19"/>
        <v>6489.7</v>
      </c>
      <c r="H44" s="24">
        <f t="shared" si="19"/>
        <v>18947.9</v>
      </c>
      <c r="I44" s="24">
        <f t="shared" si="19"/>
        <v>6238.5</v>
      </c>
      <c r="J44" s="24">
        <f t="shared" si="19"/>
        <v>6923.3</v>
      </c>
      <c r="K44" s="24">
        <f>K41+K31</f>
        <v>15092.099999999999</v>
      </c>
      <c r="L44" s="27">
        <f>K44*100/F44</f>
        <v>59.32988961222756</v>
      </c>
      <c r="M44" s="24">
        <f>K44*100/E44</f>
        <v>39.09931242454546</v>
      </c>
      <c r="N44" s="24">
        <f>K44*100/D44</f>
        <v>56.79657687357463</v>
      </c>
    </row>
    <row r="45" spans="1:14" ht="12.75">
      <c r="A45" s="55"/>
      <c r="B45" s="56"/>
      <c r="C45" s="87"/>
      <c r="D45" s="87"/>
      <c r="E45" s="87"/>
      <c r="F45" s="87"/>
      <c r="G45" s="87"/>
      <c r="H45" s="87"/>
      <c r="I45" s="87"/>
      <c r="J45" s="87"/>
      <c r="K45" s="87"/>
      <c r="L45" s="27"/>
      <c r="M45" s="24"/>
      <c r="N45" s="18"/>
    </row>
    <row r="46" spans="1:14" ht="12.75">
      <c r="A46" s="91" t="s">
        <v>24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</row>
    <row r="47" spans="1:14" ht="12.75">
      <c r="A47" s="36" t="s">
        <v>3</v>
      </c>
      <c r="B47" s="25"/>
      <c r="C47" s="26" t="s">
        <v>64</v>
      </c>
      <c r="D47" s="27">
        <f aca="true" t="shared" si="20" ref="D47:J47">D48+D51+D53+D55+D56+D57+D52+D50+D49+D54</f>
        <v>22750.7</v>
      </c>
      <c r="E47" s="27">
        <f t="shared" si="20"/>
        <v>23698.6</v>
      </c>
      <c r="F47" s="27">
        <f t="shared" si="20"/>
        <v>11775.3</v>
      </c>
      <c r="G47" s="27">
        <f t="shared" si="20"/>
        <v>5616</v>
      </c>
      <c r="H47" s="27">
        <f t="shared" si="20"/>
        <v>6159.299999999999</v>
      </c>
      <c r="I47" s="27">
        <f t="shared" si="20"/>
        <v>5048.1</v>
      </c>
      <c r="J47" s="27">
        <f t="shared" si="20"/>
        <v>6875.2</v>
      </c>
      <c r="K47" s="27">
        <f>K48+K51+K53+K55+K56+K57+K52+K50+K49+K54</f>
        <v>11176.999999999998</v>
      </c>
      <c r="L47" s="27">
        <f>K47*100/F47</f>
        <v>94.91902541761142</v>
      </c>
      <c r="M47" s="24">
        <f>K47*100/E47</f>
        <v>47.16312356004151</v>
      </c>
      <c r="N47" s="24">
        <f aca="true" t="shared" si="21" ref="N47:N53">K47*100/D47</f>
        <v>49.1281586940182</v>
      </c>
    </row>
    <row r="48" spans="1:18" ht="13.5" customHeight="1">
      <c r="A48" s="35" t="s">
        <v>74</v>
      </c>
      <c r="B48" s="12"/>
      <c r="C48" s="54" t="s">
        <v>75</v>
      </c>
      <c r="D48" s="45">
        <v>14200</v>
      </c>
      <c r="E48" s="59">
        <f aca="true" t="shared" si="22" ref="E48:E61">G48+H48+I48+J48</f>
        <v>14200</v>
      </c>
      <c r="F48" s="45">
        <f aca="true" t="shared" si="23" ref="F48:F59">G48+H48</f>
        <v>7060</v>
      </c>
      <c r="G48" s="59">
        <v>3128</v>
      </c>
      <c r="H48" s="59">
        <v>3932</v>
      </c>
      <c r="I48" s="17">
        <v>3434</v>
      </c>
      <c r="J48" s="18">
        <v>3706</v>
      </c>
      <c r="K48" s="70">
        <v>6749.4</v>
      </c>
      <c r="L48" s="20">
        <f>K48*100/F48</f>
        <v>95.60056657223797</v>
      </c>
      <c r="M48" s="18">
        <f>K48*100/E48</f>
        <v>47.530985915492955</v>
      </c>
      <c r="N48" s="18">
        <f t="shared" si="21"/>
        <v>47.530985915492955</v>
      </c>
      <c r="R48" s="2"/>
    </row>
    <row r="49" spans="1:14" ht="25.5" customHeight="1">
      <c r="A49" s="35" t="s">
        <v>73</v>
      </c>
      <c r="B49" s="12"/>
      <c r="C49" s="28" t="s">
        <v>72</v>
      </c>
      <c r="D49" s="59">
        <v>4245.2</v>
      </c>
      <c r="E49" s="59">
        <f t="shared" si="22"/>
        <v>4594.9</v>
      </c>
      <c r="F49" s="45">
        <f t="shared" si="23"/>
        <v>2470.7</v>
      </c>
      <c r="G49" s="59">
        <v>1409.6</v>
      </c>
      <c r="H49" s="59">
        <v>1061.1</v>
      </c>
      <c r="I49" s="17">
        <v>1061.2</v>
      </c>
      <c r="J49" s="18">
        <v>1063</v>
      </c>
      <c r="K49" s="70">
        <v>2488.4</v>
      </c>
      <c r="L49" s="20">
        <f>K49*100/F49</f>
        <v>100.71639616303072</v>
      </c>
      <c r="M49" s="18">
        <f>K49*100/E49</f>
        <v>54.155694356786874</v>
      </c>
      <c r="N49" s="18">
        <f t="shared" si="21"/>
        <v>58.61679072835202</v>
      </c>
    </row>
    <row r="50" spans="1:14" ht="12.75">
      <c r="A50" s="35" t="s">
        <v>8</v>
      </c>
      <c r="B50" s="12"/>
      <c r="C50" s="28" t="s">
        <v>5</v>
      </c>
      <c r="D50" s="59">
        <v>19</v>
      </c>
      <c r="E50" s="59">
        <f t="shared" si="22"/>
        <v>19</v>
      </c>
      <c r="F50" s="45">
        <f t="shared" si="23"/>
        <v>17</v>
      </c>
      <c r="G50" s="59">
        <v>2</v>
      </c>
      <c r="H50" s="59">
        <v>15</v>
      </c>
      <c r="I50" s="17">
        <v>2</v>
      </c>
      <c r="J50" s="18"/>
      <c r="K50" s="70">
        <v>23.9</v>
      </c>
      <c r="L50" s="20">
        <f>K50*100/F50</f>
        <v>140.58823529411765</v>
      </c>
      <c r="M50" s="18">
        <f>K50*100/E50</f>
        <v>125.78947368421052</v>
      </c>
      <c r="N50" s="18">
        <f t="shared" si="21"/>
        <v>125.78947368421052</v>
      </c>
    </row>
    <row r="51" spans="1:14" ht="13.5" customHeight="1">
      <c r="A51" s="35" t="s">
        <v>9</v>
      </c>
      <c r="B51" s="12"/>
      <c r="C51" s="28" t="s">
        <v>6</v>
      </c>
      <c r="D51" s="59">
        <v>3510</v>
      </c>
      <c r="E51" s="59">
        <f t="shared" si="22"/>
        <v>3510</v>
      </c>
      <c r="F51" s="45">
        <f t="shared" si="23"/>
        <v>1252</v>
      </c>
      <c r="G51" s="59">
        <v>903</v>
      </c>
      <c r="H51" s="59">
        <v>349</v>
      </c>
      <c r="I51" s="17">
        <v>362.5</v>
      </c>
      <c r="J51" s="18">
        <v>1895.5</v>
      </c>
      <c r="K51" s="18">
        <v>950.5</v>
      </c>
      <c r="L51" s="20">
        <f>K51*100/F51</f>
        <v>75.9185303514377</v>
      </c>
      <c r="M51" s="18">
        <f>K51*100/E51</f>
        <v>27.07977207977208</v>
      </c>
      <c r="N51" s="18">
        <f t="shared" si="21"/>
        <v>27.07977207977208</v>
      </c>
    </row>
    <row r="52" spans="1:14" ht="20.25" customHeight="1" hidden="1">
      <c r="A52" s="35" t="s">
        <v>10</v>
      </c>
      <c r="B52" s="12"/>
      <c r="C52" s="28" t="s">
        <v>21</v>
      </c>
      <c r="D52" s="59"/>
      <c r="E52" s="59">
        <f t="shared" si="22"/>
        <v>0</v>
      </c>
      <c r="F52" s="45">
        <f t="shared" si="23"/>
        <v>0</v>
      </c>
      <c r="G52" s="59"/>
      <c r="H52" s="59"/>
      <c r="I52" s="17"/>
      <c r="J52" s="18"/>
      <c r="K52" s="18"/>
      <c r="L52" s="20"/>
      <c r="M52" s="18"/>
      <c r="N52" s="18" t="e">
        <f t="shared" si="21"/>
        <v>#DIV/0!</v>
      </c>
    </row>
    <row r="53" spans="1:14" ht="22.5">
      <c r="A53" s="39" t="s">
        <v>11</v>
      </c>
      <c r="B53" s="13"/>
      <c r="C53" s="28" t="s">
        <v>17</v>
      </c>
      <c r="D53" s="59">
        <v>626.5</v>
      </c>
      <c r="E53" s="59">
        <f t="shared" si="22"/>
        <v>847.5</v>
      </c>
      <c r="F53" s="45">
        <f t="shared" si="23"/>
        <v>523.4</v>
      </c>
      <c r="G53" s="59">
        <v>133</v>
      </c>
      <c r="H53" s="59">
        <v>390.4</v>
      </c>
      <c r="I53" s="17">
        <v>150.9</v>
      </c>
      <c r="J53" s="18">
        <v>173.2</v>
      </c>
      <c r="K53" s="18">
        <v>568.6</v>
      </c>
      <c r="L53" s="20">
        <f aca="true" t="shared" si="24" ref="L53:L60">K53*100/F53</f>
        <v>108.63584256782576</v>
      </c>
      <c r="M53" s="18">
        <f aca="true" t="shared" si="25" ref="M53:M60">K53*100/E53</f>
        <v>67.09144542772862</v>
      </c>
      <c r="N53" s="18">
        <f t="shared" si="21"/>
        <v>90.75818036711891</v>
      </c>
    </row>
    <row r="54" spans="1:14" ht="24.75" customHeight="1" hidden="1">
      <c r="A54" s="41" t="s">
        <v>40</v>
      </c>
      <c r="B54" s="30"/>
      <c r="C54" s="28" t="s">
        <v>41</v>
      </c>
      <c r="D54" s="59">
        <v>0</v>
      </c>
      <c r="E54" s="59">
        <f t="shared" si="22"/>
        <v>0</v>
      </c>
      <c r="F54" s="45">
        <f t="shared" si="23"/>
        <v>0</v>
      </c>
      <c r="G54" s="59"/>
      <c r="H54" s="59"/>
      <c r="I54" s="17"/>
      <c r="J54" s="18"/>
      <c r="K54" s="18"/>
      <c r="L54" s="20" t="e">
        <f t="shared" si="24"/>
        <v>#DIV/0!</v>
      </c>
      <c r="M54" s="18" t="e">
        <f t="shared" si="25"/>
        <v>#DIV/0!</v>
      </c>
      <c r="N54" s="18"/>
    </row>
    <row r="55" spans="1:14" ht="22.5">
      <c r="A55" s="41" t="s">
        <v>18</v>
      </c>
      <c r="B55" s="30"/>
      <c r="C55" s="28" t="s">
        <v>15</v>
      </c>
      <c r="D55" s="59">
        <v>150</v>
      </c>
      <c r="E55" s="59">
        <f t="shared" si="22"/>
        <v>150</v>
      </c>
      <c r="F55" s="45">
        <f t="shared" si="23"/>
        <v>75</v>
      </c>
      <c r="G55" s="59">
        <v>37.5</v>
      </c>
      <c r="H55" s="59">
        <v>37.5</v>
      </c>
      <c r="I55" s="17">
        <v>37.5</v>
      </c>
      <c r="J55" s="18">
        <v>37.5</v>
      </c>
      <c r="K55" s="18">
        <v>31.8</v>
      </c>
      <c r="L55" s="20">
        <f t="shared" si="24"/>
        <v>42.4</v>
      </c>
      <c r="M55" s="18">
        <f t="shared" si="25"/>
        <v>21.2</v>
      </c>
      <c r="N55" s="18">
        <f>K55*100/D55</f>
        <v>21.2</v>
      </c>
    </row>
    <row r="56" spans="1:14" ht="21" customHeight="1">
      <c r="A56" s="37" t="s">
        <v>12</v>
      </c>
      <c r="B56" s="21"/>
      <c r="C56" s="28" t="s">
        <v>7</v>
      </c>
      <c r="D56" s="59"/>
      <c r="E56" s="59">
        <f t="shared" si="22"/>
        <v>2.9</v>
      </c>
      <c r="F56" s="45">
        <f t="shared" si="23"/>
        <v>2.9</v>
      </c>
      <c r="G56" s="59">
        <v>2.9</v>
      </c>
      <c r="H56" s="59"/>
      <c r="I56" s="17"/>
      <c r="J56" s="18"/>
      <c r="K56" s="18">
        <v>2.9</v>
      </c>
      <c r="L56" s="20">
        <f t="shared" si="24"/>
        <v>100</v>
      </c>
      <c r="M56" s="18">
        <f t="shared" si="25"/>
        <v>100</v>
      </c>
      <c r="N56" s="18"/>
    </row>
    <row r="57" spans="1:14" ht="14.25" customHeight="1">
      <c r="A57" s="84" t="s">
        <v>37</v>
      </c>
      <c r="B57" s="61"/>
      <c r="C57" s="16" t="s">
        <v>38</v>
      </c>
      <c r="D57" s="59"/>
      <c r="E57" s="59">
        <f t="shared" si="22"/>
        <v>374.3</v>
      </c>
      <c r="F57" s="45">
        <f t="shared" si="23"/>
        <v>374.3</v>
      </c>
      <c r="G57" s="59"/>
      <c r="H57" s="59">
        <v>374.3</v>
      </c>
      <c r="I57" s="17"/>
      <c r="J57" s="18"/>
      <c r="K57" s="18">
        <v>361.5</v>
      </c>
      <c r="L57" s="20">
        <f t="shared" si="24"/>
        <v>96.58028319529788</v>
      </c>
      <c r="M57" s="18">
        <f t="shared" si="25"/>
        <v>96.58028319529788</v>
      </c>
      <c r="N57" s="18"/>
    </row>
    <row r="58" spans="1:14" ht="12.75">
      <c r="A58" s="82" t="s">
        <v>1</v>
      </c>
      <c r="B58" s="63"/>
      <c r="C58" s="31" t="s">
        <v>0</v>
      </c>
      <c r="D58" s="32">
        <f>D59+D61+D60</f>
        <v>19897.1</v>
      </c>
      <c r="E58" s="32">
        <f>E59+E61+E60</f>
        <v>32446.699999999997</v>
      </c>
      <c r="F58" s="32">
        <f aca="true" t="shared" si="26" ref="F58:K58">F59+F61+F60</f>
        <v>22497</v>
      </c>
      <c r="G58" s="32">
        <f t="shared" si="26"/>
        <v>10223.7</v>
      </c>
      <c r="H58" s="32">
        <f t="shared" si="26"/>
        <v>12273.3</v>
      </c>
      <c r="I58" s="32">
        <f t="shared" si="26"/>
        <v>4973.8</v>
      </c>
      <c r="J58" s="32">
        <f t="shared" si="26"/>
        <v>4975.9</v>
      </c>
      <c r="K58" s="32">
        <f t="shared" si="26"/>
        <v>8791.4</v>
      </c>
      <c r="L58" s="27">
        <f t="shared" si="24"/>
        <v>39.078099302129175</v>
      </c>
      <c r="M58" s="24">
        <f t="shared" si="25"/>
        <v>27.094897169820047</v>
      </c>
      <c r="N58" s="24">
        <f>K58*100/D58</f>
        <v>44.18432836946088</v>
      </c>
    </row>
    <row r="59" spans="1:14" ht="23.25" customHeight="1">
      <c r="A59" s="83" t="s">
        <v>63</v>
      </c>
      <c r="B59" s="12"/>
      <c r="C59" s="33" t="s">
        <v>20</v>
      </c>
      <c r="D59" s="58">
        <v>19897.1</v>
      </c>
      <c r="E59" s="59">
        <f>G59+H59+I59+J59</f>
        <v>32446.699999999997</v>
      </c>
      <c r="F59" s="45">
        <f t="shared" si="23"/>
        <v>22497</v>
      </c>
      <c r="G59" s="58">
        <v>10223.7</v>
      </c>
      <c r="H59" s="58">
        <v>12273.3</v>
      </c>
      <c r="I59" s="17">
        <v>4973.8</v>
      </c>
      <c r="J59" s="17">
        <v>4975.9</v>
      </c>
      <c r="K59" s="18">
        <v>8791.4</v>
      </c>
      <c r="L59" s="20">
        <f t="shared" si="24"/>
        <v>39.078099302129175</v>
      </c>
      <c r="M59" s="18">
        <f t="shared" si="25"/>
        <v>27.094897169820047</v>
      </c>
      <c r="N59" s="18">
        <f>K59*100/D59</f>
        <v>44.18432836946088</v>
      </c>
    </row>
    <row r="60" spans="1:14" ht="51" customHeight="1" hidden="1">
      <c r="A60" s="14" t="s">
        <v>70</v>
      </c>
      <c r="B60" s="15" t="s">
        <v>61</v>
      </c>
      <c r="C60" s="16" t="s">
        <v>61</v>
      </c>
      <c r="D60" s="34"/>
      <c r="E60" s="59">
        <f>G60+H60+I60+J60</f>
        <v>0</v>
      </c>
      <c r="F60" s="45">
        <f>G60+H60+I60</f>
        <v>0</v>
      </c>
      <c r="G60" s="58"/>
      <c r="H60" s="58"/>
      <c r="I60" s="17"/>
      <c r="J60" s="73"/>
      <c r="K60" s="18"/>
      <c r="L60" s="20" t="e">
        <f t="shared" si="24"/>
        <v>#DIV/0!</v>
      </c>
      <c r="M60" s="18" t="e">
        <f t="shared" si="25"/>
        <v>#DIV/0!</v>
      </c>
      <c r="N60" s="18"/>
    </row>
    <row r="61" spans="1:14" ht="29.25" customHeight="1" hidden="1">
      <c r="A61" s="14" t="s">
        <v>62</v>
      </c>
      <c r="B61" s="66"/>
      <c r="C61" s="19" t="s">
        <v>60</v>
      </c>
      <c r="D61" s="19"/>
      <c r="E61" s="59">
        <f t="shared" si="22"/>
        <v>0</v>
      </c>
      <c r="F61" s="59">
        <f>G61</f>
        <v>0</v>
      </c>
      <c r="G61" s="74"/>
      <c r="H61" s="74"/>
      <c r="I61" s="17"/>
      <c r="J61" s="73"/>
      <c r="K61" s="18"/>
      <c r="L61" s="20"/>
      <c r="M61" s="18"/>
      <c r="N61" s="18" t="e">
        <f>K61*100/D61</f>
        <v>#DIV/0!</v>
      </c>
    </row>
    <row r="62" spans="1:14" ht="12.75">
      <c r="A62" s="13"/>
      <c r="B62" s="75"/>
      <c r="C62" s="76" t="s">
        <v>4</v>
      </c>
      <c r="D62" s="77">
        <f aca="true" t="shared" si="27" ref="D62:K62">D58+D47</f>
        <v>42647.8</v>
      </c>
      <c r="E62" s="77">
        <f t="shared" si="27"/>
        <v>56145.299999999996</v>
      </c>
      <c r="F62" s="77">
        <f t="shared" si="27"/>
        <v>34272.3</v>
      </c>
      <c r="G62" s="77">
        <f t="shared" si="27"/>
        <v>15839.7</v>
      </c>
      <c r="H62" s="77">
        <f t="shared" si="27"/>
        <v>18432.6</v>
      </c>
      <c r="I62" s="77">
        <f t="shared" si="27"/>
        <v>10021.900000000001</v>
      </c>
      <c r="J62" s="77">
        <f t="shared" si="27"/>
        <v>11851.099999999999</v>
      </c>
      <c r="K62" s="77">
        <f t="shared" si="27"/>
        <v>19968.399999999998</v>
      </c>
      <c r="L62" s="27">
        <f>K62*100/F62</f>
        <v>58.263962441972076</v>
      </c>
      <c r="M62" s="24">
        <f>K62*100/E62</f>
        <v>35.56557717208742</v>
      </c>
      <c r="N62" s="24">
        <f>K62*100/D62</f>
        <v>46.821641444576265</v>
      </c>
    </row>
    <row r="63" spans="1:14" ht="12.75">
      <c r="A63" s="85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27"/>
      <c r="M63" s="24"/>
      <c r="N63" s="18"/>
    </row>
    <row r="64" spans="1:14" ht="12.75">
      <c r="A64" s="91" t="s">
        <v>25</v>
      </c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</row>
    <row r="65" spans="1:14" ht="12.75">
      <c r="A65" s="82" t="s">
        <v>3</v>
      </c>
      <c r="B65" s="63"/>
      <c r="C65" s="69" t="s">
        <v>64</v>
      </c>
      <c r="D65" s="62">
        <f aca="true" t="shared" si="28" ref="D65:J65">D66+D69+D71+D73+D70+D75+D74+D68+D72+D67</f>
        <v>43589.5</v>
      </c>
      <c r="E65" s="62">
        <f t="shared" si="28"/>
        <v>47139.5</v>
      </c>
      <c r="F65" s="62">
        <f t="shared" si="28"/>
        <v>22270.6</v>
      </c>
      <c r="G65" s="62">
        <f t="shared" si="28"/>
        <v>11825.300000000001</v>
      </c>
      <c r="H65" s="62">
        <f t="shared" si="28"/>
        <v>10445.3</v>
      </c>
      <c r="I65" s="62">
        <f t="shared" si="28"/>
        <v>11305.2</v>
      </c>
      <c r="J65" s="62">
        <f t="shared" si="28"/>
        <v>13563.699999999999</v>
      </c>
      <c r="K65" s="62">
        <f>K66+K69+K71+K73+K70+K75+K74+K68+K72+K67+0.1</f>
        <v>27835</v>
      </c>
      <c r="L65" s="27">
        <f aca="true" t="shared" si="29" ref="L65:L73">K65*100/F65</f>
        <v>124.98540676946288</v>
      </c>
      <c r="M65" s="24">
        <f aca="true" t="shared" si="30" ref="M65:M71">K65*100/E65</f>
        <v>59.048144337551314</v>
      </c>
      <c r="N65" s="24">
        <f aca="true" t="shared" si="31" ref="N65:N71">K65*100/D65</f>
        <v>63.857121554502804</v>
      </c>
    </row>
    <row r="66" spans="1:18" ht="12.75">
      <c r="A66" s="35" t="s">
        <v>74</v>
      </c>
      <c r="B66" s="12"/>
      <c r="C66" s="54" t="s">
        <v>75</v>
      </c>
      <c r="D66" s="45">
        <v>22000</v>
      </c>
      <c r="E66" s="59">
        <f>G66+H66+I66+J66</f>
        <v>22000</v>
      </c>
      <c r="F66" s="45">
        <f aca="true" t="shared" si="32" ref="F66:F77">G66+H66</f>
        <v>10835</v>
      </c>
      <c r="G66" s="78">
        <v>5302.5</v>
      </c>
      <c r="H66" s="78">
        <v>5532.5</v>
      </c>
      <c r="I66" s="20">
        <v>5732.5</v>
      </c>
      <c r="J66" s="20">
        <v>5432.5</v>
      </c>
      <c r="K66" s="20">
        <v>13578.1</v>
      </c>
      <c r="L66" s="20">
        <f t="shared" si="29"/>
        <v>125.31702814951547</v>
      </c>
      <c r="M66" s="18">
        <f t="shared" si="30"/>
        <v>61.718636363636364</v>
      </c>
      <c r="N66" s="18">
        <f t="shared" si="31"/>
        <v>61.718636363636364</v>
      </c>
      <c r="R66" s="2"/>
    </row>
    <row r="67" spans="1:14" ht="23.25" customHeight="1">
      <c r="A67" s="35" t="s">
        <v>73</v>
      </c>
      <c r="B67" s="12"/>
      <c r="C67" s="28" t="s">
        <v>72</v>
      </c>
      <c r="D67" s="59">
        <v>7209.5</v>
      </c>
      <c r="E67" s="59">
        <f>G67+H67+I67+J67</f>
        <v>7209.500000000001</v>
      </c>
      <c r="F67" s="45">
        <f t="shared" si="32"/>
        <v>3624.8</v>
      </c>
      <c r="G67" s="78">
        <v>1792.4</v>
      </c>
      <c r="H67" s="78">
        <v>1832.4</v>
      </c>
      <c r="I67" s="20">
        <v>1792.4</v>
      </c>
      <c r="J67" s="20">
        <v>1792.3</v>
      </c>
      <c r="K67" s="20">
        <v>4226.1</v>
      </c>
      <c r="L67" s="20">
        <f t="shared" si="29"/>
        <v>116.58850143456192</v>
      </c>
      <c r="M67" s="18">
        <f t="shared" si="30"/>
        <v>58.61848949303003</v>
      </c>
      <c r="N67" s="18">
        <f t="shared" si="31"/>
        <v>58.61848949303004</v>
      </c>
    </row>
    <row r="68" spans="1:14" ht="12.75">
      <c r="A68" s="35" t="s">
        <v>8</v>
      </c>
      <c r="B68" s="12"/>
      <c r="C68" s="28" t="s">
        <v>5</v>
      </c>
      <c r="D68" s="59">
        <v>45</v>
      </c>
      <c r="E68" s="59">
        <f aca="true" t="shared" si="33" ref="E68:E78">G68+H68+I68+J68</f>
        <v>45</v>
      </c>
      <c r="F68" s="45">
        <f t="shared" si="32"/>
        <v>22.5</v>
      </c>
      <c r="G68" s="58">
        <v>11.2</v>
      </c>
      <c r="H68" s="58">
        <v>11.3</v>
      </c>
      <c r="I68" s="17">
        <v>11.2</v>
      </c>
      <c r="J68" s="17">
        <v>11.3</v>
      </c>
      <c r="K68" s="17">
        <v>17.2</v>
      </c>
      <c r="L68" s="20">
        <f t="shared" si="29"/>
        <v>76.44444444444444</v>
      </c>
      <c r="M68" s="18">
        <f t="shared" si="30"/>
        <v>38.22222222222222</v>
      </c>
      <c r="N68" s="18">
        <f t="shared" si="31"/>
        <v>38.22222222222222</v>
      </c>
    </row>
    <row r="69" spans="1:14" ht="12.75">
      <c r="A69" s="35" t="s">
        <v>9</v>
      </c>
      <c r="B69" s="12"/>
      <c r="C69" s="28" t="s">
        <v>6</v>
      </c>
      <c r="D69" s="59">
        <v>8160</v>
      </c>
      <c r="E69" s="59">
        <f t="shared" si="33"/>
        <v>10760</v>
      </c>
      <c r="F69" s="45">
        <f t="shared" si="32"/>
        <v>3750</v>
      </c>
      <c r="G69" s="58">
        <v>3175</v>
      </c>
      <c r="H69" s="58">
        <v>575</v>
      </c>
      <c r="I69" s="17">
        <v>2225</v>
      </c>
      <c r="J69" s="17">
        <v>4785</v>
      </c>
      <c r="K69" s="17">
        <v>4985.7</v>
      </c>
      <c r="L69" s="20">
        <f t="shared" si="29"/>
        <v>132.952</v>
      </c>
      <c r="M69" s="18">
        <f t="shared" si="30"/>
        <v>46.33550185873606</v>
      </c>
      <c r="N69" s="18">
        <f t="shared" si="31"/>
        <v>61.099264705882355</v>
      </c>
    </row>
    <row r="70" spans="1:14" ht="18.75" customHeight="1">
      <c r="A70" s="35" t="s">
        <v>10</v>
      </c>
      <c r="B70" s="12"/>
      <c r="C70" s="28" t="s">
        <v>21</v>
      </c>
      <c r="D70" s="59">
        <v>56.4</v>
      </c>
      <c r="E70" s="59">
        <f t="shared" si="33"/>
        <v>56.4</v>
      </c>
      <c r="F70" s="45">
        <f t="shared" si="32"/>
        <v>28.2</v>
      </c>
      <c r="G70" s="58">
        <v>14.1</v>
      </c>
      <c r="H70" s="58">
        <v>14.1</v>
      </c>
      <c r="I70" s="17">
        <v>14.1</v>
      </c>
      <c r="J70" s="17">
        <v>14.1</v>
      </c>
      <c r="K70" s="17">
        <v>40</v>
      </c>
      <c r="L70" s="20">
        <f t="shared" si="29"/>
        <v>141.84397163120568</v>
      </c>
      <c r="M70" s="18">
        <f t="shared" si="30"/>
        <v>70.92198581560284</v>
      </c>
      <c r="N70" s="18">
        <f t="shared" si="31"/>
        <v>70.92198581560284</v>
      </c>
    </row>
    <row r="71" spans="1:14" ht="23.25" customHeight="1">
      <c r="A71" s="39" t="s">
        <v>11</v>
      </c>
      <c r="B71" s="13"/>
      <c r="C71" s="28" t="s">
        <v>17</v>
      </c>
      <c r="D71" s="59">
        <v>5938.6</v>
      </c>
      <c r="E71" s="59">
        <f t="shared" si="33"/>
        <v>6838.6</v>
      </c>
      <c r="F71" s="45">
        <f t="shared" si="32"/>
        <v>3870.1</v>
      </c>
      <c r="G71" s="58">
        <v>1485.1</v>
      </c>
      <c r="H71" s="58">
        <v>2385</v>
      </c>
      <c r="I71" s="17">
        <v>1485</v>
      </c>
      <c r="J71" s="17">
        <v>1483.5</v>
      </c>
      <c r="K71" s="17">
        <v>4730</v>
      </c>
      <c r="L71" s="20">
        <f t="shared" si="29"/>
        <v>122.21906410687063</v>
      </c>
      <c r="M71" s="18">
        <f t="shared" si="30"/>
        <v>69.1662036089258</v>
      </c>
      <c r="N71" s="18">
        <f t="shared" si="31"/>
        <v>79.64840198026471</v>
      </c>
    </row>
    <row r="72" spans="1:14" ht="14.25" customHeight="1" hidden="1">
      <c r="A72" s="41" t="s">
        <v>40</v>
      </c>
      <c r="B72" s="30"/>
      <c r="C72" s="28" t="s">
        <v>41</v>
      </c>
      <c r="D72" s="59"/>
      <c r="E72" s="59">
        <f t="shared" si="33"/>
        <v>0</v>
      </c>
      <c r="F72" s="45">
        <f t="shared" si="32"/>
        <v>0</v>
      </c>
      <c r="G72" s="58"/>
      <c r="H72" s="58"/>
      <c r="I72" s="17"/>
      <c r="J72" s="17"/>
      <c r="K72" s="17"/>
      <c r="L72" s="20" t="e">
        <f t="shared" si="29"/>
        <v>#DIV/0!</v>
      </c>
      <c r="M72" s="18"/>
      <c r="N72" s="18"/>
    </row>
    <row r="73" spans="1:14" ht="22.5">
      <c r="A73" s="40" t="s">
        <v>18</v>
      </c>
      <c r="B73" s="29"/>
      <c r="C73" s="28" t="s">
        <v>15</v>
      </c>
      <c r="D73" s="59">
        <v>180</v>
      </c>
      <c r="E73" s="59">
        <f t="shared" si="33"/>
        <v>230</v>
      </c>
      <c r="F73" s="45">
        <f t="shared" si="32"/>
        <v>140</v>
      </c>
      <c r="G73" s="58">
        <v>45</v>
      </c>
      <c r="H73" s="58">
        <v>95</v>
      </c>
      <c r="I73" s="17">
        <v>45</v>
      </c>
      <c r="J73" s="17">
        <v>45</v>
      </c>
      <c r="K73" s="17">
        <v>235.4</v>
      </c>
      <c r="L73" s="20">
        <f t="shared" si="29"/>
        <v>168.14285714285714</v>
      </c>
      <c r="M73" s="18">
        <f>K73*100/E73</f>
        <v>102.34782608695652</v>
      </c>
      <c r="N73" s="18">
        <f>K73*100/D73</f>
        <v>130.77777777777777</v>
      </c>
    </row>
    <row r="74" spans="1:14" ht="18" customHeight="1">
      <c r="A74" s="37" t="s">
        <v>12</v>
      </c>
      <c r="B74" s="21"/>
      <c r="C74" s="28" t="s">
        <v>7</v>
      </c>
      <c r="D74" s="59"/>
      <c r="E74" s="59">
        <f t="shared" si="33"/>
        <v>0</v>
      </c>
      <c r="F74" s="45">
        <f t="shared" si="32"/>
        <v>0</v>
      </c>
      <c r="G74" s="58"/>
      <c r="H74" s="58"/>
      <c r="I74" s="17"/>
      <c r="J74" s="17"/>
      <c r="K74" s="17">
        <v>10</v>
      </c>
      <c r="L74" s="20"/>
      <c r="M74" s="18"/>
      <c r="N74" s="18"/>
    </row>
    <row r="75" spans="1:14" ht="16.5" customHeight="1">
      <c r="A75" s="83" t="s">
        <v>37</v>
      </c>
      <c r="B75" s="61"/>
      <c r="C75" s="16" t="s">
        <v>38</v>
      </c>
      <c r="D75" s="59"/>
      <c r="E75" s="59">
        <f t="shared" si="33"/>
        <v>0</v>
      </c>
      <c r="F75" s="45">
        <f t="shared" si="32"/>
        <v>0</v>
      </c>
      <c r="G75" s="58"/>
      <c r="H75" s="58"/>
      <c r="I75" s="17"/>
      <c r="J75" s="17"/>
      <c r="K75" s="17">
        <v>12.4</v>
      </c>
      <c r="L75" s="20"/>
      <c r="M75" s="18"/>
      <c r="N75" s="18"/>
    </row>
    <row r="76" spans="1:14" ht="12.75">
      <c r="A76" s="36" t="s">
        <v>1</v>
      </c>
      <c r="B76" s="25"/>
      <c r="C76" s="31" t="s">
        <v>0</v>
      </c>
      <c r="D76" s="32">
        <f aca="true" t="shared" si="34" ref="D76:K76">D77+D78</f>
        <v>38231.5</v>
      </c>
      <c r="E76" s="32">
        <f t="shared" si="34"/>
        <v>58468.100000000006</v>
      </c>
      <c r="F76" s="32">
        <f t="shared" si="34"/>
        <v>38279</v>
      </c>
      <c r="G76" s="32">
        <f t="shared" si="34"/>
        <v>9338.8</v>
      </c>
      <c r="H76" s="32">
        <f t="shared" si="34"/>
        <v>28960.2</v>
      </c>
      <c r="I76" s="32">
        <f t="shared" si="34"/>
        <v>10072.8</v>
      </c>
      <c r="J76" s="32">
        <f t="shared" si="34"/>
        <v>10096.3</v>
      </c>
      <c r="K76" s="32">
        <f t="shared" si="34"/>
        <v>33890.7</v>
      </c>
      <c r="L76" s="27">
        <f>K76*100/F76</f>
        <v>88.53601191253689</v>
      </c>
      <c r="M76" s="24">
        <f>K76*100/E76</f>
        <v>57.96442846612083</v>
      </c>
      <c r="N76" s="24">
        <f>K76*100/D76</f>
        <v>88.64601179655519</v>
      </c>
    </row>
    <row r="77" spans="1:14" ht="22.5">
      <c r="A77" s="83" t="s">
        <v>63</v>
      </c>
      <c r="B77" s="12"/>
      <c r="C77" s="33" t="s">
        <v>20</v>
      </c>
      <c r="D77" s="58">
        <v>38231.5</v>
      </c>
      <c r="E77" s="59">
        <f t="shared" si="33"/>
        <v>58448.100000000006</v>
      </c>
      <c r="F77" s="45">
        <f t="shared" si="32"/>
        <v>38279</v>
      </c>
      <c r="G77" s="58">
        <v>9338.8</v>
      </c>
      <c r="H77" s="58">
        <v>28940.2</v>
      </c>
      <c r="I77" s="17">
        <v>10072.8</v>
      </c>
      <c r="J77" s="18">
        <v>10096.3</v>
      </c>
      <c r="K77" s="18">
        <v>33800.7</v>
      </c>
      <c r="L77" s="20">
        <f>K77*100/F77</f>
        <v>88.30089605266593</v>
      </c>
      <c r="M77" s="18">
        <f>K77*100/E77</f>
        <v>57.83028019730323</v>
      </c>
      <c r="N77" s="18">
        <f>K77*100/D77</f>
        <v>88.41060382145612</v>
      </c>
    </row>
    <row r="78" spans="1:14" ht="18.75" customHeight="1">
      <c r="A78" s="83" t="s">
        <v>71</v>
      </c>
      <c r="B78" s="14"/>
      <c r="C78" s="34" t="s">
        <v>19</v>
      </c>
      <c r="D78" s="65"/>
      <c r="E78" s="59">
        <f t="shared" si="33"/>
        <v>20</v>
      </c>
      <c r="F78" s="45">
        <f>G78</f>
        <v>0</v>
      </c>
      <c r="G78" s="74"/>
      <c r="H78" s="74">
        <v>20</v>
      </c>
      <c r="I78" s="17"/>
      <c r="J78" s="18"/>
      <c r="K78" s="18">
        <v>90</v>
      </c>
      <c r="L78" s="20"/>
      <c r="M78" s="18"/>
      <c r="N78" s="18"/>
    </row>
    <row r="79" spans="1:14" ht="12.75">
      <c r="A79" s="21"/>
      <c r="B79" s="22"/>
      <c r="C79" s="23" t="s">
        <v>4</v>
      </c>
      <c r="D79" s="24">
        <f aca="true" t="shared" si="35" ref="D79:K79">D76+D65</f>
        <v>81821</v>
      </c>
      <c r="E79" s="24">
        <f t="shared" si="35"/>
        <v>105607.6</v>
      </c>
      <c r="F79" s="24">
        <f t="shared" si="35"/>
        <v>60549.6</v>
      </c>
      <c r="G79" s="24">
        <f t="shared" si="35"/>
        <v>21164.1</v>
      </c>
      <c r="H79" s="24">
        <f t="shared" si="35"/>
        <v>39405.5</v>
      </c>
      <c r="I79" s="24">
        <f t="shared" si="35"/>
        <v>21378</v>
      </c>
      <c r="J79" s="24">
        <f t="shared" si="35"/>
        <v>23660</v>
      </c>
      <c r="K79" s="24">
        <f t="shared" si="35"/>
        <v>61725.7</v>
      </c>
      <c r="L79" s="27">
        <f>K79*100/F79</f>
        <v>101.9423745160992</v>
      </c>
      <c r="M79" s="24">
        <f>K79*100/E79</f>
        <v>58.44816092781201</v>
      </c>
      <c r="N79" s="24">
        <f>K79*100/D79</f>
        <v>75.4399237359602</v>
      </c>
    </row>
    <row r="80" spans="1:14" ht="12.75">
      <c r="A80" s="85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27"/>
      <c r="M80" s="24"/>
      <c r="N80" s="18"/>
    </row>
    <row r="81" spans="1:14" ht="12.75">
      <c r="A81" s="91" t="s">
        <v>26</v>
      </c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</row>
    <row r="82" spans="1:14" ht="12.75">
      <c r="A82" s="36" t="s">
        <v>3</v>
      </c>
      <c r="B82" s="25"/>
      <c r="C82" s="26" t="s">
        <v>64</v>
      </c>
      <c r="D82" s="27">
        <f aca="true" t="shared" si="36" ref="D82:J82">D83+D85+D86+D87+D88+D89+D90+D91+D92+D84</f>
        <v>37495.899999999994</v>
      </c>
      <c r="E82" s="27">
        <f t="shared" si="36"/>
        <v>39142.09999999999</v>
      </c>
      <c r="F82" s="27">
        <f t="shared" si="36"/>
        <v>20280.8</v>
      </c>
      <c r="G82" s="27">
        <f t="shared" si="36"/>
        <v>11089.9</v>
      </c>
      <c r="H82" s="27">
        <f t="shared" si="36"/>
        <v>9190.9</v>
      </c>
      <c r="I82" s="27">
        <f t="shared" si="36"/>
        <v>9075.4</v>
      </c>
      <c r="J82" s="27">
        <f t="shared" si="36"/>
        <v>9785.9</v>
      </c>
      <c r="K82" s="27">
        <f>K83+K85+K86+K87+K88+K89+K90+K91+K92+K84</f>
        <v>17030.5</v>
      </c>
      <c r="L82" s="27">
        <f aca="true" t="shared" si="37" ref="L82:L88">K82*100/F82</f>
        <v>83.97351189302198</v>
      </c>
      <c r="M82" s="24">
        <f aca="true" t="shared" si="38" ref="M82:M88">K82*100/E82</f>
        <v>43.509418247871224</v>
      </c>
      <c r="N82" s="24">
        <f aca="true" t="shared" si="39" ref="N82:N88">K82*100/D82</f>
        <v>45.419632546491755</v>
      </c>
    </row>
    <row r="83" spans="1:18" ht="13.5" customHeight="1">
      <c r="A83" s="35" t="s">
        <v>74</v>
      </c>
      <c r="B83" s="12"/>
      <c r="C83" s="54" t="s">
        <v>75</v>
      </c>
      <c r="D83" s="59">
        <v>25000</v>
      </c>
      <c r="E83" s="59">
        <f>G83+H83+I83+J83</f>
        <v>25000</v>
      </c>
      <c r="F83" s="45">
        <f aca="true" t="shared" si="40" ref="F83:F92">G83+H83</f>
        <v>14000</v>
      </c>
      <c r="G83" s="58">
        <v>8250</v>
      </c>
      <c r="H83" s="58">
        <v>5750</v>
      </c>
      <c r="I83" s="17">
        <v>5500</v>
      </c>
      <c r="J83" s="17">
        <v>5500</v>
      </c>
      <c r="K83" s="18">
        <v>9491.9</v>
      </c>
      <c r="L83" s="20">
        <f t="shared" si="37"/>
        <v>67.79928571428572</v>
      </c>
      <c r="M83" s="18">
        <f t="shared" si="38"/>
        <v>37.9676</v>
      </c>
      <c r="N83" s="18">
        <f t="shared" si="39"/>
        <v>37.9676</v>
      </c>
      <c r="R83" s="2"/>
    </row>
    <row r="84" spans="1:14" ht="24.75" customHeight="1">
      <c r="A84" s="35" t="s">
        <v>73</v>
      </c>
      <c r="B84" s="12"/>
      <c r="C84" s="28" t="s">
        <v>72</v>
      </c>
      <c r="D84" s="59">
        <v>4634.7</v>
      </c>
      <c r="E84" s="59">
        <f>G84+H84+I84+J84</f>
        <v>5016.5</v>
      </c>
      <c r="F84" s="45">
        <f t="shared" si="40"/>
        <v>2537.6</v>
      </c>
      <c r="G84" s="58">
        <v>1199</v>
      </c>
      <c r="H84" s="58">
        <v>1338.6</v>
      </c>
      <c r="I84" s="17">
        <v>1419.5</v>
      </c>
      <c r="J84" s="17">
        <v>1059.4</v>
      </c>
      <c r="K84" s="18">
        <v>2716.8</v>
      </c>
      <c r="L84" s="20">
        <f t="shared" si="37"/>
        <v>107.06179066834805</v>
      </c>
      <c r="M84" s="18">
        <f t="shared" si="38"/>
        <v>54.15728097278979</v>
      </c>
      <c r="N84" s="18">
        <f t="shared" si="39"/>
        <v>58.6186808207651</v>
      </c>
    </row>
    <row r="85" spans="1:14" ht="15" customHeight="1" hidden="1">
      <c r="A85" s="35" t="s">
        <v>8</v>
      </c>
      <c r="B85" s="12"/>
      <c r="C85" s="28" t="s">
        <v>5</v>
      </c>
      <c r="D85" s="59"/>
      <c r="E85" s="59">
        <f aca="true" t="shared" si="41" ref="E85:E92">G85+H85+I85+J85</f>
        <v>0</v>
      </c>
      <c r="F85" s="45">
        <f t="shared" si="40"/>
        <v>0</v>
      </c>
      <c r="G85" s="58"/>
      <c r="H85" s="58"/>
      <c r="I85" s="17"/>
      <c r="J85" s="17"/>
      <c r="K85" s="18"/>
      <c r="L85" s="20" t="e">
        <f t="shared" si="37"/>
        <v>#DIV/0!</v>
      </c>
      <c r="M85" s="18" t="e">
        <f t="shared" si="38"/>
        <v>#DIV/0!</v>
      </c>
      <c r="N85" s="18" t="e">
        <f t="shared" si="39"/>
        <v>#DIV/0!</v>
      </c>
    </row>
    <row r="86" spans="1:14" ht="12.75">
      <c r="A86" s="35" t="s">
        <v>9</v>
      </c>
      <c r="B86" s="12"/>
      <c r="C86" s="28" t="s">
        <v>6</v>
      </c>
      <c r="D86" s="59">
        <v>2670</v>
      </c>
      <c r="E86" s="59">
        <f t="shared" si="41"/>
        <v>2670</v>
      </c>
      <c r="F86" s="45">
        <f t="shared" si="40"/>
        <v>626</v>
      </c>
      <c r="G86" s="58">
        <v>339</v>
      </c>
      <c r="H86" s="58">
        <v>287</v>
      </c>
      <c r="I86" s="17">
        <v>482.5</v>
      </c>
      <c r="J86" s="17">
        <v>1561.5</v>
      </c>
      <c r="K86" s="18">
        <v>746</v>
      </c>
      <c r="L86" s="20">
        <f t="shared" si="37"/>
        <v>119.16932907348243</v>
      </c>
      <c r="M86" s="18">
        <f t="shared" si="38"/>
        <v>27.94007490636704</v>
      </c>
      <c r="N86" s="18">
        <f t="shared" si="39"/>
        <v>27.94007490636704</v>
      </c>
    </row>
    <row r="87" spans="1:14" ht="12.75" hidden="1">
      <c r="A87" s="35" t="s">
        <v>10</v>
      </c>
      <c r="B87" s="12"/>
      <c r="C87" s="28" t="s">
        <v>21</v>
      </c>
      <c r="D87" s="59"/>
      <c r="E87" s="59">
        <f t="shared" si="41"/>
        <v>0</v>
      </c>
      <c r="F87" s="45">
        <f t="shared" si="40"/>
        <v>0</v>
      </c>
      <c r="G87" s="58"/>
      <c r="H87" s="58"/>
      <c r="I87" s="17"/>
      <c r="J87" s="17"/>
      <c r="K87" s="18"/>
      <c r="L87" s="20" t="e">
        <f t="shared" si="37"/>
        <v>#DIV/0!</v>
      </c>
      <c r="M87" s="18" t="e">
        <f t="shared" si="38"/>
        <v>#DIV/0!</v>
      </c>
      <c r="N87" s="18" t="e">
        <f t="shared" si="39"/>
        <v>#DIV/0!</v>
      </c>
    </row>
    <row r="88" spans="1:14" ht="26.25" customHeight="1">
      <c r="A88" s="39" t="s">
        <v>11</v>
      </c>
      <c r="B88" s="13"/>
      <c r="C88" s="28" t="s">
        <v>17</v>
      </c>
      <c r="D88" s="59">
        <v>5159.7</v>
      </c>
      <c r="E88" s="59">
        <f t="shared" si="41"/>
        <v>6159.700000000001</v>
      </c>
      <c r="F88" s="45">
        <f t="shared" si="40"/>
        <v>2829.8</v>
      </c>
      <c r="G88" s="58">
        <v>1289.9</v>
      </c>
      <c r="H88" s="58">
        <v>1539.9</v>
      </c>
      <c r="I88" s="17">
        <v>1664.9</v>
      </c>
      <c r="J88" s="17">
        <v>1665</v>
      </c>
      <c r="K88" s="18">
        <v>3776.8</v>
      </c>
      <c r="L88" s="20">
        <f t="shared" si="37"/>
        <v>133.4652625627253</v>
      </c>
      <c r="M88" s="18">
        <f t="shared" si="38"/>
        <v>61.31467441596181</v>
      </c>
      <c r="N88" s="18">
        <f t="shared" si="39"/>
        <v>73.19805415043511</v>
      </c>
    </row>
    <row r="89" spans="1:14" ht="23.25" customHeight="1">
      <c r="A89" s="41" t="s">
        <v>40</v>
      </c>
      <c r="B89" s="30"/>
      <c r="C89" s="28" t="s">
        <v>41</v>
      </c>
      <c r="D89" s="59"/>
      <c r="E89" s="59">
        <f t="shared" si="41"/>
        <v>207.2</v>
      </c>
      <c r="F89" s="45">
        <f t="shared" si="40"/>
        <v>207.2</v>
      </c>
      <c r="G89" s="58"/>
      <c r="H89" s="58">
        <v>207.2</v>
      </c>
      <c r="I89" s="17"/>
      <c r="J89" s="17"/>
      <c r="K89" s="18">
        <v>207.2</v>
      </c>
      <c r="L89" s="20">
        <f>K89*100/F89</f>
        <v>100</v>
      </c>
      <c r="M89" s="18">
        <f>K89*100/E89</f>
        <v>100</v>
      </c>
      <c r="N89" s="18"/>
    </row>
    <row r="90" spans="1:14" ht="22.5">
      <c r="A90" s="40" t="s">
        <v>18</v>
      </c>
      <c r="B90" s="29"/>
      <c r="C90" s="28" t="s">
        <v>15</v>
      </c>
      <c r="D90" s="59">
        <v>31.5</v>
      </c>
      <c r="E90" s="59">
        <f t="shared" si="41"/>
        <v>83.7</v>
      </c>
      <c r="F90" s="45">
        <f t="shared" si="40"/>
        <v>75.2</v>
      </c>
      <c r="G90" s="58">
        <v>12</v>
      </c>
      <c r="H90" s="58">
        <v>63.2</v>
      </c>
      <c r="I90" s="17">
        <v>8.5</v>
      </c>
      <c r="J90" s="17"/>
      <c r="K90" s="18">
        <v>87.5</v>
      </c>
      <c r="L90" s="20">
        <f>K90*100/F90</f>
        <v>116.3563829787234</v>
      </c>
      <c r="M90" s="18">
        <f>K90*100/E90</f>
        <v>104.5400238948626</v>
      </c>
      <c r="N90" s="18">
        <f>K90*100/D90</f>
        <v>277.77777777777777</v>
      </c>
    </row>
    <row r="91" spans="1:14" ht="15.75" customHeight="1">
      <c r="A91" s="37" t="s">
        <v>12</v>
      </c>
      <c r="B91" s="21"/>
      <c r="C91" s="28" t="s">
        <v>7</v>
      </c>
      <c r="D91" s="59"/>
      <c r="E91" s="59">
        <f t="shared" si="41"/>
        <v>5</v>
      </c>
      <c r="F91" s="45">
        <f t="shared" si="40"/>
        <v>5</v>
      </c>
      <c r="G91" s="58"/>
      <c r="H91" s="58">
        <v>5</v>
      </c>
      <c r="I91" s="17"/>
      <c r="J91" s="17"/>
      <c r="K91" s="18">
        <v>5</v>
      </c>
      <c r="L91" s="20">
        <f>K91*100/F91</f>
        <v>100</v>
      </c>
      <c r="M91" s="18">
        <f>K91*100/E91</f>
        <v>100</v>
      </c>
      <c r="N91" s="18"/>
    </row>
    <row r="92" spans="1:14" ht="12.75">
      <c r="A92" s="83" t="s">
        <v>37</v>
      </c>
      <c r="B92" s="61"/>
      <c r="C92" s="16" t="s">
        <v>38</v>
      </c>
      <c r="D92" s="59"/>
      <c r="E92" s="59">
        <f t="shared" si="41"/>
        <v>0</v>
      </c>
      <c r="F92" s="45">
        <f t="shared" si="40"/>
        <v>0</v>
      </c>
      <c r="G92" s="58"/>
      <c r="H92" s="58"/>
      <c r="I92" s="17"/>
      <c r="J92" s="17"/>
      <c r="K92" s="18">
        <v>-0.7</v>
      </c>
      <c r="L92" s="20"/>
      <c r="M92" s="18"/>
      <c r="N92" s="18"/>
    </row>
    <row r="93" spans="1:14" ht="12.75" hidden="1">
      <c r="A93" s="83" t="s">
        <v>42</v>
      </c>
      <c r="B93" s="61"/>
      <c r="C93" s="16" t="s">
        <v>43</v>
      </c>
      <c r="D93" s="72"/>
      <c r="E93" s="16"/>
      <c r="F93" s="45">
        <f>G93+H93</f>
        <v>0</v>
      </c>
      <c r="G93" s="58"/>
      <c r="H93" s="58"/>
      <c r="I93" s="17" t="e">
        <f>J93+#REF!+#REF!+#REF!</f>
        <v>#REF!</v>
      </c>
      <c r="J93" s="17"/>
      <c r="K93" s="18"/>
      <c r="L93" s="27" t="e">
        <f>K93*100/F93</f>
        <v>#DIV/0!</v>
      </c>
      <c r="M93" s="24" t="e">
        <f>K93*100/E93</f>
        <v>#DIV/0!</v>
      </c>
      <c r="N93" s="18" t="e">
        <f>K93*100/D93</f>
        <v>#DIV/0!</v>
      </c>
    </row>
    <row r="94" spans="1:14" ht="12.75">
      <c r="A94" s="36" t="s">
        <v>1</v>
      </c>
      <c r="B94" s="25"/>
      <c r="C94" s="31" t="s">
        <v>0</v>
      </c>
      <c r="D94" s="32">
        <f aca="true" t="shared" si="42" ref="D94:K94">D95+D96</f>
        <v>53397.2</v>
      </c>
      <c r="E94" s="32">
        <f t="shared" si="42"/>
        <v>84917.8</v>
      </c>
      <c r="F94" s="79">
        <f t="shared" si="42"/>
        <v>48253.2</v>
      </c>
      <c r="G94" s="32">
        <f t="shared" si="42"/>
        <v>13451.2</v>
      </c>
      <c r="H94" s="32">
        <f t="shared" si="42"/>
        <v>34802</v>
      </c>
      <c r="I94" s="32">
        <f t="shared" si="42"/>
        <v>26378.4</v>
      </c>
      <c r="J94" s="32">
        <f t="shared" si="42"/>
        <v>10286.2</v>
      </c>
      <c r="K94" s="32">
        <f t="shared" si="42"/>
        <v>38339.5</v>
      </c>
      <c r="L94" s="27">
        <f>K94*100/F94</f>
        <v>79.45483408354265</v>
      </c>
      <c r="M94" s="24">
        <f>K94*100/E94</f>
        <v>45.148955813739875</v>
      </c>
      <c r="N94" s="24">
        <f>K94*100/D94</f>
        <v>71.80058130388859</v>
      </c>
    </row>
    <row r="95" spans="1:14" ht="22.5">
      <c r="A95" s="83" t="s">
        <v>63</v>
      </c>
      <c r="B95" s="12"/>
      <c r="C95" s="33" t="s">
        <v>20</v>
      </c>
      <c r="D95" s="58">
        <v>53397.2</v>
      </c>
      <c r="E95" s="59">
        <f>G95+H95+I95+J95</f>
        <v>84917.8</v>
      </c>
      <c r="F95" s="45">
        <f>G95+H95</f>
        <v>48253.2</v>
      </c>
      <c r="G95" s="58">
        <v>13451.2</v>
      </c>
      <c r="H95" s="58">
        <v>34802</v>
      </c>
      <c r="I95" s="17">
        <v>26378.4</v>
      </c>
      <c r="J95" s="17">
        <v>10286.2</v>
      </c>
      <c r="K95" s="18">
        <v>38339.5</v>
      </c>
      <c r="L95" s="20">
        <f>K95*100/F95</f>
        <v>79.45483408354265</v>
      </c>
      <c r="M95" s="18">
        <f>K95*100/E95</f>
        <v>45.148955813739875</v>
      </c>
      <c r="N95" s="18">
        <f>K95*100/D95</f>
        <v>71.80058130388859</v>
      </c>
    </row>
    <row r="96" spans="1:14" ht="12.75" hidden="1">
      <c r="A96" s="14" t="s">
        <v>71</v>
      </c>
      <c r="B96" s="14"/>
      <c r="C96" s="34" t="s">
        <v>19</v>
      </c>
      <c r="D96" s="65"/>
      <c r="E96" s="59">
        <f>G96+H96+I96+J96</f>
        <v>0</v>
      </c>
      <c r="F96" s="45">
        <f>G96</f>
        <v>0</v>
      </c>
      <c r="G96" s="68"/>
      <c r="H96" s="68"/>
      <c r="I96" s="17"/>
      <c r="J96" s="17"/>
      <c r="K96" s="18"/>
      <c r="L96" s="20" t="e">
        <f>K96*100/F96</f>
        <v>#DIV/0!</v>
      </c>
      <c r="M96" s="18" t="e">
        <f>K96*100/E96</f>
        <v>#DIV/0!</v>
      </c>
      <c r="N96" s="18"/>
    </row>
    <row r="97" spans="1:14" ht="12.75">
      <c r="A97" s="21"/>
      <c r="B97" s="22"/>
      <c r="C97" s="23" t="s">
        <v>4</v>
      </c>
      <c r="D97" s="24">
        <f aca="true" t="shared" si="43" ref="D97:K97">D94+D82</f>
        <v>90893.09999999999</v>
      </c>
      <c r="E97" s="24">
        <f t="shared" si="43"/>
        <v>124059.9</v>
      </c>
      <c r="F97" s="24">
        <f t="shared" si="43"/>
        <v>68534</v>
      </c>
      <c r="G97" s="24">
        <f t="shared" si="43"/>
        <v>24541.1</v>
      </c>
      <c r="H97" s="24">
        <f t="shared" si="43"/>
        <v>43992.9</v>
      </c>
      <c r="I97" s="24">
        <f t="shared" si="43"/>
        <v>35453.8</v>
      </c>
      <c r="J97" s="24">
        <f t="shared" si="43"/>
        <v>20072.1</v>
      </c>
      <c r="K97" s="24">
        <f t="shared" si="43"/>
        <v>55370</v>
      </c>
      <c r="L97" s="27">
        <f>K97*100/F97</f>
        <v>80.79201564187119</v>
      </c>
      <c r="M97" s="24">
        <f>K97*100/E97</f>
        <v>44.63166583239226</v>
      </c>
      <c r="N97" s="24">
        <f>K97*100/D97</f>
        <v>60.91771542614347</v>
      </c>
    </row>
    <row r="98" spans="1:14" ht="12.75">
      <c r="A98" s="85"/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27"/>
      <c r="M98" s="24"/>
      <c r="N98" s="18"/>
    </row>
    <row r="99" spans="1:14" ht="12.75">
      <c r="A99" s="91" t="s">
        <v>27</v>
      </c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</row>
    <row r="100" spans="1:14" ht="12.75">
      <c r="A100" s="36" t="s">
        <v>3</v>
      </c>
      <c r="B100" s="25"/>
      <c r="C100" s="26" t="s">
        <v>64</v>
      </c>
      <c r="D100" s="27">
        <f aca="true" t="shared" si="44" ref="D100:J100">D101+D104+D108+D105+D106+D109+D107+D103+D102</f>
        <v>3174.8</v>
      </c>
      <c r="E100" s="27">
        <f t="shared" si="44"/>
        <v>3174.8</v>
      </c>
      <c r="F100" s="27">
        <f t="shared" si="44"/>
        <v>1583.4</v>
      </c>
      <c r="G100" s="27">
        <f t="shared" si="44"/>
        <v>787.9000000000001</v>
      </c>
      <c r="H100" s="27">
        <f t="shared" si="44"/>
        <v>795.5</v>
      </c>
      <c r="I100" s="27">
        <f t="shared" si="44"/>
        <v>795.5999999999999</v>
      </c>
      <c r="J100" s="27">
        <f t="shared" si="44"/>
        <v>795.8</v>
      </c>
      <c r="K100" s="27">
        <f>K101+K104+K108+K105+K106+K109+K107+K103+K102</f>
        <v>1582.8000000000002</v>
      </c>
      <c r="L100" s="27">
        <f aca="true" t="shared" si="45" ref="L100:L106">K100*100/F100</f>
        <v>99.9621068586586</v>
      </c>
      <c r="M100" s="24">
        <f aca="true" t="shared" si="46" ref="M100:M106">K100*100/E100</f>
        <v>49.85510898324304</v>
      </c>
      <c r="N100" s="24">
        <f aca="true" t="shared" si="47" ref="N100:N106">K100*100/D100</f>
        <v>49.85510898324304</v>
      </c>
    </row>
    <row r="101" spans="1:18" ht="12.75">
      <c r="A101" s="35" t="s">
        <v>74</v>
      </c>
      <c r="B101" s="12"/>
      <c r="C101" s="54" t="s">
        <v>75</v>
      </c>
      <c r="D101" s="59">
        <v>1400</v>
      </c>
      <c r="E101" s="59">
        <f>G101+H101+I101+J101</f>
        <v>1400</v>
      </c>
      <c r="F101" s="45">
        <f aca="true" t="shared" si="48" ref="F101:F111">G101+H101</f>
        <v>700</v>
      </c>
      <c r="G101" s="58">
        <v>350</v>
      </c>
      <c r="H101" s="58">
        <v>350</v>
      </c>
      <c r="I101" s="17">
        <v>350</v>
      </c>
      <c r="J101" s="18">
        <v>350</v>
      </c>
      <c r="K101" s="18">
        <v>548.7</v>
      </c>
      <c r="L101" s="20">
        <f t="shared" si="45"/>
        <v>78.3857142857143</v>
      </c>
      <c r="M101" s="18">
        <f t="shared" si="46"/>
        <v>39.19285714285715</v>
      </c>
      <c r="N101" s="18">
        <f t="shared" si="47"/>
        <v>39.19285714285715</v>
      </c>
      <c r="R101" s="2"/>
    </row>
    <row r="102" spans="1:14" ht="25.5" customHeight="1">
      <c r="A102" s="35" t="s">
        <v>73</v>
      </c>
      <c r="B102" s="12"/>
      <c r="C102" s="28" t="s">
        <v>72</v>
      </c>
      <c r="D102" s="59">
        <v>1505.3</v>
      </c>
      <c r="E102" s="59">
        <f>G102+H102+I102+J102</f>
        <v>1505.3000000000002</v>
      </c>
      <c r="F102" s="45">
        <f t="shared" si="48"/>
        <v>752.6</v>
      </c>
      <c r="G102" s="58">
        <v>376.3</v>
      </c>
      <c r="H102" s="58">
        <v>376.3</v>
      </c>
      <c r="I102" s="17">
        <v>376.3</v>
      </c>
      <c r="J102" s="18">
        <v>376.4</v>
      </c>
      <c r="K102" s="18">
        <v>882.4</v>
      </c>
      <c r="L102" s="20">
        <f t="shared" si="45"/>
        <v>117.24687749136326</v>
      </c>
      <c r="M102" s="18">
        <f t="shared" si="46"/>
        <v>58.61954427688832</v>
      </c>
      <c r="N102" s="18">
        <f t="shared" si="47"/>
        <v>58.61954427688833</v>
      </c>
    </row>
    <row r="103" spans="1:14" ht="12.75" hidden="1">
      <c r="A103" s="35" t="s">
        <v>8</v>
      </c>
      <c r="B103" s="12"/>
      <c r="C103" s="28" t="s">
        <v>5</v>
      </c>
      <c r="D103" s="59"/>
      <c r="E103" s="59">
        <f>G103+H103+I103+J103</f>
        <v>0</v>
      </c>
      <c r="F103" s="45">
        <f t="shared" si="48"/>
        <v>0</v>
      </c>
      <c r="G103" s="58"/>
      <c r="H103" s="58"/>
      <c r="I103" s="17"/>
      <c r="J103" s="18"/>
      <c r="K103" s="18"/>
      <c r="L103" s="20" t="e">
        <f t="shared" si="45"/>
        <v>#DIV/0!</v>
      </c>
      <c r="M103" s="18" t="e">
        <f t="shared" si="46"/>
        <v>#DIV/0!</v>
      </c>
      <c r="N103" s="18" t="e">
        <f t="shared" si="47"/>
        <v>#DIV/0!</v>
      </c>
    </row>
    <row r="104" spans="1:14" ht="12.75">
      <c r="A104" s="35" t="s">
        <v>9</v>
      </c>
      <c r="B104" s="12"/>
      <c r="C104" s="28" t="s">
        <v>6</v>
      </c>
      <c r="D104" s="59">
        <v>228</v>
      </c>
      <c r="E104" s="59">
        <f aca="true" t="shared" si="49" ref="E104:E112">G104+H104+I104+J104</f>
        <v>228</v>
      </c>
      <c r="F104" s="45">
        <f t="shared" si="48"/>
        <v>110.2</v>
      </c>
      <c r="G104" s="58">
        <v>51.5</v>
      </c>
      <c r="H104" s="58">
        <v>58.7</v>
      </c>
      <c r="I104" s="17">
        <v>58.9</v>
      </c>
      <c r="J104" s="18">
        <v>58.9</v>
      </c>
      <c r="K104" s="18">
        <v>121.5</v>
      </c>
      <c r="L104" s="20">
        <f t="shared" si="45"/>
        <v>110.2540834845735</v>
      </c>
      <c r="M104" s="18">
        <f t="shared" si="46"/>
        <v>53.28947368421053</v>
      </c>
      <c r="N104" s="18">
        <f t="shared" si="47"/>
        <v>53.28947368421053</v>
      </c>
    </row>
    <row r="105" spans="1:14" ht="12.75">
      <c r="A105" s="35" t="s">
        <v>10</v>
      </c>
      <c r="B105" s="12"/>
      <c r="C105" s="28" t="s">
        <v>21</v>
      </c>
      <c r="D105" s="59">
        <v>1.5</v>
      </c>
      <c r="E105" s="59">
        <f t="shared" si="49"/>
        <v>1.5</v>
      </c>
      <c r="F105" s="45">
        <f t="shared" si="48"/>
        <v>0.6</v>
      </c>
      <c r="G105" s="58">
        <v>0.1</v>
      </c>
      <c r="H105" s="58">
        <v>0.5</v>
      </c>
      <c r="I105" s="17">
        <v>0.4</v>
      </c>
      <c r="J105" s="18">
        <v>0.5</v>
      </c>
      <c r="K105" s="18">
        <v>0.5</v>
      </c>
      <c r="L105" s="20">
        <f t="shared" si="45"/>
        <v>83.33333333333334</v>
      </c>
      <c r="M105" s="18">
        <f t="shared" si="46"/>
        <v>33.333333333333336</v>
      </c>
      <c r="N105" s="18">
        <f t="shared" si="47"/>
        <v>33.333333333333336</v>
      </c>
    </row>
    <row r="106" spans="1:14" ht="22.5">
      <c r="A106" s="39" t="s">
        <v>11</v>
      </c>
      <c r="B106" s="13"/>
      <c r="C106" s="28" t="s">
        <v>17</v>
      </c>
      <c r="D106" s="59">
        <v>40</v>
      </c>
      <c r="E106" s="59">
        <f t="shared" si="49"/>
        <v>40</v>
      </c>
      <c r="F106" s="45">
        <f t="shared" si="48"/>
        <v>20</v>
      </c>
      <c r="G106" s="58">
        <v>10</v>
      </c>
      <c r="H106" s="58">
        <v>10</v>
      </c>
      <c r="I106" s="17">
        <v>10</v>
      </c>
      <c r="J106" s="18">
        <v>10</v>
      </c>
      <c r="K106" s="18">
        <v>29.7</v>
      </c>
      <c r="L106" s="20">
        <f t="shared" si="45"/>
        <v>148.5</v>
      </c>
      <c r="M106" s="18">
        <f t="shared" si="46"/>
        <v>74.25</v>
      </c>
      <c r="N106" s="18">
        <f t="shared" si="47"/>
        <v>74.25</v>
      </c>
    </row>
    <row r="107" spans="1:14" ht="24" customHeight="1">
      <c r="A107" s="41" t="s">
        <v>40</v>
      </c>
      <c r="B107" s="30"/>
      <c r="C107" s="28" t="s">
        <v>41</v>
      </c>
      <c r="D107" s="59"/>
      <c r="E107" s="59">
        <f t="shared" si="49"/>
        <v>0</v>
      </c>
      <c r="F107" s="45">
        <f t="shared" si="48"/>
        <v>0</v>
      </c>
      <c r="G107" s="58"/>
      <c r="H107" s="58"/>
      <c r="I107" s="17"/>
      <c r="J107" s="18"/>
      <c r="K107" s="18">
        <v>5</v>
      </c>
      <c r="L107" s="20"/>
      <c r="M107" s="18"/>
      <c r="N107" s="18"/>
    </row>
    <row r="108" spans="1:14" ht="14.25" customHeight="1" hidden="1">
      <c r="A108" s="37" t="s">
        <v>12</v>
      </c>
      <c r="B108" s="21"/>
      <c r="C108" s="80" t="s">
        <v>7</v>
      </c>
      <c r="D108" s="59"/>
      <c r="E108" s="59">
        <f t="shared" si="49"/>
        <v>0</v>
      </c>
      <c r="F108" s="45">
        <f t="shared" si="48"/>
        <v>0</v>
      </c>
      <c r="G108" s="58"/>
      <c r="H108" s="58"/>
      <c r="I108" s="17"/>
      <c r="J108" s="18"/>
      <c r="K108" s="18"/>
      <c r="L108" s="20"/>
      <c r="M108" s="18"/>
      <c r="N108" s="18"/>
    </row>
    <row r="109" spans="1:14" ht="16.5" customHeight="1">
      <c r="A109" s="41" t="s">
        <v>37</v>
      </c>
      <c r="B109" s="67"/>
      <c r="C109" s="16" t="s">
        <v>38</v>
      </c>
      <c r="D109" s="59"/>
      <c r="E109" s="59">
        <f t="shared" si="49"/>
        <v>0</v>
      </c>
      <c r="F109" s="45">
        <f t="shared" si="48"/>
        <v>0</v>
      </c>
      <c r="G109" s="58"/>
      <c r="H109" s="58"/>
      <c r="I109" s="17"/>
      <c r="J109" s="18"/>
      <c r="K109" s="18">
        <v>-5</v>
      </c>
      <c r="L109" s="27"/>
      <c r="M109" s="24"/>
      <c r="N109" s="18"/>
    </row>
    <row r="110" spans="1:14" ht="12.75">
      <c r="A110" s="82" t="s">
        <v>1</v>
      </c>
      <c r="B110" s="63"/>
      <c r="C110" s="31" t="s">
        <v>0</v>
      </c>
      <c r="D110" s="32">
        <f aca="true" t="shared" si="50" ref="D110:K110">D111+D112</f>
        <v>25449.7</v>
      </c>
      <c r="E110" s="32">
        <f t="shared" si="50"/>
        <v>34539.3</v>
      </c>
      <c r="F110" s="32">
        <f t="shared" si="50"/>
        <v>21810</v>
      </c>
      <c r="G110" s="32">
        <f t="shared" si="50"/>
        <v>5747.3</v>
      </c>
      <c r="H110" s="32">
        <f t="shared" si="50"/>
        <v>16062.7</v>
      </c>
      <c r="I110" s="32">
        <f t="shared" si="50"/>
        <v>6364.7</v>
      </c>
      <c r="J110" s="32">
        <f t="shared" si="50"/>
        <v>6364.6</v>
      </c>
      <c r="K110" s="32">
        <f t="shared" si="50"/>
        <v>24338.399999999998</v>
      </c>
      <c r="L110" s="27">
        <f>K110*100/F110</f>
        <v>111.59284731774416</v>
      </c>
      <c r="M110" s="24">
        <f>K110*100/E110</f>
        <v>70.46581719953791</v>
      </c>
      <c r="N110" s="24">
        <f>K110*100/D110</f>
        <v>95.63334734790587</v>
      </c>
    </row>
    <row r="111" spans="1:14" ht="22.5">
      <c r="A111" s="83" t="s">
        <v>63</v>
      </c>
      <c r="B111" s="12"/>
      <c r="C111" s="33" t="s">
        <v>20</v>
      </c>
      <c r="D111" s="58">
        <v>25449.7</v>
      </c>
      <c r="E111" s="59">
        <f>G111+H111+I111+J111</f>
        <v>34539.3</v>
      </c>
      <c r="F111" s="45">
        <f t="shared" si="48"/>
        <v>21810</v>
      </c>
      <c r="G111" s="58">
        <v>5747.3</v>
      </c>
      <c r="H111" s="58">
        <v>16062.7</v>
      </c>
      <c r="I111" s="17">
        <v>6364.7</v>
      </c>
      <c r="J111" s="18">
        <v>6364.6</v>
      </c>
      <c r="K111" s="18">
        <v>24338.3</v>
      </c>
      <c r="L111" s="20">
        <f>K111*100/F111</f>
        <v>111.59238881247134</v>
      </c>
      <c r="M111" s="18">
        <f>K111*100/E111</f>
        <v>70.4655276742725</v>
      </c>
      <c r="N111" s="18">
        <f>K111*100/D111</f>
        <v>95.63295441596561</v>
      </c>
    </row>
    <row r="112" spans="1:14" ht="17.25" customHeight="1">
      <c r="A112" s="81" t="s">
        <v>71</v>
      </c>
      <c r="B112" s="14"/>
      <c r="C112" s="34" t="s">
        <v>19</v>
      </c>
      <c r="D112" s="34"/>
      <c r="E112" s="59">
        <f t="shared" si="49"/>
        <v>0</v>
      </c>
      <c r="F112" s="45">
        <f>G112</f>
        <v>0</v>
      </c>
      <c r="G112" s="68"/>
      <c r="H112" s="68"/>
      <c r="I112" s="17"/>
      <c r="J112" s="18"/>
      <c r="K112" s="18">
        <v>0.1</v>
      </c>
      <c r="L112" s="27"/>
      <c r="M112" s="24"/>
      <c r="N112" s="18"/>
    </row>
    <row r="113" spans="1:14" ht="12.75">
      <c r="A113" s="21"/>
      <c r="B113" s="22"/>
      <c r="C113" s="23" t="s">
        <v>4</v>
      </c>
      <c r="D113" s="24">
        <f aca="true" t="shared" si="51" ref="D113:K113">D110+D100</f>
        <v>28624.5</v>
      </c>
      <c r="E113" s="24">
        <f t="shared" si="51"/>
        <v>37714.100000000006</v>
      </c>
      <c r="F113" s="62">
        <f t="shared" si="51"/>
        <v>23393.4</v>
      </c>
      <c r="G113" s="62">
        <f t="shared" si="51"/>
        <v>6535.200000000001</v>
      </c>
      <c r="H113" s="62">
        <f>H110+H100</f>
        <v>16858.2</v>
      </c>
      <c r="I113" s="24">
        <f t="shared" si="51"/>
        <v>7160.299999999999</v>
      </c>
      <c r="J113" s="24">
        <f t="shared" si="51"/>
        <v>7160.400000000001</v>
      </c>
      <c r="K113" s="24">
        <f t="shared" si="51"/>
        <v>25921.199999999997</v>
      </c>
      <c r="L113" s="27">
        <f>K113*100/F113</f>
        <v>110.80561183923668</v>
      </c>
      <c r="M113" s="24">
        <f>K113*100/E113</f>
        <v>68.73079299254123</v>
      </c>
      <c r="N113" s="24">
        <f>K113*100/D113</f>
        <v>90.555992244406</v>
      </c>
    </row>
    <row r="114" spans="1:14" ht="12.75">
      <c r="A114" s="85"/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27"/>
      <c r="M114" s="24"/>
      <c r="N114" s="18"/>
    </row>
    <row r="115" spans="1:14" ht="12.75">
      <c r="A115" s="91" t="s">
        <v>28</v>
      </c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</row>
    <row r="116" spans="1:14" ht="12.75">
      <c r="A116" s="36" t="s">
        <v>3</v>
      </c>
      <c r="B116" s="25"/>
      <c r="C116" s="26" t="s">
        <v>64</v>
      </c>
      <c r="D116" s="27">
        <f>D117+D121+D125+D122+D123+D126+D124+D127+D118+D119+D120</f>
        <v>5481.3</v>
      </c>
      <c r="E116" s="27">
        <f aca="true" t="shared" si="52" ref="E116:J116">E117+E121+E125+E122+E123+E126+E124+E127+E118+E119+E120</f>
        <v>5481.3</v>
      </c>
      <c r="F116" s="27">
        <f t="shared" si="52"/>
        <v>2809.2</v>
      </c>
      <c r="G116" s="27">
        <f t="shared" si="52"/>
        <v>1382.6</v>
      </c>
      <c r="H116" s="27">
        <f t="shared" si="52"/>
        <v>1426.6</v>
      </c>
      <c r="I116" s="27">
        <f t="shared" si="52"/>
        <v>1379.1</v>
      </c>
      <c r="J116" s="27">
        <f t="shared" si="52"/>
        <v>1293</v>
      </c>
      <c r="K116" s="27">
        <f>K117+K121+K125+K122+K123+K126+K124+K127+K118+K119+K120+0.1</f>
        <v>2970.7</v>
      </c>
      <c r="L116" s="27">
        <f aca="true" t="shared" si="53" ref="L116:L123">K116*100/F116</f>
        <v>105.74896767763065</v>
      </c>
      <c r="M116" s="24">
        <f aca="true" t="shared" si="54" ref="M116:M123">K116*100/E116</f>
        <v>54.196997062740586</v>
      </c>
      <c r="N116" s="24">
        <f aca="true" t="shared" si="55" ref="N116:N123">K116*100/D116</f>
        <v>54.196997062740586</v>
      </c>
    </row>
    <row r="117" spans="1:18" ht="12.75">
      <c r="A117" s="35" t="s">
        <v>74</v>
      </c>
      <c r="B117" s="12"/>
      <c r="C117" s="54" t="s">
        <v>75</v>
      </c>
      <c r="D117" s="59">
        <v>1470</v>
      </c>
      <c r="E117" s="59">
        <f>G117+H117+I117+J117</f>
        <v>1470</v>
      </c>
      <c r="F117" s="45">
        <f aca="true" t="shared" si="56" ref="F117:F129">G117+H117</f>
        <v>735</v>
      </c>
      <c r="G117" s="59">
        <v>367.5</v>
      </c>
      <c r="H117" s="59">
        <v>367.5</v>
      </c>
      <c r="I117" s="18">
        <v>367.5</v>
      </c>
      <c r="J117" s="18">
        <v>367.5</v>
      </c>
      <c r="K117" s="18">
        <v>781.9</v>
      </c>
      <c r="L117" s="20">
        <f t="shared" si="53"/>
        <v>106.38095238095238</v>
      </c>
      <c r="M117" s="18">
        <f t="shared" si="54"/>
        <v>53.19047619047619</v>
      </c>
      <c r="N117" s="18">
        <f t="shared" si="55"/>
        <v>53.19047619047619</v>
      </c>
      <c r="R117" s="2"/>
    </row>
    <row r="118" spans="1:14" ht="22.5" hidden="1">
      <c r="A118" s="35" t="s">
        <v>73</v>
      </c>
      <c r="B118" s="12"/>
      <c r="C118" s="28" t="s">
        <v>72</v>
      </c>
      <c r="D118" s="59"/>
      <c r="E118" s="59">
        <f>G118+H118+I118+J118</f>
        <v>0</v>
      </c>
      <c r="F118" s="45">
        <f t="shared" si="56"/>
        <v>0</v>
      </c>
      <c r="G118" s="59"/>
      <c r="H118" s="59"/>
      <c r="I118" s="18"/>
      <c r="J118" s="18"/>
      <c r="K118" s="18"/>
      <c r="L118" s="20" t="e">
        <f t="shared" si="53"/>
        <v>#DIV/0!</v>
      </c>
      <c r="M118" s="18" t="e">
        <f t="shared" si="54"/>
        <v>#DIV/0!</v>
      </c>
      <c r="N118" s="18" t="e">
        <f t="shared" si="55"/>
        <v>#DIV/0!</v>
      </c>
    </row>
    <row r="119" spans="1:14" ht="26.25" customHeight="1">
      <c r="A119" s="35" t="s">
        <v>73</v>
      </c>
      <c r="B119" s="12"/>
      <c r="C119" s="28" t="s">
        <v>72</v>
      </c>
      <c r="D119" s="59">
        <v>3261.5</v>
      </c>
      <c r="E119" s="59">
        <f>G119+H119+I119+J119</f>
        <v>3261.5</v>
      </c>
      <c r="F119" s="45">
        <f t="shared" si="56"/>
        <v>1670.8</v>
      </c>
      <c r="G119" s="59">
        <v>819.9</v>
      </c>
      <c r="H119" s="59">
        <v>850.9</v>
      </c>
      <c r="I119" s="18">
        <v>850.9</v>
      </c>
      <c r="J119" s="18">
        <v>739.8</v>
      </c>
      <c r="K119" s="18">
        <v>1911.8</v>
      </c>
      <c r="L119" s="20">
        <f t="shared" si="53"/>
        <v>114.42422791477136</v>
      </c>
      <c r="M119" s="18">
        <f t="shared" si="54"/>
        <v>58.61720067453626</v>
      </c>
      <c r="N119" s="18">
        <f t="shared" si="55"/>
        <v>58.61720067453626</v>
      </c>
    </row>
    <row r="120" spans="1:14" ht="16.5" customHeight="1">
      <c r="A120" s="35" t="s">
        <v>8</v>
      </c>
      <c r="B120" s="12"/>
      <c r="C120" s="28" t="s">
        <v>5</v>
      </c>
      <c r="D120" s="59">
        <v>10</v>
      </c>
      <c r="E120" s="59">
        <f>G120+H120+I120+J120</f>
        <v>10</v>
      </c>
      <c r="F120" s="45">
        <f t="shared" si="56"/>
        <v>10</v>
      </c>
      <c r="G120" s="59">
        <v>10</v>
      </c>
      <c r="H120" s="59"/>
      <c r="I120" s="18"/>
      <c r="J120" s="18"/>
      <c r="K120" s="18">
        <v>8.6</v>
      </c>
      <c r="L120" s="20">
        <f t="shared" si="53"/>
        <v>86</v>
      </c>
      <c r="M120" s="18">
        <f t="shared" si="54"/>
        <v>86</v>
      </c>
      <c r="N120" s="18">
        <f t="shared" si="55"/>
        <v>86</v>
      </c>
    </row>
    <row r="121" spans="1:14" ht="12.75">
      <c r="A121" s="35" t="s">
        <v>9</v>
      </c>
      <c r="B121" s="12"/>
      <c r="C121" s="28" t="s">
        <v>6</v>
      </c>
      <c r="D121" s="59">
        <v>259</v>
      </c>
      <c r="E121" s="59">
        <f aca="true" t="shared" si="57" ref="E121:E129">G121+H121+I121+J121</f>
        <v>259</v>
      </c>
      <c r="F121" s="45">
        <f t="shared" si="56"/>
        <v>153</v>
      </c>
      <c r="G121" s="59">
        <v>65</v>
      </c>
      <c r="H121" s="59">
        <v>88</v>
      </c>
      <c r="I121" s="18">
        <v>40.5</v>
      </c>
      <c r="J121" s="18">
        <v>65.5</v>
      </c>
      <c r="K121" s="18">
        <v>43</v>
      </c>
      <c r="L121" s="20">
        <f t="shared" si="53"/>
        <v>28.104575163398692</v>
      </c>
      <c r="M121" s="18">
        <f t="shared" si="54"/>
        <v>16.602316602316602</v>
      </c>
      <c r="N121" s="18">
        <f t="shared" si="55"/>
        <v>16.602316602316602</v>
      </c>
    </row>
    <row r="122" spans="1:14" ht="12.75">
      <c r="A122" s="35" t="s">
        <v>10</v>
      </c>
      <c r="B122" s="12"/>
      <c r="C122" s="28" t="s">
        <v>21</v>
      </c>
      <c r="D122" s="59">
        <v>13.5</v>
      </c>
      <c r="E122" s="59">
        <f t="shared" si="57"/>
        <v>13.5</v>
      </c>
      <c r="F122" s="45">
        <f t="shared" si="56"/>
        <v>6.8</v>
      </c>
      <c r="G122" s="59">
        <v>3.4</v>
      </c>
      <c r="H122" s="59">
        <v>3.4</v>
      </c>
      <c r="I122" s="18">
        <v>3.4</v>
      </c>
      <c r="J122" s="18">
        <v>3.3</v>
      </c>
      <c r="K122" s="18">
        <v>7.8</v>
      </c>
      <c r="L122" s="20">
        <f t="shared" si="53"/>
        <v>114.70588235294117</v>
      </c>
      <c r="M122" s="18">
        <f t="shared" si="54"/>
        <v>57.77777777777778</v>
      </c>
      <c r="N122" s="18">
        <f t="shared" si="55"/>
        <v>57.77777777777778</v>
      </c>
    </row>
    <row r="123" spans="1:14" ht="23.25" customHeight="1">
      <c r="A123" s="39" t="s">
        <v>11</v>
      </c>
      <c r="B123" s="13"/>
      <c r="C123" s="28" t="s">
        <v>17</v>
      </c>
      <c r="D123" s="59">
        <v>467.3</v>
      </c>
      <c r="E123" s="59">
        <f t="shared" si="57"/>
        <v>467.29999999999995</v>
      </c>
      <c r="F123" s="45">
        <f t="shared" si="56"/>
        <v>233.6</v>
      </c>
      <c r="G123" s="59">
        <v>116.8</v>
      </c>
      <c r="H123" s="59">
        <v>116.8</v>
      </c>
      <c r="I123" s="18">
        <v>116.8</v>
      </c>
      <c r="J123" s="18">
        <v>116.9</v>
      </c>
      <c r="K123" s="18">
        <v>217.5</v>
      </c>
      <c r="L123" s="20">
        <f t="shared" si="53"/>
        <v>93.10787671232877</v>
      </c>
      <c r="M123" s="18">
        <f t="shared" si="54"/>
        <v>46.54397603252729</v>
      </c>
      <c r="N123" s="18">
        <f t="shared" si="55"/>
        <v>46.54397603252728</v>
      </c>
    </row>
    <row r="124" spans="1:14" ht="24.75" customHeight="1">
      <c r="A124" s="41" t="s">
        <v>40</v>
      </c>
      <c r="B124" s="30"/>
      <c r="C124" s="28" t="s">
        <v>41</v>
      </c>
      <c r="D124" s="59"/>
      <c r="E124" s="59">
        <f t="shared" si="57"/>
        <v>0</v>
      </c>
      <c r="F124" s="45">
        <f t="shared" si="56"/>
        <v>0</v>
      </c>
      <c r="G124" s="59"/>
      <c r="H124" s="59"/>
      <c r="I124" s="18"/>
      <c r="J124" s="18"/>
      <c r="K124" s="18"/>
      <c r="L124" s="20"/>
      <c r="M124" s="18"/>
      <c r="N124" s="18"/>
    </row>
    <row r="125" spans="1:14" ht="27" customHeight="1" hidden="1">
      <c r="A125" s="40" t="s">
        <v>18</v>
      </c>
      <c r="B125" s="29"/>
      <c r="C125" s="28" t="s">
        <v>15</v>
      </c>
      <c r="D125" s="59"/>
      <c r="E125" s="59">
        <f t="shared" si="57"/>
        <v>0</v>
      </c>
      <c r="F125" s="45">
        <f t="shared" si="56"/>
        <v>0</v>
      </c>
      <c r="G125" s="59"/>
      <c r="H125" s="59"/>
      <c r="I125" s="18"/>
      <c r="J125" s="18"/>
      <c r="K125" s="18"/>
      <c r="L125" s="20"/>
      <c r="M125" s="18"/>
      <c r="N125" s="18"/>
    </row>
    <row r="126" spans="1:14" ht="23.25" customHeight="1" hidden="1">
      <c r="A126" s="37" t="s">
        <v>12</v>
      </c>
      <c r="B126" s="21"/>
      <c r="C126" s="28" t="s">
        <v>7</v>
      </c>
      <c r="D126" s="59"/>
      <c r="E126" s="59">
        <f t="shared" si="57"/>
        <v>0</v>
      </c>
      <c r="F126" s="45">
        <f t="shared" si="56"/>
        <v>0</v>
      </c>
      <c r="G126" s="59"/>
      <c r="H126" s="59"/>
      <c r="I126" s="18"/>
      <c r="J126" s="18"/>
      <c r="K126" s="18"/>
      <c r="L126" s="27" t="e">
        <f>K126*100/F126</f>
        <v>#DIV/0!</v>
      </c>
      <c r="M126" s="24" t="e">
        <f>K126*100/E126</f>
        <v>#DIV/0!</v>
      </c>
      <c r="N126" s="18" t="e">
        <f>K126*100/D126</f>
        <v>#DIV/0!</v>
      </c>
    </row>
    <row r="127" spans="1:14" ht="14.25" customHeight="1">
      <c r="A127" s="40" t="s">
        <v>37</v>
      </c>
      <c r="B127" s="67"/>
      <c r="C127" s="16" t="s">
        <v>38</v>
      </c>
      <c r="D127" s="59"/>
      <c r="E127" s="59">
        <f t="shared" si="57"/>
        <v>0</v>
      </c>
      <c r="F127" s="45">
        <f t="shared" si="56"/>
        <v>0</v>
      </c>
      <c r="G127" s="59"/>
      <c r="H127" s="59"/>
      <c r="I127" s="18"/>
      <c r="J127" s="18"/>
      <c r="K127" s="18"/>
      <c r="L127" s="27"/>
      <c r="M127" s="24"/>
      <c r="N127" s="18"/>
    </row>
    <row r="128" spans="1:14" ht="12.75">
      <c r="A128" s="36" t="s">
        <v>1</v>
      </c>
      <c r="B128" s="25"/>
      <c r="C128" s="31" t="s">
        <v>0</v>
      </c>
      <c r="D128" s="32">
        <f>D129+D130</f>
        <v>26468.9</v>
      </c>
      <c r="E128" s="32">
        <f aca="true" t="shared" si="58" ref="E128:K128">E129+E130</f>
        <v>38767.5</v>
      </c>
      <c r="F128" s="32">
        <f t="shared" si="58"/>
        <v>25543</v>
      </c>
      <c r="G128" s="32">
        <f t="shared" si="58"/>
        <v>9204.9</v>
      </c>
      <c r="H128" s="32">
        <f t="shared" si="58"/>
        <v>16338.1</v>
      </c>
      <c r="I128" s="32">
        <f t="shared" si="58"/>
        <v>6622.2</v>
      </c>
      <c r="J128" s="32">
        <f t="shared" si="58"/>
        <v>6602.3</v>
      </c>
      <c r="K128" s="32">
        <f t="shared" si="58"/>
        <v>22261.600000000002</v>
      </c>
      <c r="L128" s="27">
        <f>K128*100/F128</f>
        <v>87.15342755353717</v>
      </c>
      <c r="M128" s="24">
        <f>K128*100/E128</f>
        <v>57.423357193525504</v>
      </c>
      <c r="N128" s="24">
        <f>K128*100/D128</f>
        <v>84.10474179130979</v>
      </c>
    </row>
    <row r="129" spans="1:14" ht="22.5">
      <c r="A129" s="83" t="s">
        <v>63</v>
      </c>
      <c r="B129" s="12"/>
      <c r="C129" s="33" t="s">
        <v>20</v>
      </c>
      <c r="D129" s="58">
        <v>26468.9</v>
      </c>
      <c r="E129" s="59">
        <f t="shared" si="57"/>
        <v>38414.1</v>
      </c>
      <c r="F129" s="45">
        <f t="shared" si="56"/>
        <v>25189.6</v>
      </c>
      <c r="G129" s="59">
        <v>9204.9</v>
      </c>
      <c r="H129" s="59">
        <v>15984.7</v>
      </c>
      <c r="I129" s="18">
        <v>6622.2</v>
      </c>
      <c r="J129" s="18">
        <v>6602.3</v>
      </c>
      <c r="K129" s="18">
        <v>21908.2</v>
      </c>
      <c r="L129" s="20">
        <f>K129*100/F129</f>
        <v>86.97319528694382</v>
      </c>
      <c r="M129" s="18">
        <f>K129*100/E129</f>
        <v>57.031662852962846</v>
      </c>
      <c r="N129" s="18">
        <f>K129*100/D129</f>
        <v>82.76958997162707</v>
      </c>
    </row>
    <row r="130" spans="1:14" ht="22.5">
      <c r="A130" s="83" t="s">
        <v>80</v>
      </c>
      <c r="B130" s="14"/>
      <c r="C130" s="28" t="s">
        <v>81</v>
      </c>
      <c r="D130" s="58"/>
      <c r="E130" s="59">
        <f>G130+H130+I130+J130</f>
        <v>353.4</v>
      </c>
      <c r="F130" s="45">
        <f>G130+H130</f>
        <v>353.4</v>
      </c>
      <c r="G130" s="59"/>
      <c r="H130" s="59">
        <v>353.4</v>
      </c>
      <c r="I130" s="18"/>
      <c r="J130" s="18"/>
      <c r="K130" s="18">
        <v>353.4</v>
      </c>
      <c r="L130" s="20"/>
      <c r="M130" s="18"/>
      <c r="N130" s="18"/>
    </row>
    <row r="131" spans="1:14" ht="12.75">
      <c r="A131" s="21"/>
      <c r="B131" s="22"/>
      <c r="C131" s="23" t="s">
        <v>4</v>
      </c>
      <c r="D131" s="24">
        <f aca="true" t="shared" si="59" ref="D131:K131">D128+D116</f>
        <v>31950.2</v>
      </c>
      <c r="E131" s="24">
        <f t="shared" si="59"/>
        <v>44248.8</v>
      </c>
      <c r="F131" s="24">
        <f t="shared" si="59"/>
        <v>28352.2</v>
      </c>
      <c r="G131" s="24">
        <f t="shared" si="59"/>
        <v>10587.5</v>
      </c>
      <c r="H131" s="24">
        <f t="shared" si="59"/>
        <v>17764.7</v>
      </c>
      <c r="I131" s="24">
        <f t="shared" si="59"/>
        <v>8001.299999999999</v>
      </c>
      <c r="J131" s="24">
        <f t="shared" si="59"/>
        <v>7895.3</v>
      </c>
      <c r="K131" s="24">
        <f t="shared" si="59"/>
        <v>25232.300000000003</v>
      </c>
      <c r="L131" s="27">
        <f>K131*100/F131</f>
        <v>88.99591566086583</v>
      </c>
      <c r="M131" s="24">
        <f>K131*100/E131</f>
        <v>57.02369329789735</v>
      </c>
      <c r="N131" s="24">
        <f>K131*100/D131</f>
        <v>78.97384053933936</v>
      </c>
    </row>
    <row r="132" spans="1:14" ht="12.75">
      <c r="A132" s="85"/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27"/>
      <c r="M132" s="24"/>
      <c r="N132" s="18"/>
    </row>
    <row r="133" spans="1:14" ht="12.75">
      <c r="A133" s="91" t="s">
        <v>29</v>
      </c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</row>
    <row r="134" spans="1:14" ht="12.75">
      <c r="A134" s="36" t="s">
        <v>3</v>
      </c>
      <c r="B134" s="25"/>
      <c r="C134" s="26" t="s">
        <v>64</v>
      </c>
      <c r="D134" s="27">
        <f aca="true" t="shared" si="60" ref="D134:J134">D135+D137+D138+D139+D141+D143+D140+D142+D136</f>
        <v>10865.7</v>
      </c>
      <c r="E134" s="27">
        <f t="shared" si="60"/>
        <v>11038.2</v>
      </c>
      <c r="F134" s="27">
        <f t="shared" si="60"/>
        <v>5848.9</v>
      </c>
      <c r="G134" s="27">
        <f t="shared" si="60"/>
        <v>2861.5</v>
      </c>
      <c r="H134" s="27">
        <f t="shared" si="60"/>
        <v>2987.3999999999996</v>
      </c>
      <c r="I134" s="27">
        <f t="shared" si="60"/>
        <v>2692.5</v>
      </c>
      <c r="J134" s="27">
        <f t="shared" si="60"/>
        <v>2496.8</v>
      </c>
      <c r="K134" s="27">
        <f>K135+K137+K138+K139+K141+K143+K140+K142+K136</f>
        <v>6061.2</v>
      </c>
      <c r="L134" s="27">
        <f aca="true" t="shared" si="61" ref="L134:L139">K134*100/F134</f>
        <v>103.6297423447144</v>
      </c>
      <c r="M134" s="24">
        <f aca="true" t="shared" si="62" ref="M134:M139">K134*100/E134</f>
        <v>54.91112681415448</v>
      </c>
      <c r="N134" s="24">
        <f aca="true" t="shared" si="63" ref="N134:N139">K134*100/D134</f>
        <v>55.78287639084458</v>
      </c>
    </row>
    <row r="135" spans="1:18" ht="12.75">
      <c r="A135" s="35" t="s">
        <v>74</v>
      </c>
      <c r="B135" s="12"/>
      <c r="C135" s="54" t="s">
        <v>75</v>
      </c>
      <c r="D135" s="59">
        <v>3050</v>
      </c>
      <c r="E135" s="59">
        <f>G135+H135+I135+J135</f>
        <v>3050</v>
      </c>
      <c r="F135" s="45">
        <f aca="true" t="shared" si="64" ref="F135:F145">G135+H135</f>
        <v>1550</v>
      </c>
      <c r="G135" s="58">
        <v>800</v>
      </c>
      <c r="H135" s="58">
        <v>750</v>
      </c>
      <c r="I135" s="17">
        <v>750</v>
      </c>
      <c r="J135" s="18">
        <v>750</v>
      </c>
      <c r="K135" s="18">
        <v>1506.2</v>
      </c>
      <c r="L135" s="20">
        <f t="shared" si="61"/>
        <v>97.1741935483871</v>
      </c>
      <c r="M135" s="18">
        <f t="shared" si="62"/>
        <v>49.38360655737705</v>
      </c>
      <c r="N135" s="18">
        <f t="shared" si="63"/>
        <v>49.38360655737705</v>
      </c>
      <c r="R135" s="2"/>
    </row>
    <row r="136" spans="1:14" ht="23.25" customHeight="1">
      <c r="A136" s="35" t="s">
        <v>73</v>
      </c>
      <c r="B136" s="12"/>
      <c r="C136" s="28" t="s">
        <v>72</v>
      </c>
      <c r="D136" s="59">
        <v>7123.7</v>
      </c>
      <c r="E136" s="59">
        <f>G136+H136+I136+J136</f>
        <v>7123.7</v>
      </c>
      <c r="F136" s="45">
        <f t="shared" si="64"/>
        <v>3792.3</v>
      </c>
      <c r="G136" s="58">
        <v>1896.2</v>
      </c>
      <c r="H136" s="58">
        <v>1896.1</v>
      </c>
      <c r="I136" s="17">
        <v>1769.2</v>
      </c>
      <c r="J136" s="18">
        <v>1562.2</v>
      </c>
      <c r="K136" s="18">
        <v>4175.8</v>
      </c>
      <c r="L136" s="20">
        <f t="shared" si="61"/>
        <v>110.112596577275</v>
      </c>
      <c r="M136" s="18">
        <f t="shared" si="62"/>
        <v>58.61841458792482</v>
      </c>
      <c r="N136" s="18">
        <f t="shared" si="63"/>
        <v>58.61841458792482</v>
      </c>
    </row>
    <row r="137" spans="1:14" ht="12.75">
      <c r="A137" s="35" t="s">
        <v>9</v>
      </c>
      <c r="B137" s="12"/>
      <c r="C137" s="28" t="s">
        <v>6</v>
      </c>
      <c r="D137" s="59">
        <v>602</v>
      </c>
      <c r="E137" s="59">
        <f aca="true" t="shared" si="65" ref="E137:E148">G137+H137+I137+J137</f>
        <v>602</v>
      </c>
      <c r="F137" s="45">
        <f t="shared" si="64"/>
        <v>294</v>
      </c>
      <c r="G137" s="58">
        <v>147</v>
      </c>
      <c r="H137" s="58">
        <v>147</v>
      </c>
      <c r="I137" s="17">
        <v>149</v>
      </c>
      <c r="J137" s="18">
        <v>159</v>
      </c>
      <c r="K137" s="18">
        <v>121</v>
      </c>
      <c r="L137" s="20">
        <f t="shared" si="61"/>
        <v>41.156462585034014</v>
      </c>
      <c r="M137" s="18">
        <f t="shared" si="62"/>
        <v>20.099667774086377</v>
      </c>
      <c r="N137" s="18">
        <f t="shared" si="63"/>
        <v>20.099667774086377</v>
      </c>
    </row>
    <row r="138" spans="1:14" ht="12.75">
      <c r="A138" s="35" t="s">
        <v>10</v>
      </c>
      <c r="B138" s="12"/>
      <c r="C138" s="28" t="s">
        <v>21</v>
      </c>
      <c r="D138" s="59">
        <v>20</v>
      </c>
      <c r="E138" s="59">
        <f t="shared" si="65"/>
        <v>20</v>
      </c>
      <c r="F138" s="45">
        <f t="shared" si="64"/>
        <v>9.6</v>
      </c>
      <c r="G138" s="58">
        <v>4.8</v>
      </c>
      <c r="H138" s="58">
        <v>4.8</v>
      </c>
      <c r="I138" s="17">
        <v>4.8</v>
      </c>
      <c r="J138" s="18">
        <v>5.6</v>
      </c>
      <c r="K138" s="18">
        <v>9.1</v>
      </c>
      <c r="L138" s="20">
        <f t="shared" si="61"/>
        <v>94.79166666666667</v>
      </c>
      <c r="M138" s="18">
        <f t="shared" si="62"/>
        <v>45.5</v>
      </c>
      <c r="N138" s="18">
        <f t="shared" si="63"/>
        <v>45.5</v>
      </c>
    </row>
    <row r="139" spans="1:14" ht="22.5">
      <c r="A139" s="39" t="s">
        <v>11</v>
      </c>
      <c r="B139" s="13"/>
      <c r="C139" s="28" t="s">
        <v>17</v>
      </c>
      <c r="D139" s="59">
        <v>70</v>
      </c>
      <c r="E139" s="59">
        <f t="shared" si="65"/>
        <v>192.5</v>
      </c>
      <c r="F139" s="45">
        <f t="shared" si="64"/>
        <v>153</v>
      </c>
      <c r="G139" s="58">
        <v>13.5</v>
      </c>
      <c r="H139" s="58">
        <v>139.5</v>
      </c>
      <c r="I139" s="17">
        <v>19.5</v>
      </c>
      <c r="J139" s="18">
        <v>20</v>
      </c>
      <c r="K139" s="18">
        <v>188</v>
      </c>
      <c r="L139" s="20">
        <f t="shared" si="61"/>
        <v>122.87581699346406</v>
      </c>
      <c r="M139" s="18">
        <f t="shared" si="62"/>
        <v>97.66233766233766</v>
      </c>
      <c r="N139" s="18">
        <f t="shared" si="63"/>
        <v>268.57142857142856</v>
      </c>
    </row>
    <row r="140" spans="1:14" ht="22.5" hidden="1">
      <c r="A140" s="41" t="s">
        <v>40</v>
      </c>
      <c r="B140" s="30"/>
      <c r="C140" s="28" t="s">
        <v>41</v>
      </c>
      <c r="D140" s="59"/>
      <c r="E140" s="59">
        <f t="shared" si="65"/>
        <v>0</v>
      </c>
      <c r="F140" s="45">
        <f t="shared" si="64"/>
        <v>0</v>
      </c>
      <c r="G140" s="58"/>
      <c r="H140" s="58"/>
      <c r="I140" s="17"/>
      <c r="J140" s="18"/>
      <c r="K140" s="18"/>
      <c r="L140" s="20" t="e">
        <f>K140*100/F140</f>
        <v>#DIV/0!</v>
      </c>
      <c r="M140" s="18" t="e">
        <f>K140*100/E140</f>
        <v>#DIV/0!</v>
      </c>
      <c r="N140" s="18" t="e">
        <f>K140*100/D140</f>
        <v>#DIV/0!</v>
      </c>
    </row>
    <row r="141" spans="1:14" ht="18.75" customHeight="1" hidden="1">
      <c r="A141" s="41" t="s">
        <v>18</v>
      </c>
      <c r="B141" s="30"/>
      <c r="C141" s="28" t="s">
        <v>15</v>
      </c>
      <c r="D141" s="59"/>
      <c r="E141" s="59">
        <f t="shared" si="65"/>
        <v>0</v>
      </c>
      <c r="F141" s="45">
        <f t="shared" si="64"/>
        <v>0</v>
      </c>
      <c r="G141" s="58"/>
      <c r="H141" s="58"/>
      <c r="I141" s="17"/>
      <c r="J141" s="18"/>
      <c r="K141" s="18"/>
      <c r="L141" s="20" t="e">
        <f>K141*100/F141</f>
        <v>#DIV/0!</v>
      </c>
      <c r="M141" s="18" t="e">
        <f>K141*100/E141</f>
        <v>#DIV/0!</v>
      </c>
      <c r="N141" s="18" t="e">
        <f>K141*100/D141</f>
        <v>#DIV/0!</v>
      </c>
    </row>
    <row r="142" spans="1:14" ht="15" customHeight="1" hidden="1">
      <c r="A142" s="37" t="s">
        <v>12</v>
      </c>
      <c r="B142" s="21"/>
      <c r="C142" s="28" t="s">
        <v>7</v>
      </c>
      <c r="D142" s="59"/>
      <c r="E142" s="59">
        <f t="shared" si="65"/>
        <v>0</v>
      </c>
      <c r="F142" s="45">
        <f t="shared" si="64"/>
        <v>0</v>
      </c>
      <c r="G142" s="58"/>
      <c r="H142" s="58"/>
      <c r="I142" s="17"/>
      <c r="J142" s="18"/>
      <c r="K142" s="18"/>
      <c r="L142" s="20" t="e">
        <f>K142*100/F142</f>
        <v>#DIV/0!</v>
      </c>
      <c r="M142" s="18" t="e">
        <f>K142*100/E142</f>
        <v>#DIV/0!</v>
      </c>
      <c r="N142" s="18" t="e">
        <f>K142*100/D142</f>
        <v>#DIV/0!</v>
      </c>
    </row>
    <row r="143" spans="1:14" ht="18" customHeight="1">
      <c r="A143" s="41" t="s">
        <v>37</v>
      </c>
      <c r="B143" s="67"/>
      <c r="C143" s="16" t="s">
        <v>38</v>
      </c>
      <c r="D143" s="59"/>
      <c r="E143" s="59">
        <f t="shared" si="65"/>
        <v>50</v>
      </c>
      <c r="F143" s="45">
        <f t="shared" si="64"/>
        <v>50</v>
      </c>
      <c r="G143" s="58"/>
      <c r="H143" s="58">
        <v>50</v>
      </c>
      <c r="I143" s="17"/>
      <c r="J143" s="18"/>
      <c r="K143" s="17">
        <v>61.1</v>
      </c>
      <c r="L143" s="20">
        <f>K143*100/F143</f>
        <v>122.2</v>
      </c>
      <c r="M143" s="18">
        <f>K143*100/E143</f>
        <v>122.2</v>
      </c>
      <c r="N143" s="18"/>
    </row>
    <row r="144" spans="1:14" ht="18" customHeight="1">
      <c r="A144" s="82" t="s">
        <v>1</v>
      </c>
      <c r="B144" s="63"/>
      <c r="C144" s="31" t="s">
        <v>0</v>
      </c>
      <c r="D144" s="32">
        <f aca="true" t="shared" si="66" ref="D144:J144">D145+D146+D147</f>
        <v>45067.3</v>
      </c>
      <c r="E144" s="32">
        <f>E145+E146+E148</f>
        <v>57986.5</v>
      </c>
      <c r="F144" s="32">
        <f t="shared" si="66"/>
        <v>31695.8</v>
      </c>
      <c r="G144" s="32">
        <f>G145+G146+G147+G148</f>
        <v>12976.3</v>
      </c>
      <c r="H144" s="32">
        <f t="shared" si="66"/>
        <v>18719.5</v>
      </c>
      <c r="I144" s="32">
        <f t="shared" si="66"/>
        <v>10888.5</v>
      </c>
      <c r="J144" s="32">
        <f t="shared" si="66"/>
        <v>15402.2</v>
      </c>
      <c r="K144" s="32">
        <f>K145+K146+K147+K148</f>
        <v>22727.9</v>
      </c>
      <c r="L144" s="27">
        <f aca="true" t="shared" si="67" ref="L144:L149">K144*100/F144</f>
        <v>71.70634595119859</v>
      </c>
      <c r="M144" s="24">
        <f aca="true" t="shared" si="68" ref="M144:M149">K144*100/E144</f>
        <v>39.19515749355453</v>
      </c>
      <c r="N144" s="24">
        <f>K144*100/D144</f>
        <v>50.431022049246344</v>
      </c>
    </row>
    <row r="145" spans="1:14" ht="22.5">
      <c r="A145" s="83" t="s">
        <v>63</v>
      </c>
      <c r="B145" s="12"/>
      <c r="C145" s="33" t="s">
        <v>20</v>
      </c>
      <c r="D145" s="58">
        <v>45067.3</v>
      </c>
      <c r="E145" s="59">
        <f>G145+H145+I145+J145</f>
        <v>57986.5</v>
      </c>
      <c r="F145" s="45">
        <f t="shared" si="64"/>
        <v>31695.8</v>
      </c>
      <c r="G145" s="58">
        <v>12976.3</v>
      </c>
      <c r="H145" s="58">
        <v>18719.5</v>
      </c>
      <c r="I145" s="17">
        <v>10888.5</v>
      </c>
      <c r="J145" s="18">
        <v>15402.2</v>
      </c>
      <c r="K145" s="18">
        <v>22727.9</v>
      </c>
      <c r="L145" s="20">
        <f t="shared" si="67"/>
        <v>71.70634595119859</v>
      </c>
      <c r="M145" s="18">
        <f t="shared" si="68"/>
        <v>39.19515749355453</v>
      </c>
      <c r="N145" s="18">
        <f>K145*100/D145</f>
        <v>50.431022049246344</v>
      </c>
    </row>
    <row r="146" spans="1:14" ht="12.75" customHeight="1" hidden="1">
      <c r="A146" s="81" t="s">
        <v>2</v>
      </c>
      <c r="B146" s="14"/>
      <c r="C146" s="34" t="s">
        <v>19</v>
      </c>
      <c r="D146" s="34"/>
      <c r="E146" s="59">
        <f t="shared" si="65"/>
        <v>0</v>
      </c>
      <c r="F146" s="45">
        <f>G146</f>
        <v>0</v>
      </c>
      <c r="G146" s="68"/>
      <c r="H146" s="68"/>
      <c r="I146" s="17"/>
      <c r="J146" s="18"/>
      <c r="K146" s="18"/>
      <c r="L146" s="20" t="e">
        <f t="shared" si="67"/>
        <v>#DIV/0!</v>
      </c>
      <c r="M146" s="18" t="e">
        <f t="shared" si="68"/>
        <v>#DIV/0!</v>
      </c>
      <c r="N146" s="18" t="e">
        <f>K146*100/D146</f>
        <v>#DIV/0!</v>
      </c>
    </row>
    <row r="147" spans="1:14" ht="33" customHeight="1" hidden="1">
      <c r="A147" s="81" t="s">
        <v>62</v>
      </c>
      <c r="B147" s="66"/>
      <c r="C147" s="19" t="s">
        <v>60</v>
      </c>
      <c r="D147" s="34"/>
      <c r="E147" s="59">
        <f t="shared" si="65"/>
        <v>0</v>
      </c>
      <c r="F147" s="45">
        <f>G147</f>
        <v>0</v>
      </c>
      <c r="G147" s="68"/>
      <c r="H147" s="68"/>
      <c r="I147" s="17"/>
      <c r="J147" s="18"/>
      <c r="K147" s="18"/>
      <c r="L147" s="20" t="e">
        <f t="shared" si="67"/>
        <v>#DIV/0!</v>
      </c>
      <c r="M147" s="18" t="e">
        <f t="shared" si="68"/>
        <v>#DIV/0!</v>
      </c>
      <c r="N147" s="18" t="e">
        <f>K147*100/D147</f>
        <v>#DIV/0!</v>
      </c>
    </row>
    <row r="148" spans="1:14" ht="16.5" customHeight="1" hidden="1">
      <c r="A148" s="81" t="s">
        <v>71</v>
      </c>
      <c r="B148" s="14"/>
      <c r="C148" s="34" t="s">
        <v>19</v>
      </c>
      <c r="D148" s="34"/>
      <c r="E148" s="59">
        <f t="shared" si="65"/>
        <v>0</v>
      </c>
      <c r="F148" s="45">
        <f>G148</f>
        <v>0</v>
      </c>
      <c r="G148" s="68"/>
      <c r="H148" s="68"/>
      <c r="I148" s="17"/>
      <c r="J148" s="18"/>
      <c r="K148" s="18"/>
      <c r="L148" s="20"/>
      <c r="M148" s="18"/>
      <c r="N148" s="18"/>
    </row>
    <row r="149" spans="1:14" ht="12.75">
      <c r="A149" s="21"/>
      <c r="B149" s="22"/>
      <c r="C149" s="23" t="s">
        <v>4</v>
      </c>
      <c r="D149" s="24">
        <f aca="true" t="shared" si="69" ref="D149:J149">D144+D134</f>
        <v>55933</v>
      </c>
      <c r="E149" s="24">
        <f t="shared" si="69"/>
        <v>69024.7</v>
      </c>
      <c r="F149" s="24">
        <f t="shared" si="69"/>
        <v>37544.7</v>
      </c>
      <c r="G149" s="62">
        <f t="shared" si="69"/>
        <v>15837.8</v>
      </c>
      <c r="H149" s="62">
        <f t="shared" si="69"/>
        <v>21706.9</v>
      </c>
      <c r="I149" s="62">
        <f t="shared" si="69"/>
        <v>13581</v>
      </c>
      <c r="J149" s="24">
        <f t="shared" si="69"/>
        <v>17899</v>
      </c>
      <c r="K149" s="24">
        <f>K144+K134</f>
        <v>28789.100000000002</v>
      </c>
      <c r="L149" s="27">
        <f t="shared" si="67"/>
        <v>76.67953133198561</v>
      </c>
      <c r="M149" s="24">
        <f t="shared" si="68"/>
        <v>41.70840293402217</v>
      </c>
      <c r="N149" s="24">
        <f>K149*100/D149</f>
        <v>51.47068814474461</v>
      </c>
    </row>
    <row r="150" spans="1:14" ht="12.75">
      <c r="A150" s="98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27"/>
      <c r="M150" s="24"/>
      <c r="N150" s="18"/>
    </row>
    <row r="151" spans="1:14" ht="12.75">
      <c r="A151" s="91" t="s">
        <v>30</v>
      </c>
      <c r="B151" s="92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</row>
    <row r="152" spans="1:14" ht="12.75">
      <c r="A152" s="36" t="s">
        <v>3</v>
      </c>
      <c r="B152" s="25"/>
      <c r="C152" s="26" t="s">
        <v>64</v>
      </c>
      <c r="D152" s="27">
        <f aca="true" t="shared" si="70" ref="D152:J152">D153+D156+D158+D160+D157+D161+D159+D162+D155+D154</f>
        <v>24879.8</v>
      </c>
      <c r="E152" s="27">
        <f t="shared" si="70"/>
        <v>27014.699999999997</v>
      </c>
      <c r="F152" s="27">
        <f t="shared" si="70"/>
        <v>14143.499999999998</v>
      </c>
      <c r="G152" s="27">
        <f t="shared" si="70"/>
        <v>7356.8</v>
      </c>
      <c r="H152" s="27">
        <f t="shared" si="70"/>
        <v>6786.7</v>
      </c>
      <c r="I152" s="27">
        <f t="shared" si="70"/>
        <v>6277</v>
      </c>
      <c r="J152" s="27">
        <f t="shared" si="70"/>
        <v>6594.2</v>
      </c>
      <c r="K152" s="27">
        <f>K153+K156+K158+K160+K157+K161+K159+K162+K155+K154</f>
        <v>14186.300000000003</v>
      </c>
      <c r="L152" s="27">
        <f aca="true" t="shared" si="71" ref="L152:L159">K152*100/F152</f>
        <v>100.30261250751231</v>
      </c>
      <c r="M152" s="24">
        <f aca="true" t="shared" si="72" ref="M152:M159">K152*100/E152</f>
        <v>52.51326129847825</v>
      </c>
      <c r="N152" s="24">
        <f aca="true" t="shared" si="73" ref="N152:N158">K152*100/D152</f>
        <v>57.01934903013691</v>
      </c>
    </row>
    <row r="153" spans="1:18" ht="12.75">
      <c r="A153" s="35" t="s">
        <v>74</v>
      </c>
      <c r="B153" s="12"/>
      <c r="C153" s="54" t="s">
        <v>75</v>
      </c>
      <c r="D153" s="59">
        <v>14820</v>
      </c>
      <c r="E153" s="58">
        <f>G153+H153+I153+J153</f>
        <v>14820</v>
      </c>
      <c r="F153" s="45">
        <f aca="true" t="shared" si="74" ref="F153:F164">G153+H153</f>
        <v>6900</v>
      </c>
      <c r="G153" s="58">
        <v>3350</v>
      </c>
      <c r="H153" s="58">
        <v>3550</v>
      </c>
      <c r="I153" s="17">
        <v>4050.6</v>
      </c>
      <c r="J153" s="18">
        <v>3869.4</v>
      </c>
      <c r="K153" s="18">
        <v>8443.2</v>
      </c>
      <c r="L153" s="20">
        <f t="shared" si="71"/>
        <v>122.36521739130437</v>
      </c>
      <c r="M153" s="18">
        <f t="shared" si="72"/>
        <v>56.97165991902835</v>
      </c>
      <c r="N153" s="18">
        <f t="shared" si="73"/>
        <v>56.97165991902835</v>
      </c>
      <c r="R153" s="2"/>
    </row>
    <row r="154" spans="1:14" ht="25.5" customHeight="1">
      <c r="A154" s="35" t="s">
        <v>73</v>
      </c>
      <c r="B154" s="12"/>
      <c r="C154" s="28" t="s">
        <v>72</v>
      </c>
      <c r="D154" s="59">
        <v>7486.8</v>
      </c>
      <c r="E154" s="58">
        <f>G154+H154+I154+J154</f>
        <v>8103.5</v>
      </c>
      <c r="F154" s="45">
        <f t="shared" si="74"/>
        <v>4349.4</v>
      </c>
      <c r="G154" s="58">
        <v>2515.7</v>
      </c>
      <c r="H154" s="58">
        <v>1833.7</v>
      </c>
      <c r="I154" s="17">
        <v>1782.8</v>
      </c>
      <c r="J154" s="18">
        <v>1971.3</v>
      </c>
      <c r="K154" s="18">
        <v>4388.6</v>
      </c>
      <c r="L154" s="20">
        <f t="shared" si="71"/>
        <v>100.90127373890654</v>
      </c>
      <c r="M154" s="18">
        <f t="shared" si="72"/>
        <v>54.1568458073672</v>
      </c>
      <c r="N154" s="18">
        <f t="shared" si="73"/>
        <v>58.617834054602774</v>
      </c>
    </row>
    <row r="155" spans="1:14" ht="12.75" customHeight="1">
      <c r="A155" s="35" t="s">
        <v>8</v>
      </c>
      <c r="B155" s="12"/>
      <c r="C155" s="28" t="s">
        <v>5</v>
      </c>
      <c r="D155" s="59">
        <v>5</v>
      </c>
      <c r="E155" s="58">
        <f aca="true" t="shared" si="75" ref="E155:E166">G155+H155+I155+J155</f>
        <v>5</v>
      </c>
      <c r="F155" s="45">
        <f t="shared" si="74"/>
        <v>2.8</v>
      </c>
      <c r="G155" s="58">
        <v>1.3</v>
      </c>
      <c r="H155" s="58">
        <v>1.5</v>
      </c>
      <c r="I155" s="17">
        <v>1</v>
      </c>
      <c r="J155" s="18">
        <v>1.2</v>
      </c>
      <c r="K155" s="18">
        <v>36.7</v>
      </c>
      <c r="L155" s="20">
        <f t="shared" si="71"/>
        <v>1310.714285714286</v>
      </c>
      <c r="M155" s="18">
        <f t="shared" si="72"/>
        <v>734.0000000000001</v>
      </c>
      <c r="N155" s="18">
        <f t="shared" si="73"/>
        <v>734.0000000000001</v>
      </c>
    </row>
    <row r="156" spans="1:14" ht="12.75">
      <c r="A156" s="35" t="s">
        <v>9</v>
      </c>
      <c r="B156" s="12"/>
      <c r="C156" s="28" t="s">
        <v>6</v>
      </c>
      <c r="D156" s="59">
        <v>1695</v>
      </c>
      <c r="E156" s="58">
        <f t="shared" si="75"/>
        <v>1695</v>
      </c>
      <c r="F156" s="45">
        <f t="shared" si="74"/>
        <v>670.8</v>
      </c>
      <c r="G156" s="58">
        <v>362.6</v>
      </c>
      <c r="H156" s="58">
        <v>308.2</v>
      </c>
      <c r="I156" s="17">
        <v>362.1</v>
      </c>
      <c r="J156" s="18">
        <v>662.1</v>
      </c>
      <c r="K156" s="18">
        <v>448.5</v>
      </c>
      <c r="L156" s="20">
        <f t="shared" si="71"/>
        <v>66.86046511627907</v>
      </c>
      <c r="M156" s="18">
        <f t="shared" si="72"/>
        <v>26.460176991150444</v>
      </c>
      <c r="N156" s="18">
        <f t="shared" si="73"/>
        <v>26.460176991150444</v>
      </c>
    </row>
    <row r="157" spans="1:14" ht="12.75">
      <c r="A157" s="35" t="s">
        <v>10</v>
      </c>
      <c r="B157" s="12"/>
      <c r="C157" s="28" t="s">
        <v>21</v>
      </c>
      <c r="D157" s="59">
        <v>67.1</v>
      </c>
      <c r="E157" s="58">
        <f t="shared" si="75"/>
        <v>67.1</v>
      </c>
      <c r="F157" s="45">
        <f t="shared" si="74"/>
        <v>32</v>
      </c>
      <c r="G157" s="58">
        <v>18.3</v>
      </c>
      <c r="H157" s="58">
        <v>13.7</v>
      </c>
      <c r="I157" s="17">
        <v>18.9</v>
      </c>
      <c r="J157" s="18">
        <v>16.2</v>
      </c>
      <c r="K157" s="18">
        <v>43.2</v>
      </c>
      <c r="L157" s="20">
        <f t="shared" si="71"/>
        <v>135</v>
      </c>
      <c r="M157" s="18">
        <f t="shared" si="72"/>
        <v>64.38152011922504</v>
      </c>
      <c r="N157" s="18">
        <f t="shared" si="73"/>
        <v>64.38152011922504</v>
      </c>
    </row>
    <row r="158" spans="1:14" ht="22.5">
      <c r="A158" s="39" t="s">
        <v>11</v>
      </c>
      <c r="B158" s="13"/>
      <c r="C158" s="28" t="s">
        <v>17</v>
      </c>
      <c r="D158" s="59">
        <v>805.9</v>
      </c>
      <c r="E158" s="58">
        <f t="shared" si="75"/>
        <v>1324.1</v>
      </c>
      <c r="F158" s="45">
        <f t="shared" si="74"/>
        <v>1188.5</v>
      </c>
      <c r="G158" s="58">
        <v>608.9</v>
      </c>
      <c r="H158" s="58">
        <v>579.6</v>
      </c>
      <c r="I158" s="17">
        <v>61.6</v>
      </c>
      <c r="J158" s="18">
        <v>74</v>
      </c>
      <c r="K158" s="18">
        <v>83</v>
      </c>
      <c r="L158" s="20">
        <f t="shared" si="71"/>
        <v>6.98359276398822</v>
      </c>
      <c r="M158" s="18">
        <f t="shared" si="72"/>
        <v>6.268408730458425</v>
      </c>
      <c r="N158" s="18">
        <f t="shared" si="73"/>
        <v>10.299044546469785</v>
      </c>
    </row>
    <row r="159" spans="1:14" ht="24" customHeight="1">
      <c r="A159" s="41" t="s">
        <v>40</v>
      </c>
      <c r="B159" s="30"/>
      <c r="C159" s="28" t="s">
        <v>41</v>
      </c>
      <c r="D159" s="59"/>
      <c r="E159" s="58">
        <f t="shared" si="75"/>
        <v>1000</v>
      </c>
      <c r="F159" s="45">
        <f t="shared" si="74"/>
        <v>1000</v>
      </c>
      <c r="G159" s="58">
        <v>500</v>
      </c>
      <c r="H159" s="58">
        <v>500</v>
      </c>
      <c r="I159" s="17"/>
      <c r="J159" s="18"/>
      <c r="K159" s="18">
        <v>739.9</v>
      </c>
      <c r="L159" s="20">
        <f t="shared" si="71"/>
        <v>73.99</v>
      </c>
      <c r="M159" s="18">
        <f t="shared" si="72"/>
        <v>73.99</v>
      </c>
      <c r="N159" s="18"/>
    </row>
    <row r="160" spans="1:14" ht="18" customHeight="1" hidden="1">
      <c r="A160" s="40" t="s">
        <v>18</v>
      </c>
      <c r="B160" s="29"/>
      <c r="C160" s="28" t="s">
        <v>15</v>
      </c>
      <c r="D160" s="59"/>
      <c r="E160" s="58">
        <f t="shared" si="75"/>
        <v>0</v>
      </c>
      <c r="F160" s="45">
        <f t="shared" si="74"/>
        <v>0</v>
      </c>
      <c r="G160" s="58"/>
      <c r="H160" s="58"/>
      <c r="I160" s="17"/>
      <c r="J160" s="18"/>
      <c r="K160" s="18"/>
      <c r="L160" s="20"/>
      <c r="M160" s="18"/>
      <c r="N160" s="18"/>
    </row>
    <row r="161" spans="1:14" ht="21" customHeight="1">
      <c r="A161" s="37" t="s">
        <v>12</v>
      </c>
      <c r="B161" s="21"/>
      <c r="C161" s="28" t="s">
        <v>7</v>
      </c>
      <c r="D161" s="59"/>
      <c r="E161" s="58">
        <f t="shared" si="75"/>
        <v>0</v>
      </c>
      <c r="F161" s="45">
        <f t="shared" si="74"/>
        <v>0</v>
      </c>
      <c r="G161" s="58"/>
      <c r="H161" s="58"/>
      <c r="I161" s="17"/>
      <c r="J161" s="18"/>
      <c r="K161" s="18">
        <v>3.2</v>
      </c>
      <c r="L161" s="20"/>
      <c r="M161" s="18"/>
      <c r="N161" s="18"/>
    </row>
    <row r="162" spans="1:14" ht="16.5" customHeight="1">
      <c r="A162" s="40" t="s">
        <v>37</v>
      </c>
      <c r="B162" s="60"/>
      <c r="C162" s="16" t="s">
        <v>38</v>
      </c>
      <c r="D162" s="59"/>
      <c r="E162" s="58">
        <f t="shared" si="75"/>
        <v>0</v>
      </c>
      <c r="F162" s="45">
        <f t="shared" si="74"/>
        <v>0</v>
      </c>
      <c r="G162" s="58"/>
      <c r="H162" s="58"/>
      <c r="I162" s="17"/>
      <c r="J162" s="18"/>
      <c r="K162" s="18"/>
      <c r="L162" s="27"/>
      <c r="M162" s="24"/>
      <c r="N162" s="18"/>
    </row>
    <row r="163" spans="1:14" ht="12.75">
      <c r="A163" s="36" t="s">
        <v>1</v>
      </c>
      <c r="B163" s="25"/>
      <c r="C163" s="31" t="s">
        <v>0</v>
      </c>
      <c r="D163" s="32">
        <f>D164+D165+D166</f>
        <v>41406.8</v>
      </c>
      <c r="E163" s="32">
        <f aca="true" t="shared" si="76" ref="E163:J163">E164+E165+E166</f>
        <v>50886.3</v>
      </c>
      <c r="F163" s="32">
        <f t="shared" si="76"/>
        <v>30207.1</v>
      </c>
      <c r="G163" s="32">
        <f t="shared" si="76"/>
        <v>14341</v>
      </c>
      <c r="H163" s="32">
        <f t="shared" si="76"/>
        <v>15866.1</v>
      </c>
      <c r="I163" s="32">
        <f t="shared" si="76"/>
        <v>10223</v>
      </c>
      <c r="J163" s="32">
        <f t="shared" si="76"/>
        <v>10456.2</v>
      </c>
      <c r="K163" s="32">
        <f>K164+K165+K166</f>
        <v>23814.7</v>
      </c>
      <c r="L163" s="27">
        <f>K163*100/F163</f>
        <v>78.8380877343406</v>
      </c>
      <c r="M163" s="24">
        <f>K163*100/E163</f>
        <v>46.79982627937185</v>
      </c>
      <c r="N163" s="24">
        <f>K163*100/D163</f>
        <v>57.51398321048716</v>
      </c>
    </row>
    <row r="164" spans="1:14" ht="22.5">
      <c r="A164" s="83" t="s">
        <v>63</v>
      </c>
      <c r="B164" s="12"/>
      <c r="C164" s="33" t="s">
        <v>20</v>
      </c>
      <c r="D164" s="58">
        <v>41406.8</v>
      </c>
      <c r="E164" s="58">
        <f t="shared" si="75"/>
        <v>50886.3</v>
      </c>
      <c r="F164" s="45">
        <f t="shared" si="74"/>
        <v>30207.1</v>
      </c>
      <c r="G164" s="58">
        <v>14341</v>
      </c>
      <c r="H164" s="58">
        <v>15866.1</v>
      </c>
      <c r="I164" s="17">
        <v>10223</v>
      </c>
      <c r="J164" s="18">
        <v>10456.2</v>
      </c>
      <c r="K164" s="18">
        <v>23814.7</v>
      </c>
      <c r="L164" s="20">
        <f>K164*100/F164</f>
        <v>78.8380877343406</v>
      </c>
      <c r="M164" s="18">
        <f>K164*100/E164</f>
        <v>46.79982627937185</v>
      </c>
      <c r="N164" s="18">
        <f>K164*100/D164</f>
        <v>57.51398321048716</v>
      </c>
    </row>
    <row r="165" spans="1:14" ht="30.75" customHeight="1" hidden="1">
      <c r="A165" s="81" t="s">
        <v>71</v>
      </c>
      <c r="B165" s="14"/>
      <c r="C165" s="34" t="s">
        <v>19</v>
      </c>
      <c r="D165" s="34"/>
      <c r="E165" s="58">
        <f t="shared" si="75"/>
        <v>0</v>
      </c>
      <c r="F165" s="45">
        <f>G165</f>
        <v>0</v>
      </c>
      <c r="G165" s="58"/>
      <c r="H165" s="58"/>
      <c r="I165" s="17"/>
      <c r="J165" s="18"/>
      <c r="K165" s="18"/>
      <c r="L165" s="20" t="e">
        <f>K165*100/F165</f>
        <v>#DIV/0!</v>
      </c>
      <c r="M165" s="18" t="e">
        <f>K165*100/E165</f>
        <v>#DIV/0!</v>
      </c>
      <c r="N165" s="18"/>
    </row>
    <row r="166" spans="1:14" ht="33.75" hidden="1">
      <c r="A166" s="81" t="s">
        <v>62</v>
      </c>
      <c r="B166" s="66"/>
      <c r="C166" s="19" t="s">
        <v>60</v>
      </c>
      <c r="D166" s="34"/>
      <c r="E166" s="58">
        <f t="shared" si="75"/>
        <v>0</v>
      </c>
      <c r="F166" s="45">
        <f>G166</f>
        <v>0</v>
      </c>
      <c r="G166" s="58"/>
      <c r="H166" s="58"/>
      <c r="I166" s="17"/>
      <c r="J166" s="18"/>
      <c r="K166" s="18"/>
      <c r="L166" s="20" t="e">
        <f>K166*100/F166</f>
        <v>#DIV/0!</v>
      </c>
      <c r="M166" s="18" t="e">
        <f>K166*100/E166</f>
        <v>#DIV/0!</v>
      </c>
      <c r="N166" s="18"/>
    </row>
    <row r="167" spans="1:14" ht="12.75">
      <c r="A167" s="21"/>
      <c r="B167" s="22"/>
      <c r="C167" s="23" t="s">
        <v>4</v>
      </c>
      <c r="D167" s="24">
        <f aca="true" t="shared" si="77" ref="D167:J167">D163+D152</f>
        <v>66286.6</v>
      </c>
      <c r="E167" s="24">
        <f>E163+E152</f>
        <v>77901</v>
      </c>
      <c r="F167" s="24">
        <f t="shared" si="77"/>
        <v>44350.6</v>
      </c>
      <c r="G167" s="24">
        <f t="shared" si="77"/>
        <v>21697.8</v>
      </c>
      <c r="H167" s="24">
        <f t="shared" si="77"/>
        <v>22652.8</v>
      </c>
      <c r="I167" s="24">
        <f t="shared" si="77"/>
        <v>16500</v>
      </c>
      <c r="J167" s="24">
        <f t="shared" si="77"/>
        <v>17050.4</v>
      </c>
      <c r="K167" s="24">
        <f>K163+K152</f>
        <v>38001</v>
      </c>
      <c r="L167" s="27">
        <f>K167*100/F167</f>
        <v>85.68317001348348</v>
      </c>
      <c r="M167" s="24">
        <f>K167*100/E167</f>
        <v>48.7811452998036</v>
      </c>
      <c r="N167" s="24">
        <f>K167*100/D167</f>
        <v>57.328328802503066</v>
      </c>
    </row>
    <row r="168" spans="1:14" ht="12.75">
      <c r="A168" s="85"/>
      <c r="B168" s="86"/>
      <c r="C168" s="86"/>
      <c r="D168" s="86"/>
      <c r="E168" s="86"/>
      <c r="F168" s="86"/>
      <c r="G168" s="86"/>
      <c r="H168" s="86"/>
      <c r="I168" s="86"/>
      <c r="J168" s="86"/>
      <c r="K168" s="86"/>
      <c r="L168" s="27"/>
      <c r="M168" s="24"/>
      <c r="N168" s="18"/>
    </row>
    <row r="169" spans="1:14" ht="12.75">
      <c r="A169" s="91" t="s">
        <v>31</v>
      </c>
      <c r="B169" s="92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</row>
    <row r="170" spans="1:14" ht="12.75">
      <c r="A170" s="36" t="s">
        <v>3</v>
      </c>
      <c r="B170" s="25"/>
      <c r="C170" s="26" t="s">
        <v>64</v>
      </c>
      <c r="D170" s="27">
        <f aca="true" t="shared" si="78" ref="D170:J170">D171+D174+D175+D176+D178+D179+D180+D177+D172+D173</f>
        <v>7324.9</v>
      </c>
      <c r="E170" s="27">
        <f t="shared" si="78"/>
        <v>7629.9</v>
      </c>
      <c r="F170" s="27">
        <f t="shared" si="78"/>
        <v>3541.3</v>
      </c>
      <c r="G170" s="27">
        <f t="shared" si="78"/>
        <v>1574.8</v>
      </c>
      <c r="H170" s="27">
        <f t="shared" si="78"/>
        <v>1966.5</v>
      </c>
      <c r="I170" s="27">
        <f t="shared" si="78"/>
        <v>1830.8</v>
      </c>
      <c r="J170" s="27">
        <f t="shared" si="78"/>
        <v>2257.8</v>
      </c>
      <c r="K170" s="27">
        <f>K171+K174+K175+K176+K178+K179+K180+K177+K172+K173</f>
        <v>3770.0000000000005</v>
      </c>
      <c r="L170" s="27">
        <f aca="true" t="shared" si="79" ref="L170:L178">K170*100/F170</f>
        <v>106.4580803659673</v>
      </c>
      <c r="M170" s="24">
        <f aca="true" t="shared" si="80" ref="M170:M178">K170*100/E170</f>
        <v>49.410870391486135</v>
      </c>
      <c r="N170" s="24">
        <f aca="true" t="shared" si="81" ref="N170:N177">K170*100/D170</f>
        <v>51.46827943043592</v>
      </c>
    </row>
    <row r="171" spans="1:18" ht="12.75">
      <c r="A171" s="35" t="s">
        <v>74</v>
      </c>
      <c r="B171" s="12"/>
      <c r="C171" s="54" t="s">
        <v>75</v>
      </c>
      <c r="D171" s="59">
        <v>2750</v>
      </c>
      <c r="E171" s="58">
        <f>G171+H171+I171+J171</f>
        <v>2750</v>
      </c>
      <c r="F171" s="45">
        <f aca="true" t="shared" si="82" ref="F171:F182">G171+H171</f>
        <v>1375</v>
      </c>
      <c r="G171" s="59">
        <v>687.5</v>
      </c>
      <c r="H171" s="59">
        <v>687.5</v>
      </c>
      <c r="I171" s="17">
        <v>687.5</v>
      </c>
      <c r="J171" s="18">
        <v>687.5</v>
      </c>
      <c r="K171" s="18">
        <v>1447.2</v>
      </c>
      <c r="L171" s="20">
        <f t="shared" si="79"/>
        <v>105.25090909090909</v>
      </c>
      <c r="M171" s="18">
        <f t="shared" si="80"/>
        <v>52.625454545454545</v>
      </c>
      <c r="N171" s="18">
        <f t="shared" si="81"/>
        <v>52.625454545454545</v>
      </c>
      <c r="R171" s="2"/>
    </row>
    <row r="172" spans="1:14" ht="26.25" customHeight="1">
      <c r="A172" s="35" t="s">
        <v>73</v>
      </c>
      <c r="B172" s="12"/>
      <c r="C172" s="28" t="s">
        <v>72</v>
      </c>
      <c r="D172" s="59">
        <v>3083.2</v>
      </c>
      <c r="E172" s="58">
        <f>G172+H172+I172+J172</f>
        <v>3383.2</v>
      </c>
      <c r="F172" s="45">
        <f t="shared" si="82"/>
        <v>1841.6</v>
      </c>
      <c r="G172" s="59">
        <v>770.8</v>
      </c>
      <c r="H172" s="59">
        <v>1070.8</v>
      </c>
      <c r="I172" s="17">
        <v>770.8</v>
      </c>
      <c r="J172" s="18">
        <v>770.8</v>
      </c>
      <c r="K172" s="18">
        <v>1807.3</v>
      </c>
      <c r="L172" s="20">
        <f t="shared" si="79"/>
        <v>98.13748913987837</v>
      </c>
      <c r="M172" s="18">
        <f t="shared" si="80"/>
        <v>53.419839205485935</v>
      </c>
      <c r="N172" s="18">
        <f t="shared" si="81"/>
        <v>58.617669953295284</v>
      </c>
    </row>
    <row r="173" spans="1:14" ht="17.25" customHeight="1">
      <c r="A173" s="35" t="s">
        <v>8</v>
      </c>
      <c r="B173" s="12"/>
      <c r="C173" s="28" t="s">
        <v>5</v>
      </c>
      <c r="D173" s="59">
        <v>2</v>
      </c>
      <c r="E173" s="58">
        <f>G173+H173+I173+J173</f>
        <v>2</v>
      </c>
      <c r="F173" s="45">
        <f t="shared" si="82"/>
        <v>2</v>
      </c>
      <c r="G173" s="59"/>
      <c r="H173" s="59">
        <v>2</v>
      </c>
      <c r="I173" s="17"/>
      <c r="J173" s="18"/>
      <c r="K173" s="18">
        <v>6.4</v>
      </c>
      <c r="L173" s="20">
        <f t="shared" si="79"/>
        <v>320</v>
      </c>
      <c r="M173" s="18">
        <f t="shared" si="80"/>
        <v>320</v>
      </c>
      <c r="N173" s="18">
        <f t="shared" si="81"/>
        <v>320</v>
      </c>
    </row>
    <row r="174" spans="1:14" ht="12.75">
      <c r="A174" s="35" t="s">
        <v>9</v>
      </c>
      <c r="B174" s="12"/>
      <c r="C174" s="28" t="s">
        <v>6</v>
      </c>
      <c r="D174" s="59">
        <v>685</v>
      </c>
      <c r="E174" s="58">
        <f>G174+H174+I174+J174</f>
        <v>685</v>
      </c>
      <c r="F174" s="45">
        <f t="shared" si="82"/>
        <v>0</v>
      </c>
      <c r="G174" s="59"/>
      <c r="H174" s="59"/>
      <c r="I174" s="17">
        <v>171.3</v>
      </c>
      <c r="J174" s="18">
        <v>513.7</v>
      </c>
      <c r="K174" s="18">
        <v>185.8</v>
      </c>
      <c r="L174" s="20"/>
      <c r="M174" s="18">
        <f t="shared" si="80"/>
        <v>27.124087591240876</v>
      </c>
      <c r="N174" s="18">
        <f t="shared" si="81"/>
        <v>27.124087591240876</v>
      </c>
    </row>
    <row r="175" spans="1:14" ht="12.75">
      <c r="A175" s="35" t="s">
        <v>10</v>
      </c>
      <c r="B175" s="12"/>
      <c r="C175" s="28" t="s">
        <v>21</v>
      </c>
      <c r="D175" s="59">
        <v>24</v>
      </c>
      <c r="E175" s="58">
        <f aca="true" t="shared" si="83" ref="E175:E182">G175+H175+I175+J175</f>
        <v>24</v>
      </c>
      <c r="F175" s="45">
        <f t="shared" si="82"/>
        <v>12</v>
      </c>
      <c r="G175" s="59">
        <v>6</v>
      </c>
      <c r="H175" s="59">
        <v>6</v>
      </c>
      <c r="I175" s="17">
        <v>6</v>
      </c>
      <c r="J175" s="18">
        <v>6</v>
      </c>
      <c r="K175" s="18">
        <v>4</v>
      </c>
      <c r="L175" s="20">
        <f t="shared" si="79"/>
        <v>33.333333333333336</v>
      </c>
      <c r="M175" s="18">
        <f t="shared" si="80"/>
        <v>16.666666666666668</v>
      </c>
      <c r="N175" s="18">
        <f t="shared" si="81"/>
        <v>16.666666666666668</v>
      </c>
    </row>
    <row r="176" spans="1:14" ht="22.5">
      <c r="A176" s="39" t="s">
        <v>11</v>
      </c>
      <c r="B176" s="13"/>
      <c r="C176" s="28" t="s">
        <v>17</v>
      </c>
      <c r="D176" s="59">
        <v>761.2</v>
      </c>
      <c r="E176" s="58">
        <f t="shared" si="83"/>
        <v>761.2</v>
      </c>
      <c r="F176" s="45">
        <f t="shared" si="82"/>
        <v>295.9</v>
      </c>
      <c r="G176" s="59">
        <v>105.6</v>
      </c>
      <c r="H176" s="59">
        <v>190.3</v>
      </c>
      <c r="I176" s="17">
        <v>190.3</v>
      </c>
      <c r="J176" s="18">
        <v>275</v>
      </c>
      <c r="K176" s="18">
        <v>312.5</v>
      </c>
      <c r="L176" s="20">
        <f t="shared" si="79"/>
        <v>105.61000337952012</v>
      </c>
      <c r="M176" s="18">
        <f t="shared" si="80"/>
        <v>41.05359957961114</v>
      </c>
      <c r="N176" s="18">
        <f t="shared" si="81"/>
        <v>41.05359957961114</v>
      </c>
    </row>
    <row r="177" spans="1:14" ht="13.5" customHeight="1">
      <c r="A177" s="41" t="s">
        <v>40</v>
      </c>
      <c r="B177" s="30"/>
      <c r="C177" s="28" t="s">
        <v>41</v>
      </c>
      <c r="D177" s="59">
        <v>19.5</v>
      </c>
      <c r="E177" s="58">
        <f t="shared" si="83"/>
        <v>19.5</v>
      </c>
      <c r="F177" s="45">
        <f t="shared" si="82"/>
        <v>9.8</v>
      </c>
      <c r="G177" s="59">
        <v>4.9</v>
      </c>
      <c r="H177" s="59">
        <v>4.9</v>
      </c>
      <c r="I177" s="17">
        <v>4.9</v>
      </c>
      <c r="J177" s="18">
        <v>4.8</v>
      </c>
      <c r="K177" s="18"/>
      <c r="L177" s="20">
        <f t="shared" si="79"/>
        <v>0</v>
      </c>
      <c r="M177" s="18">
        <f t="shared" si="80"/>
        <v>0</v>
      </c>
      <c r="N177" s="18">
        <f t="shared" si="81"/>
        <v>0</v>
      </c>
    </row>
    <row r="178" spans="1:14" ht="13.5" customHeight="1" hidden="1">
      <c r="A178" s="40" t="s">
        <v>18</v>
      </c>
      <c r="B178" s="29"/>
      <c r="C178" s="28" t="s">
        <v>15</v>
      </c>
      <c r="D178" s="59"/>
      <c r="E178" s="58">
        <f t="shared" si="83"/>
        <v>0</v>
      </c>
      <c r="F178" s="45">
        <f t="shared" si="82"/>
        <v>0</v>
      </c>
      <c r="G178" s="59"/>
      <c r="H178" s="59"/>
      <c r="I178" s="17"/>
      <c r="J178" s="18"/>
      <c r="K178" s="18"/>
      <c r="L178" s="20" t="e">
        <f t="shared" si="79"/>
        <v>#DIV/0!</v>
      </c>
      <c r="M178" s="18" t="e">
        <f t="shared" si="80"/>
        <v>#DIV/0!</v>
      </c>
      <c r="N178" s="18"/>
    </row>
    <row r="179" spans="1:14" ht="16.5" customHeight="1">
      <c r="A179" s="37" t="s">
        <v>12</v>
      </c>
      <c r="B179" s="21"/>
      <c r="C179" s="28" t="s">
        <v>7</v>
      </c>
      <c r="D179" s="59"/>
      <c r="E179" s="58">
        <f t="shared" si="83"/>
        <v>5</v>
      </c>
      <c r="F179" s="45">
        <f t="shared" si="82"/>
        <v>5</v>
      </c>
      <c r="G179" s="59"/>
      <c r="H179" s="59">
        <v>5</v>
      </c>
      <c r="I179" s="17"/>
      <c r="J179" s="18"/>
      <c r="K179" s="18">
        <v>6.9</v>
      </c>
      <c r="L179" s="20"/>
      <c r="M179" s="18"/>
      <c r="N179" s="18"/>
    </row>
    <row r="180" spans="1:14" ht="14.25" customHeight="1">
      <c r="A180" s="84" t="s">
        <v>37</v>
      </c>
      <c r="B180" s="61"/>
      <c r="C180" s="16" t="s">
        <v>38</v>
      </c>
      <c r="D180" s="59"/>
      <c r="E180" s="58">
        <f t="shared" si="83"/>
        <v>0</v>
      </c>
      <c r="F180" s="45">
        <f t="shared" si="82"/>
        <v>0</v>
      </c>
      <c r="G180" s="59"/>
      <c r="H180" s="59"/>
      <c r="I180" s="17"/>
      <c r="J180" s="18"/>
      <c r="K180" s="18">
        <v>-0.1</v>
      </c>
      <c r="L180" s="27"/>
      <c r="M180" s="24"/>
      <c r="N180" s="18"/>
    </row>
    <row r="181" spans="1:14" ht="12.75">
      <c r="A181" s="36" t="s">
        <v>1</v>
      </c>
      <c r="B181" s="25"/>
      <c r="C181" s="31" t="s">
        <v>0</v>
      </c>
      <c r="D181" s="32">
        <f aca="true" t="shared" si="84" ref="D181:K181">D182+D183</f>
        <v>28412.1</v>
      </c>
      <c r="E181" s="32">
        <f t="shared" si="84"/>
        <v>28243.4</v>
      </c>
      <c r="F181" s="64">
        <f t="shared" si="84"/>
        <v>14037.4</v>
      </c>
      <c r="G181" s="64">
        <f t="shared" si="84"/>
        <v>6010.9</v>
      </c>
      <c r="H181" s="64">
        <f t="shared" si="84"/>
        <v>8026.5</v>
      </c>
      <c r="I181" s="32">
        <f t="shared" si="84"/>
        <v>7103</v>
      </c>
      <c r="J181" s="32">
        <f t="shared" si="84"/>
        <v>7103</v>
      </c>
      <c r="K181" s="32">
        <f t="shared" si="84"/>
        <v>13910.9</v>
      </c>
      <c r="L181" s="27">
        <f>K181*100/F181</f>
        <v>99.09883596677447</v>
      </c>
      <c r="M181" s="24">
        <f>K181*100/E181</f>
        <v>49.25363093678523</v>
      </c>
      <c r="N181" s="24">
        <f>K181*100/D181</f>
        <v>48.961182031599215</v>
      </c>
    </row>
    <row r="182" spans="1:14" ht="23.25" customHeight="1">
      <c r="A182" s="83" t="s">
        <v>63</v>
      </c>
      <c r="B182" s="12"/>
      <c r="C182" s="33" t="s">
        <v>20</v>
      </c>
      <c r="D182" s="58">
        <v>28412.1</v>
      </c>
      <c r="E182" s="58">
        <f t="shared" si="83"/>
        <v>28243.4</v>
      </c>
      <c r="F182" s="45">
        <f t="shared" si="82"/>
        <v>14037.4</v>
      </c>
      <c r="G182" s="59">
        <v>6010.9</v>
      </c>
      <c r="H182" s="59">
        <v>8026.5</v>
      </c>
      <c r="I182" s="17">
        <v>7103</v>
      </c>
      <c r="J182" s="18">
        <v>7103</v>
      </c>
      <c r="K182" s="18">
        <v>13910.9</v>
      </c>
      <c r="L182" s="20">
        <f>K182*100/F182</f>
        <v>99.09883596677447</v>
      </c>
      <c r="M182" s="18">
        <f>K182*100/E182</f>
        <v>49.25363093678523</v>
      </c>
      <c r="N182" s="18">
        <f>K182*100/D182</f>
        <v>48.961182031599215</v>
      </c>
    </row>
    <row r="183" spans="1:14" ht="15.75" customHeight="1" hidden="1">
      <c r="A183" s="14" t="s">
        <v>2</v>
      </c>
      <c r="B183" s="14"/>
      <c r="C183" s="34" t="s">
        <v>19</v>
      </c>
      <c r="D183" s="65"/>
      <c r="E183" s="58">
        <f>G183+H183+I183+J183</f>
        <v>0</v>
      </c>
      <c r="F183" s="45">
        <f>G183+H183</f>
        <v>0</v>
      </c>
      <c r="G183" s="65"/>
      <c r="H183" s="65"/>
      <c r="I183" s="17"/>
      <c r="J183" s="18"/>
      <c r="K183" s="18"/>
      <c r="L183" s="20"/>
      <c r="M183" s="18"/>
      <c r="N183" s="18"/>
    </row>
    <row r="184" spans="1:14" ht="12.75">
      <c r="A184" s="21"/>
      <c r="B184" s="22"/>
      <c r="C184" s="23" t="s">
        <v>4</v>
      </c>
      <c r="D184" s="24">
        <f aca="true" t="shared" si="85" ref="D184:K184">D181+D170</f>
        <v>35737</v>
      </c>
      <c r="E184" s="24">
        <f t="shared" si="85"/>
        <v>35873.3</v>
      </c>
      <c r="F184" s="24">
        <f t="shared" si="85"/>
        <v>17578.7</v>
      </c>
      <c r="G184" s="24">
        <f t="shared" si="85"/>
        <v>7585.7</v>
      </c>
      <c r="H184" s="24">
        <f t="shared" si="85"/>
        <v>9993</v>
      </c>
      <c r="I184" s="24">
        <f t="shared" si="85"/>
        <v>8933.8</v>
      </c>
      <c r="J184" s="24">
        <f t="shared" si="85"/>
        <v>9360.8</v>
      </c>
      <c r="K184" s="24">
        <f t="shared" si="85"/>
        <v>17680.9</v>
      </c>
      <c r="L184" s="27">
        <f>K184*100/F184</f>
        <v>100.58138542668117</v>
      </c>
      <c r="M184" s="24">
        <f>K184*100/E184</f>
        <v>49.287074230695254</v>
      </c>
      <c r="N184" s="24">
        <f>K184*100/D184</f>
        <v>49.475053865741394</v>
      </c>
    </row>
    <row r="185" spans="1:14" ht="12.75">
      <c r="A185" s="85"/>
      <c r="B185" s="86"/>
      <c r="C185" s="86"/>
      <c r="D185" s="86"/>
      <c r="E185" s="86"/>
      <c r="F185" s="86"/>
      <c r="G185" s="86"/>
      <c r="H185" s="86"/>
      <c r="I185" s="86"/>
      <c r="J185" s="86"/>
      <c r="K185" s="86"/>
      <c r="L185" s="27"/>
      <c r="M185" s="24"/>
      <c r="N185" s="18"/>
    </row>
    <row r="186" spans="1:14" ht="12.75">
      <c r="A186" s="91" t="s">
        <v>32</v>
      </c>
      <c r="B186" s="92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</row>
    <row r="187" spans="1:14" ht="12.75">
      <c r="A187" s="36" t="s">
        <v>3</v>
      </c>
      <c r="B187" s="25"/>
      <c r="C187" s="26" t="s">
        <v>64</v>
      </c>
      <c r="D187" s="27">
        <f aca="true" t="shared" si="86" ref="D187:J187">D188+D190+D191+D192+D193+D195+D197+D196+D194+D189</f>
        <v>27020</v>
      </c>
      <c r="E187" s="27">
        <f>E188+E190+E191+E192+E193+E195+E197+E196+E194+E189-0.1</f>
        <v>27357.800000000003</v>
      </c>
      <c r="F187" s="27">
        <f t="shared" si="86"/>
        <v>12911.399999999998</v>
      </c>
      <c r="G187" s="27">
        <f t="shared" si="86"/>
        <v>6401.099999999999</v>
      </c>
      <c r="H187" s="27">
        <f t="shared" si="86"/>
        <v>6510.299999999999</v>
      </c>
      <c r="I187" s="27">
        <f t="shared" si="86"/>
        <v>6385.099999999999</v>
      </c>
      <c r="J187" s="27">
        <f t="shared" si="86"/>
        <v>8061.400000000001</v>
      </c>
      <c r="K187" s="27">
        <f>K188+K190+K191+K192+K193+K195+K197+K196+K194+K189</f>
        <v>16016.9</v>
      </c>
      <c r="L187" s="27">
        <f aca="true" t="shared" si="87" ref="L187:L193">K187*100/F187</f>
        <v>124.05238781232092</v>
      </c>
      <c r="M187" s="24">
        <f aca="true" t="shared" si="88" ref="M187:M193">K187*100/E187</f>
        <v>58.54600881649839</v>
      </c>
      <c r="N187" s="24">
        <f aca="true" t="shared" si="89" ref="N187:N193">K187*100/D187</f>
        <v>59.277942264988894</v>
      </c>
    </row>
    <row r="188" spans="1:18" ht="12.75">
      <c r="A188" s="35" t="s">
        <v>74</v>
      </c>
      <c r="B188" s="12"/>
      <c r="C188" s="54" t="s">
        <v>75</v>
      </c>
      <c r="D188" s="59">
        <v>18700</v>
      </c>
      <c r="E188" s="58">
        <f>G188+H188+I188+J188</f>
        <v>18754.3</v>
      </c>
      <c r="F188" s="45">
        <f aca="true" t="shared" si="90" ref="F188:F200">G188+H188</f>
        <v>9404.3</v>
      </c>
      <c r="G188" s="58">
        <v>4675</v>
      </c>
      <c r="H188" s="58">
        <v>4729.3</v>
      </c>
      <c r="I188" s="17">
        <v>4675</v>
      </c>
      <c r="J188" s="18">
        <v>4675</v>
      </c>
      <c r="K188" s="18">
        <v>11527.3</v>
      </c>
      <c r="L188" s="20">
        <f t="shared" si="87"/>
        <v>122.57477962208777</v>
      </c>
      <c r="M188" s="18">
        <f t="shared" si="88"/>
        <v>61.464837397290225</v>
      </c>
      <c r="N188" s="18">
        <f t="shared" si="89"/>
        <v>61.64331550802139</v>
      </c>
      <c r="R188" s="2"/>
    </row>
    <row r="189" spans="1:14" ht="23.25" customHeight="1">
      <c r="A189" s="35" t="s">
        <v>73</v>
      </c>
      <c r="B189" s="12"/>
      <c r="C189" s="28" t="s">
        <v>72</v>
      </c>
      <c r="D189" s="59">
        <v>5011</v>
      </c>
      <c r="E189" s="58">
        <f>G189+H189+I189+J189</f>
        <v>5011</v>
      </c>
      <c r="F189" s="45">
        <f t="shared" si="90"/>
        <v>2505</v>
      </c>
      <c r="G189" s="58">
        <v>1252.5</v>
      </c>
      <c r="H189" s="58">
        <v>1252.5</v>
      </c>
      <c r="I189" s="17">
        <v>1252.5</v>
      </c>
      <c r="J189" s="18">
        <v>1253.5</v>
      </c>
      <c r="K189" s="18">
        <v>2937.4</v>
      </c>
      <c r="L189" s="20">
        <f t="shared" si="87"/>
        <v>117.26147704590818</v>
      </c>
      <c r="M189" s="18">
        <f t="shared" si="88"/>
        <v>58.61903811614448</v>
      </c>
      <c r="N189" s="18">
        <f t="shared" si="89"/>
        <v>58.61903811614448</v>
      </c>
    </row>
    <row r="190" spans="1:14" ht="14.25" customHeight="1">
      <c r="A190" s="35" t="s">
        <v>8</v>
      </c>
      <c r="B190" s="12"/>
      <c r="C190" s="28" t="s">
        <v>5</v>
      </c>
      <c r="D190" s="59"/>
      <c r="E190" s="58">
        <f aca="true" t="shared" si="91" ref="E190:E200">G190+H190+I190+J190</f>
        <v>34.9</v>
      </c>
      <c r="F190" s="45">
        <f t="shared" si="90"/>
        <v>34.9</v>
      </c>
      <c r="G190" s="58"/>
      <c r="H190" s="58">
        <v>34.9</v>
      </c>
      <c r="I190" s="17"/>
      <c r="J190" s="18"/>
      <c r="K190" s="18">
        <v>34.9</v>
      </c>
      <c r="L190" s="20">
        <f t="shared" si="87"/>
        <v>100</v>
      </c>
      <c r="M190" s="18">
        <f>K190*100/E190</f>
        <v>100</v>
      </c>
      <c r="N190" s="18"/>
    </row>
    <row r="191" spans="1:14" ht="13.5" customHeight="1">
      <c r="A191" s="35" t="s">
        <v>9</v>
      </c>
      <c r="B191" s="12"/>
      <c r="C191" s="28" t="s">
        <v>6</v>
      </c>
      <c r="D191" s="59">
        <v>2795</v>
      </c>
      <c r="E191" s="58">
        <f t="shared" si="91"/>
        <v>2795</v>
      </c>
      <c r="F191" s="45">
        <f t="shared" si="90"/>
        <v>561</v>
      </c>
      <c r="G191" s="58">
        <v>280.5</v>
      </c>
      <c r="H191" s="58">
        <v>280.5</v>
      </c>
      <c r="I191" s="17">
        <v>280.5</v>
      </c>
      <c r="J191" s="18">
        <v>1953.5</v>
      </c>
      <c r="K191" s="18">
        <v>951.6</v>
      </c>
      <c r="L191" s="20">
        <f t="shared" si="87"/>
        <v>169.62566844919786</v>
      </c>
      <c r="M191" s="18">
        <f t="shared" si="88"/>
        <v>34.04651162790697</v>
      </c>
      <c r="N191" s="18">
        <f t="shared" si="89"/>
        <v>34.04651162790697</v>
      </c>
    </row>
    <row r="192" spans="1:14" ht="12.75">
      <c r="A192" s="35" t="s">
        <v>10</v>
      </c>
      <c r="B192" s="12"/>
      <c r="C192" s="28" t="s">
        <v>21</v>
      </c>
      <c r="D192" s="59">
        <v>132</v>
      </c>
      <c r="E192" s="58">
        <f t="shared" si="91"/>
        <v>132</v>
      </c>
      <c r="F192" s="45">
        <f t="shared" si="90"/>
        <v>72.8</v>
      </c>
      <c r="G192" s="58">
        <v>44.4</v>
      </c>
      <c r="H192" s="58">
        <v>28.4</v>
      </c>
      <c r="I192" s="17">
        <v>28.4</v>
      </c>
      <c r="J192" s="18">
        <v>30.8</v>
      </c>
      <c r="K192" s="18">
        <v>38.2</v>
      </c>
      <c r="L192" s="20">
        <f t="shared" si="87"/>
        <v>52.47252747252748</v>
      </c>
      <c r="M192" s="18">
        <f t="shared" si="88"/>
        <v>28.93939393939394</v>
      </c>
      <c r="N192" s="18">
        <f t="shared" si="89"/>
        <v>28.93939393939394</v>
      </c>
    </row>
    <row r="193" spans="1:14" ht="22.5">
      <c r="A193" s="39" t="s">
        <v>11</v>
      </c>
      <c r="B193" s="13"/>
      <c r="C193" s="28" t="s">
        <v>17</v>
      </c>
      <c r="D193" s="59">
        <v>382</v>
      </c>
      <c r="E193" s="58">
        <f t="shared" si="91"/>
        <v>594.6999999999999</v>
      </c>
      <c r="F193" s="45">
        <f t="shared" si="90"/>
        <v>297.4</v>
      </c>
      <c r="G193" s="58">
        <v>148.7</v>
      </c>
      <c r="H193" s="58">
        <v>148.7</v>
      </c>
      <c r="I193" s="17">
        <v>148.7</v>
      </c>
      <c r="J193" s="18">
        <v>148.6</v>
      </c>
      <c r="K193" s="18">
        <v>248.6</v>
      </c>
      <c r="L193" s="20">
        <f t="shared" si="87"/>
        <v>83.59112306657701</v>
      </c>
      <c r="M193" s="18">
        <f t="shared" si="88"/>
        <v>41.80258954094502</v>
      </c>
      <c r="N193" s="18">
        <f t="shared" si="89"/>
        <v>65.07853403141361</v>
      </c>
    </row>
    <row r="194" spans="1:14" ht="24" customHeight="1">
      <c r="A194" s="40" t="s">
        <v>40</v>
      </c>
      <c r="B194" s="30"/>
      <c r="C194" s="28" t="s">
        <v>41</v>
      </c>
      <c r="D194" s="59"/>
      <c r="E194" s="58">
        <f t="shared" si="91"/>
        <v>0</v>
      </c>
      <c r="F194" s="45">
        <f t="shared" si="90"/>
        <v>0</v>
      </c>
      <c r="G194" s="58"/>
      <c r="H194" s="58"/>
      <c r="I194" s="17"/>
      <c r="J194" s="18"/>
      <c r="K194" s="18">
        <v>278.9</v>
      </c>
      <c r="L194" s="20"/>
      <c r="M194" s="18"/>
      <c r="N194" s="18"/>
    </row>
    <row r="195" spans="1:14" ht="23.25" customHeight="1">
      <c r="A195" s="40" t="s">
        <v>18</v>
      </c>
      <c r="B195" s="30"/>
      <c r="C195" s="28" t="s">
        <v>15</v>
      </c>
      <c r="D195" s="59"/>
      <c r="E195" s="58">
        <f t="shared" si="91"/>
        <v>36</v>
      </c>
      <c r="F195" s="45">
        <f t="shared" si="90"/>
        <v>36</v>
      </c>
      <c r="G195" s="58"/>
      <c r="H195" s="58">
        <v>36</v>
      </c>
      <c r="I195" s="17"/>
      <c r="J195" s="18"/>
      <c r="K195" s="18"/>
      <c r="L195" s="20"/>
      <c r="M195" s="18"/>
      <c r="N195" s="18"/>
    </row>
    <row r="196" spans="1:14" ht="17.25" customHeight="1" hidden="1">
      <c r="A196" s="37" t="s">
        <v>12</v>
      </c>
      <c r="B196" s="21"/>
      <c r="C196" s="28" t="s">
        <v>7</v>
      </c>
      <c r="D196" s="59"/>
      <c r="E196" s="58">
        <f t="shared" si="91"/>
        <v>0</v>
      </c>
      <c r="F196" s="45">
        <f t="shared" si="90"/>
        <v>0</v>
      </c>
      <c r="G196" s="58"/>
      <c r="H196" s="58"/>
      <c r="I196" s="17"/>
      <c r="J196" s="18"/>
      <c r="K196" s="18"/>
      <c r="L196" s="20"/>
      <c r="M196" s="18"/>
      <c r="N196" s="18"/>
    </row>
    <row r="197" spans="1:14" ht="15" customHeight="1">
      <c r="A197" s="84" t="s">
        <v>37</v>
      </c>
      <c r="B197" s="61"/>
      <c r="C197" s="16" t="s">
        <v>38</v>
      </c>
      <c r="D197" s="59"/>
      <c r="E197" s="58">
        <f t="shared" si="91"/>
        <v>0</v>
      </c>
      <c r="F197" s="45">
        <f t="shared" si="90"/>
        <v>0</v>
      </c>
      <c r="G197" s="58"/>
      <c r="H197" s="58"/>
      <c r="I197" s="17"/>
      <c r="J197" s="18"/>
      <c r="K197" s="18"/>
      <c r="L197" s="27"/>
      <c r="M197" s="24"/>
      <c r="N197" s="18"/>
    </row>
    <row r="198" spans="1:14" ht="12.75">
      <c r="A198" s="82" t="s">
        <v>1</v>
      </c>
      <c r="B198" s="25"/>
      <c r="C198" s="31" t="s">
        <v>0</v>
      </c>
      <c r="D198" s="62">
        <f aca="true" t="shared" si="92" ref="D198:J198">D199</f>
        <v>33359.5</v>
      </c>
      <c r="E198" s="62">
        <f>E199+E200</f>
        <v>39054</v>
      </c>
      <c r="F198" s="62">
        <f>F199</f>
        <v>22189.6</v>
      </c>
      <c r="G198" s="62">
        <f t="shared" si="92"/>
        <v>10619.1</v>
      </c>
      <c r="H198" s="62">
        <f t="shared" si="92"/>
        <v>11570.5</v>
      </c>
      <c r="I198" s="62">
        <f t="shared" si="92"/>
        <v>8330.1</v>
      </c>
      <c r="J198" s="62">
        <f t="shared" si="92"/>
        <v>8369.3</v>
      </c>
      <c r="K198" s="62">
        <f>K199+K200</f>
        <v>25583.6</v>
      </c>
      <c r="L198" s="27">
        <f>K198*100/F198</f>
        <v>115.29545372606988</v>
      </c>
      <c r="M198" s="24">
        <f>K198*100/E198</f>
        <v>65.50827059968249</v>
      </c>
      <c r="N198" s="24">
        <f>K198*100/D198</f>
        <v>76.69059788066367</v>
      </c>
    </row>
    <row r="199" spans="1:14" ht="22.5">
      <c r="A199" s="84" t="s">
        <v>63</v>
      </c>
      <c r="B199" s="12"/>
      <c r="C199" s="33" t="s">
        <v>20</v>
      </c>
      <c r="D199" s="58">
        <v>33359.5</v>
      </c>
      <c r="E199" s="58">
        <f t="shared" si="91"/>
        <v>38889</v>
      </c>
      <c r="F199" s="45">
        <f t="shared" si="90"/>
        <v>22189.6</v>
      </c>
      <c r="G199" s="58">
        <v>10619.1</v>
      </c>
      <c r="H199" s="58">
        <v>11570.5</v>
      </c>
      <c r="I199" s="17">
        <v>8330.1</v>
      </c>
      <c r="J199" s="18">
        <v>8369.3</v>
      </c>
      <c r="K199" s="18">
        <v>25418.6</v>
      </c>
      <c r="L199" s="20">
        <f>K199*100/F199</f>
        <v>114.55186213361215</v>
      </c>
      <c r="M199" s="18">
        <f>K199*100/E199</f>
        <v>65.3619275373499</v>
      </c>
      <c r="N199" s="18">
        <f>K199*100/D199</f>
        <v>76.19598615087156</v>
      </c>
    </row>
    <row r="200" spans="1:14" ht="24" customHeight="1">
      <c r="A200" s="83" t="s">
        <v>80</v>
      </c>
      <c r="B200" s="14"/>
      <c r="C200" s="28" t="s">
        <v>81</v>
      </c>
      <c r="D200" s="58"/>
      <c r="E200" s="58">
        <f t="shared" si="91"/>
        <v>165</v>
      </c>
      <c r="F200" s="45">
        <f t="shared" si="90"/>
        <v>165</v>
      </c>
      <c r="G200" s="58">
        <v>165</v>
      </c>
      <c r="H200" s="58"/>
      <c r="I200" s="17"/>
      <c r="J200" s="18"/>
      <c r="K200" s="18">
        <v>165</v>
      </c>
      <c r="L200" s="20">
        <f>K200*100/F200</f>
        <v>100</v>
      </c>
      <c r="M200" s="18">
        <f>K200*100/E200</f>
        <v>100</v>
      </c>
      <c r="N200" s="18"/>
    </row>
    <row r="201" spans="1:14" ht="12.75">
      <c r="A201" s="21"/>
      <c r="B201" s="22"/>
      <c r="C201" s="23" t="s">
        <v>4</v>
      </c>
      <c r="D201" s="24">
        <f aca="true" t="shared" si="93" ref="D201:K201">D198+D187</f>
        <v>60379.5</v>
      </c>
      <c r="E201" s="24">
        <f t="shared" si="93"/>
        <v>66411.8</v>
      </c>
      <c r="F201" s="24">
        <f t="shared" si="93"/>
        <v>35101</v>
      </c>
      <c r="G201" s="24">
        <f t="shared" si="93"/>
        <v>17020.2</v>
      </c>
      <c r="H201" s="24">
        <f t="shared" si="93"/>
        <v>18080.8</v>
      </c>
      <c r="I201" s="24">
        <f t="shared" si="93"/>
        <v>14715.2</v>
      </c>
      <c r="J201" s="24">
        <f t="shared" si="93"/>
        <v>16430.7</v>
      </c>
      <c r="K201" s="24">
        <f t="shared" si="93"/>
        <v>41600.5</v>
      </c>
      <c r="L201" s="27">
        <f>K201*100/F201</f>
        <v>118.51656647958748</v>
      </c>
      <c r="M201" s="24">
        <f>K201*100/E201</f>
        <v>62.64022357472618</v>
      </c>
      <c r="N201" s="24">
        <f>K201*100/D201</f>
        <v>68.89838438542883</v>
      </c>
    </row>
    <row r="202" spans="1:14" ht="12.75">
      <c r="A202" s="85"/>
      <c r="B202" s="86"/>
      <c r="C202" s="86"/>
      <c r="D202" s="86"/>
      <c r="E202" s="86"/>
      <c r="F202" s="86"/>
      <c r="G202" s="86"/>
      <c r="H202" s="86"/>
      <c r="I202" s="86"/>
      <c r="J202" s="86"/>
      <c r="K202" s="86"/>
      <c r="L202" s="27"/>
      <c r="M202" s="24"/>
      <c r="N202" s="18"/>
    </row>
    <row r="203" spans="1:14" ht="12.75">
      <c r="A203" s="91" t="s">
        <v>33</v>
      </c>
      <c r="B203" s="92"/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</row>
    <row r="204" spans="1:14" ht="12.75">
      <c r="A204" s="36" t="s">
        <v>3</v>
      </c>
      <c r="B204" s="25"/>
      <c r="C204" s="26" t="s">
        <v>64</v>
      </c>
      <c r="D204" s="27">
        <f aca="true" t="shared" si="94" ref="D204:J204">D205+D208+D210+D211+D209+D212+D213+D207+D206</f>
        <v>5671.1</v>
      </c>
      <c r="E204" s="27">
        <f t="shared" si="94"/>
        <v>5854.3</v>
      </c>
      <c r="F204" s="27">
        <f t="shared" si="94"/>
        <v>2842.9</v>
      </c>
      <c r="G204" s="27">
        <f t="shared" si="94"/>
        <v>1375.5</v>
      </c>
      <c r="H204" s="27">
        <f t="shared" si="94"/>
        <v>1467.4</v>
      </c>
      <c r="I204" s="27">
        <f t="shared" si="94"/>
        <v>1469.3</v>
      </c>
      <c r="J204" s="27">
        <f t="shared" si="94"/>
        <v>1542.1</v>
      </c>
      <c r="K204" s="27">
        <f>K205+K208+K210+K211+K209+K212+K213+K207+K206</f>
        <v>3120.6</v>
      </c>
      <c r="L204" s="27">
        <f>K204*100/F204</f>
        <v>109.76819444932991</v>
      </c>
      <c r="M204" s="24">
        <f aca="true" t="shared" si="95" ref="M204:M210">K204*100/E204</f>
        <v>53.30440872521053</v>
      </c>
      <c r="N204" s="24">
        <f aca="true" t="shared" si="96" ref="N204:N211">K204*100/D204</f>
        <v>55.02636172876514</v>
      </c>
    </row>
    <row r="205" spans="1:18" ht="12.75">
      <c r="A205" s="35" t="s">
        <v>74</v>
      </c>
      <c r="B205" s="12"/>
      <c r="C205" s="54" t="s">
        <v>75</v>
      </c>
      <c r="D205" s="59">
        <v>1400</v>
      </c>
      <c r="E205" s="58">
        <f>G205+H205+I205+J205</f>
        <v>1400</v>
      </c>
      <c r="F205" s="45">
        <f aca="true" t="shared" si="97" ref="F205:F215">G205+H205</f>
        <v>700</v>
      </c>
      <c r="G205" s="58">
        <v>350</v>
      </c>
      <c r="H205" s="58">
        <v>350</v>
      </c>
      <c r="I205" s="17">
        <v>350</v>
      </c>
      <c r="J205" s="17">
        <v>350</v>
      </c>
      <c r="K205" s="18">
        <v>641.2</v>
      </c>
      <c r="L205" s="20">
        <f>K205*100/F205</f>
        <v>91.60000000000001</v>
      </c>
      <c r="M205" s="18">
        <f t="shared" si="95"/>
        <v>45.800000000000004</v>
      </c>
      <c r="N205" s="18">
        <f t="shared" si="96"/>
        <v>45.800000000000004</v>
      </c>
      <c r="R205" s="2"/>
    </row>
    <row r="206" spans="1:14" ht="24" customHeight="1">
      <c r="A206" s="35" t="s">
        <v>73</v>
      </c>
      <c r="B206" s="12"/>
      <c r="C206" s="28" t="s">
        <v>72</v>
      </c>
      <c r="D206" s="59">
        <v>3835.8</v>
      </c>
      <c r="E206" s="58">
        <f>G206+H206+I206+J206</f>
        <v>3835.8</v>
      </c>
      <c r="F206" s="45">
        <f t="shared" si="97"/>
        <v>1917.8</v>
      </c>
      <c r="G206" s="58">
        <v>958.9</v>
      </c>
      <c r="H206" s="58">
        <v>958.9</v>
      </c>
      <c r="I206" s="17">
        <v>959</v>
      </c>
      <c r="J206" s="17">
        <v>959</v>
      </c>
      <c r="K206" s="18">
        <v>2248.5</v>
      </c>
      <c r="L206" s="20">
        <f>K206*100/F206</f>
        <v>117.2437167587861</v>
      </c>
      <c r="M206" s="18">
        <f t="shared" si="95"/>
        <v>58.61880181448459</v>
      </c>
      <c r="N206" s="18">
        <f t="shared" si="96"/>
        <v>58.61880181448459</v>
      </c>
    </row>
    <row r="207" spans="1:14" ht="12.75">
      <c r="A207" s="35" t="s">
        <v>8</v>
      </c>
      <c r="B207" s="35" t="s">
        <v>52</v>
      </c>
      <c r="C207" s="28" t="s">
        <v>5</v>
      </c>
      <c r="D207" s="59">
        <v>2</v>
      </c>
      <c r="E207" s="58">
        <f aca="true" t="shared" si="98" ref="E207:E216">G207+H207+I207+J207</f>
        <v>2</v>
      </c>
      <c r="F207" s="45">
        <f t="shared" si="97"/>
        <v>2</v>
      </c>
      <c r="G207" s="58"/>
      <c r="H207" s="58">
        <v>2</v>
      </c>
      <c r="I207" s="17"/>
      <c r="J207" s="17"/>
      <c r="K207" s="18"/>
      <c r="L207" s="20"/>
      <c r="M207" s="18">
        <f t="shared" si="95"/>
        <v>0</v>
      </c>
      <c r="N207" s="18">
        <f t="shared" si="96"/>
        <v>0</v>
      </c>
    </row>
    <row r="208" spans="1:14" ht="12.75">
      <c r="A208" s="35" t="s">
        <v>9</v>
      </c>
      <c r="B208" s="12"/>
      <c r="C208" s="28" t="s">
        <v>6</v>
      </c>
      <c r="D208" s="59">
        <v>271</v>
      </c>
      <c r="E208" s="58">
        <f t="shared" si="98"/>
        <v>271</v>
      </c>
      <c r="F208" s="45">
        <f t="shared" si="97"/>
        <v>45.5</v>
      </c>
      <c r="G208" s="58">
        <v>17</v>
      </c>
      <c r="H208" s="58">
        <v>28.5</v>
      </c>
      <c r="I208" s="17">
        <v>79.5</v>
      </c>
      <c r="J208" s="17">
        <v>146</v>
      </c>
      <c r="K208" s="18">
        <v>80.4</v>
      </c>
      <c r="L208" s="20">
        <f>K208*100/F208</f>
        <v>176.70329670329673</v>
      </c>
      <c r="M208" s="18">
        <f t="shared" si="95"/>
        <v>29.667896678966795</v>
      </c>
      <c r="N208" s="18">
        <f t="shared" si="96"/>
        <v>29.667896678966795</v>
      </c>
    </row>
    <row r="209" spans="1:14" ht="12.75">
      <c r="A209" s="35" t="s">
        <v>10</v>
      </c>
      <c r="B209" s="12"/>
      <c r="C209" s="28" t="s">
        <v>21</v>
      </c>
      <c r="D209" s="59">
        <v>19</v>
      </c>
      <c r="E209" s="58">
        <f t="shared" si="98"/>
        <v>19</v>
      </c>
      <c r="F209" s="45">
        <f t="shared" si="97"/>
        <v>4.7</v>
      </c>
      <c r="G209" s="58">
        <v>1.7</v>
      </c>
      <c r="H209" s="58">
        <v>3</v>
      </c>
      <c r="I209" s="17">
        <v>4</v>
      </c>
      <c r="J209" s="17">
        <v>10.3</v>
      </c>
      <c r="K209" s="18">
        <v>5</v>
      </c>
      <c r="L209" s="20">
        <f>K209*100/F209</f>
        <v>106.38297872340425</v>
      </c>
      <c r="M209" s="18">
        <f t="shared" si="95"/>
        <v>26.31578947368421</v>
      </c>
      <c r="N209" s="18">
        <f t="shared" si="96"/>
        <v>26.31578947368421</v>
      </c>
    </row>
    <row r="210" spans="1:14" ht="22.5">
      <c r="A210" s="39" t="s">
        <v>11</v>
      </c>
      <c r="B210" s="13"/>
      <c r="C210" s="28" t="s">
        <v>17</v>
      </c>
      <c r="D210" s="59">
        <v>143.3</v>
      </c>
      <c r="E210" s="58">
        <f t="shared" si="98"/>
        <v>254</v>
      </c>
      <c r="F210" s="45">
        <f t="shared" si="97"/>
        <v>100.4</v>
      </c>
      <c r="G210" s="58">
        <v>47.9</v>
      </c>
      <c r="H210" s="58">
        <v>52.5</v>
      </c>
      <c r="I210" s="17">
        <v>76.8</v>
      </c>
      <c r="J210" s="17">
        <v>76.8</v>
      </c>
      <c r="K210" s="18">
        <v>145.5</v>
      </c>
      <c r="L210" s="20">
        <f>K210*100/F210</f>
        <v>144.9203187250996</v>
      </c>
      <c r="M210" s="18">
        <f t="shared" si="95"/>
        <v>57.28346456692913</v>
      </c>
      <c r="N210" s="18">
        <f t="shared" si="96"/>
        <v>101.53524075366363</v>
      </c>
    </row>
    <row r="211" spans="1:14" ht="22.5" hidden="1">
      <c r="A211" s="40" t="s">
        <v>18</v>
      </c>
      <c r="B211" s="29"/>
      <c r="C211" s="28" t="s">
        <v>15</v>
      </c>
      <c r="D211" s="59"/>
      <c r="E211" s="58">
        <f t="shared" si="98"/>
        <v>0</v>
      </c>
      <c r="F211" s="45">
        <f t="shared" si="97"/>
        <v>0</v>
      </c>
      <c r="G211" s="58"/>
      <c r="H211" s="58"/>
      <c r="I211" s="17"/>
      <c r="J211" s="17"/>
      <c r="K211" s="18"/>
      <c r="L211" s="20" t="e">
        <f>K211*100/F211</f>
        <v>#DIV/0!</v>
      </c>
      <c r="M211" s="18" t="e">
        <f aca="true" t="shared" si="99" ref="M211:M217">K211*100/E211</f>
        <v>#DIV/0!</v>
      </c>
      <c r="N211" s="18" t="e">
        <f t="shared" si="96"/>
        <v>#DIV/0!</v>
      </c>
    </row>
    <row r="212" spans="1:14" ht="16.5" customHeight="1">
      <c r="A212" s="40" t="s">
        <v>12</v>
      </c>
      <c r="B212" s="60"/>
      <c r="C212" s="28" t="s">
        <v>7</v>
      </c>
      <c r="D212" s="59"/>
      <c r="E212" s="58">
        <f t="shared" si="98"/>
        <v>0</v>
      </c>
      <c r="F212" s="45">
        <f t="shared" si="97"/>
        <v>0</v>
      </c>
      <c r="G212" s="58"/>
      <c r="H212" s="58"/>
      <c r="I212" s="17"/>
      <c r="J212" s="17"/>
      <c r="K212" s="18"/>
      <c r="L212" s="20"/>
      <c r="M212" s="18"/>
      <c r="N212" s="18"/>
    </row>
    <row r="213" spans="1:14" ht="13.5" customHeight="1">
      <c r="A213" s="84" t="s">
        <v>37</v>
      </c>
      <c r="B213" s="61"/>
      <c r="C213" s="16" t="s">
        <v>38</v>
      </c>
      <c r="D213" s="59"/>
      <c r="E213" s="58">
        <f t="shared" si="98"/>
        <v>72.5</v>
      </c>
      <c r="F213" s="45">
        <f t="shared" si="97"/>
        <v>72.5</v>
      </c>
      <c r="G213" s="58"/>
      <c r="H213" s="58">
        <v>72.5</v>
      </c>
      <c r="I213" s="17"/>
      <c r="J213" s="17"/>
      <c r="K213" s="18"/>
      <c r="L213" s="20"/>
      <c r="M213" s="18"/>
      <c r="N213" s="18"/>
    </row>
    <row r="214" spans="1:14" ht="12.75">
      <c r="A214" s="36" t="s">
        <v>1</v>
      </c>
      <c r="B214" s="25"/>
      <c r="C214" s="31" t="s">
        <v>0</v>
      </c>
      <c r="D214" s="32">
        <f aca="true" t="shared" si="100" ref="D214:J214">D215</f>
        <v>23464.5</v>
      </c>
      <c r="E214" s="32">
        <f>E215+E216</f>
        <v>39203.200000000004</v>
      </c>
      <c r="F214" s="32">
        <f t="shared" si="100"/>
        <v>27439.5</v>
      </c>
      <c r="G214" s="32">
        <f t="shared" si="100"/>
        <v>3949.2</v>
      </c>
      <c r="H214" s="32">
        <f t="shared" si="100"/>
        <v>23490.3</v>
      </c>
      <c r="I214" s="32">
        <f t="shared" si="100"/>
        <v>5908.9</v>
      </c>
      <c r="J214" s="32">
        <f t="shared" si="100"/>
        <v>5854.8</v>
      </c>
      <c r="K214" s="32">
        <f>K215+K216</f>
        <v>12477.4</v>
      </c>
      <c r="L214" s="27">
        <f>K214*100/F214</f>
        <v>45.47240292279378</v>
      </c>
      <c r="M214" s="24">
        <f t="shared" si="99"/>
        <v>31.82750387723451</v>
      </c>
      <c r="N214" s="24">
        <f>K214*100/D214</f>
        <v>53.17564831980226</v>
      </c>
    </row>
    <row r="215" spans="1:14" ht="22.5">
      <c r="A215" s="83" t="s">
        <v>63</v>
      </c>
      <c r="B215" s="12"/>
      <c r="C215" s="33" t="s">
        <v>20</v>
      </c>
      <c r="D215" s="58">
        <v>23464.5</v>
      </c>
      <c r="E215" s="58">
        <f t="shared" si="98"/>
        <v>39203.200000000004</v>
      </c>
      <c r="F215" s="45">
        <f t="shared" si="97"/>
        <v>27439.5</v>
      </c>
      <c r="G215" s="58">
        <v>3949.2</v>
      </c>
      <c r="H215" s="58">
        <v>23490.3</v>
      </c>
      <c r="I215" s="17">
        <v>5908.9</v>
      </c>
      <c r="J215" s="17">
        <v>5854.8</v>
      </c>
      <c r="K215" s="18">
        <v>12477.4</v>
      </c>
      <c r="L215" s="20">
        <f>K215*100/F215</f>
        <v>45.47240292279378</v>
      </c>
      <c r="M215" s="18">
        <f t="shared" si="99"/>
        <v>31.82750387723451</v>
      </c>
      <c r="N215" s="18">
        <f>K215*100/D215</f>
        <v>53.17564831980226</v>
      </c>
    </row>
    <row r="216" spans="1:14" ht="16.5" customHeight="1" hidden="1">
      <c r="A216" s="81" t="s">
        <v>71</v>
      </c>
      <c r="B216" s="14"/>
      <c r="C216" s="34" t="s">
        <v>19</v>
      </c>
      <c r="D216" s="58"/>
      <c r="E216" s="58">
        <f t="shared" si="98"/>
        <v>0</v>
      </c>
      <c r="F216" s="45">
        <f>G216</f>
        <v>0</v>
      </c>
      <c r="G216" s="58"/>
      <c r="H216" s="58"/>
      <c r="I216" s="17"/>
      <c r="J216" s="17"/>
      <c r="K216" s="18"/>
      <c r="L216" s="20" t="e">
        <f>K216*100/F216</f>
        <v>#DIV/0!</v>
      </c>
      <c r="M216" s="18" t="e">
        <f t="shared" si="99"/>
        <v>#DIV/0!</v>
      </c>
      <c r="N216" s="18"/>
    </row>
    <row r="217" spans="1:14" ht="12.75">
      <c r="A217" s="21"/>
      <c r="B217" s="22"/>
      <c r="C217" s="23" t="s">
        <v>4</v>
      </c>
      <c r="D217" s="24">
        <f aca="true" t="shared" si="101" ref="D217:J217">D214+D204</f>
        <v>29135.6</v>
      </c>
      <c r="E217" s="24">
        <f t="shared" si="101"/>
        <v>45057.50000000001</v>
      </c>
      <c r="F217" s="24">
        <f t="shared" si="101"/>
        <v>30282.4</v>
      </c>
      <c r="G217" s="62">
        <f t="shared" si="101"/>
        <v>5324.7</v>
      </c>
      <c r="H217" s="62">
        <f t="shared" si="101"/>
        <v>24957.7</v>
      </c>
      <c r="I217" s="62">
        <f t="shared" si="101"/>
        <v>7378.2</v>
      </c>
      <c r="J217" s="62">
        <f t="shared" si="101"/>
        <v>7396.9</v>
      </c>
      <c r="K217" s="24">
        <f>K214+K204</f>
        <v>15598</v>
      </c>
      <c r="L217" s="27">
        <f>K217*100/F217</f>
        <v>51.5084669643093</v>
      </c>
      <c r="M217" s="24">
        <f t="shared" si="99"/>
        <v>34.61798812628308</v>
      </c>
      <c r="N217" s="24">
        <f>K217*100/D217</f>
        <v>53.53588050357639</v>
      </c>
    </row>
    <row r="218" spans="1:14" ht="12.75">
      <c r="A218" s="85"/>
      <c r="B218" s="86"/>
      <c r="C218" s="86"/>
      <c r="D218" s="86"/>
      <c r="E218" s="86"/>
      <c r="F218" s="86"/>
      <c r="G218" s="86"/>
      <c r="H218" s="86"/>
      <c r="I218" s="86"/>
      <c r="J218" s="86"/>
      <c r="K218" s="86"/>
      <c r="L218" s="27"/>
      <c r="M218" s="24"/>
      <c r="N218" s="18"/>
    </row>
    <row r="219" spans="1:14" ht="12.75">
      <c r="A219" s="91" t="s">
        <v>34</v>
      </c>
      <c r="B219" s="92"/>
      <c r="C219" s="92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</row>
    <row r="220" spans="1:14" ht="12.75">
      <c r="A220" s="36" t="s">
        <v>3</v>
      </c>
      <c r="B220" s="36"/>
      <c r="C220" s="26" t="s">
        <v>64</v>
      </c>
      <c r="D220" s="27">
        <f aca="true" t="shared" si="102" ref="D220:J220">D221+D223+D224+D225+D227+D228+D230+D232+D229+D226+D233+D231+D222</f>
        <v>1018265.9000000001</v>
      </c>
      <c r="E220" s="27">
        <f t="shared" si="102"/>
        <v>1057591.8</v>
      </c>
      <c r="F220" s="27">
        <f t="shared" si="102"/>
        <v>559562.5000000001</v>
      </c>
      <c r="G220" s="27">
        <f t="shared" si="102"/>
        <v>272028.9</v>
      </c>
      <c r="H220" s="27">
        <f t="shared" si="102"/>
        <v>287533.6</v>
      </c>
      <c r="I220" s="27">
        <f t="shared" si="102"/>
        <v>234171.80000000005</v>
      </c>
      <c r="J220" s="27">
        <f t="shared" si="102"/>
        <v>263857.49999999994</v>
      </c>
      <c r="K220" s="27">
        <f>K221+K223+K224+K225+K227+K228+K230+K232+K229+K226+K233+K231+K222</f>
        <v>590279.6000000001</v>
      </c>
      <c r="L220" s="27">
        <f aca="true" t="shared" si="103" ref="L220:L225">K220*100/F220</f>
        <v>105.48948508879704</v>
      </c>
      <c r="M220" s="24">
        <f aca="true" t="shared" si="104" ref="M220:M225">K220*100/E220</f>
        <v>55.81355679951377</v>
      </c>
      <c r="N220" s="24">
        <f aca="true" t="shared" si="105" ref="N220:N233">K220*100/D220</f>
        <v>57.96910217655329</v>
      </c>
    </row>
    <row r="221" spans="1:14" ht="12.75">
      <c r="A221" s="35" t="s">
        <v>74</v>
      </c>
      <c r="B221" s="12"/>
      <c r="C221" s="54" t="s">
        <v>75</v>
      </c>
      <c r="D221" s="18">
        <f>D9+D32+D48+D66+D83+D101+D117+D135+D153+D171+D188+D205</f>
        <v>723175.5</v>
      </c>
      <c r="E221" s="58">
        <f>G221+H221+I221+J221</f>
        <v>735484.2</v>
      </c>
      <c r="F221" s="45">
        <f aca="true" t="shared" si="106" ref="F221:F239">G221+H221</f>
        <v>389741.6</v>
      </c>
      <c r="G221" s="18">
        <f>G9+G32+G48+G66+G83+G101+G117+G135+G153+G171+G188+G205</f>
        <v>192768.9</v>
      </c>
      <c r="H221" s="18">
        <f>H9+H32+H48+H66+H83+H101+H117+H135+H153+H171+H188+H205</f>
        <v>196972.69999999998</v>
      </c>
      <c r="I221" s="18">
        <f>I9+I32+I48+I66+I83+I101+I117+I135+I153+I171+I188+I205</f>
        <v>167535.80000000002</v>
      </c>
      <c r="J221" s="18">
        <f>J9+J32+J48+J66+J83+J101+J117+J135+J153+J171+J188+J205</f>
        <v>178206.8</v>
      </c>
      <c r="K221" s="18">
        <f>K9+K32+K48+K66+K83+K101+K117+K135+K153+K171+K188+K205-0.1</f>
        <v>401316.6000000001</v>
      </c>
      <c r="L221" s="20">
        <f t="shared" si="103"/>
        <v>102.96991647799467</v>
      </c>
      <c r="M221" s="18">
        <f t="shared" si="104"/>
        <v>54.56495190515311</v>
      </c>
      <c r="N221" s="18">
        <f t="shared" si="105"/>
        <v>55.493666475150235</v>
      </c>
    </row>
    <row r="222" spans="1:14" ht="22.5">
      <c r="A222" s="35" t="s">
        <v>73</v>
      </c>
      <c r="B222" s="12"/>
      <c r="C222" s="28" t="s">
        <v>72</v>
      </c>
      <c r="D222" s="18">
        <f>D10+D33+D49+D67+D84+D102+D119+D136+D154+D172+D189+D206</f>
        <v>53068</v>
      </c>
      <c r="E222" s="58">
        <f aca="true" t="shared" si="107" ref="E222:E235">G222+H222+I222+J222</f>
        <v>54964.59999999999</v>
      </c>
      <c r="F222" s="45">
        <f t="shared" si="106"/>
        <v>28612.399999999998</v>
      </c>
      <c r="G222" s="18">
        <f>G10+G33+G49+G67+G84+G102+G119+G136+G154+G172+G189+G206</f>
        <v>14669.999999999998</v>
      </c>
      <c r="H222" s="18">
        <f>H10+H33+H49+H67+H84+H102+H119+H136+H154+H172+H189+H206</f>
        <v>13942.4</v>
      </c>
      <c r="I222" s="18">
        <f>I10+I33+I49+I67+I84+I102+I119+I136+I154+I172+I189+I206</f>
        <v>13452.399999999998</v>
      </c>
      <c r="J222" s="18">
        <f>J10+J33+J49+J67+J84+J102+J119+J136+J154+J172+J189+J206</f>
        <v>12899.799999999997</v>
      </c>
      <c r="K222" s="18">
        <f>K10+K33+K49+K67+K84+K102+K119+K136+K154+K172+K189+K206</f>
        <v>31107.400000000005</v>
      </c>
      <c r="L222" s="20">
        <f t="shared" si="103"/>
        <v>108.71999552641515</v>
      </c>
      <c r="M222" s="18">
        <f t="shared" si="104"/>
        <v>56.59533590711114</v>
      </c>
      <c r="N222" s="18">
        <f t="shared" si="105"/>
        <v>58.61799954775007</v>
      </c>
    </row>
    <row r="223" spans="1:14" ht="12.75">
      <c r="A223" s="35" t="s">
        <v>8</v>
      </c>
      <c r="B223" s="35" t="s">
        <v>52</v>
      </c>
      <c r="C223" s="28" t="s">
        <v>5</v>
      </c>
      <c r="D223" s="18">
        <f>D11+D50+D68+D207+D155+D118+D190+D85+D103+D173+D120</f>
        <v>53414.5</v>
      </c>
      <c r="E223" s="58">
        <f>G223+H223+I223+J223</f>
        <v>54896.9</v>
      </c>
      <c r="F223" s="45">
        <f t="shared" si="106"/>
        <v>40206.9</v>
      </c>
      <c r="G223" s="18">
        <f>G11+G50+G68+G207+G155+G190+G85+G103+G173+G120</f>
        <v>13497.7</v>
      </c>
      <c r="H223" s="18">
        <f>H11+H50+H68+H207+H155+H190+H85+H103+H173+H120</f>
        <v>26709.2</v>
      </c>
      <c r="I223" s="18">
        <f>I11+I50+I68+I207+I155+I190+I85+I103+I173+I120</f>
        <v>7294.2</v>
      </c>
      <c r="J223" s="18">
        <f>J11+J50+J68+J207+J155+J190+J85+J103+J173+J120</f>
        <v>7395.8</v>
      </c>
      <c r="K223" s="18">
        <f>K11+K50+K68+K207+K155+K118+K190+K85+K103+K173+K120</f>
        <v>50070.799999999996</v>
      </c>
      <c r="L223" s="20">
        <f t="shared" si="103"/>
        <v>124.5328538136489</v>
      </c>
      <c r="M223" s="18">
        <f t="shared" si="104"/>
        <v>91.20879321054558</v>
      </c>
      <c r="N223" s="18">
        <f t="shared" si="105"/>
        <v>93.74008930159414</v>
      </c>
    </row>
    <row r="224" spans="1:14" ht="12.75">
      <c r="A224" s="35" t="s">
        <v>9</v>
      </c>
      <c r="B224" s="35" t="s">
        <v>53</v>
      </c>
      <c r="C224" s="28" t="s">
        <v>6</v>
      </c>
      <c r="D224" s="18">
        <f>D12+D34+D51+D69+D86+D104+D121+D137+D156+D174+D191+D208</f>
        <v>30805</v>
      </c>
      <c r="E224" s="58">
        <f t="shared" si="107"/>
        <v>33605</v>
      </c>
      <c r="F224" s="45">
        <f t="shared" si="106"/>
        <v>10553.7</v>
      </c>
      <c r="G224" s="18">
        <f>G12+G34+G51+G69+G86+G104+G121+G137+G156+G174+G191+G208</f>
        <v>7423.3</v>
      </c>
      <c r="H224" s="18">
        <f>H12+H34+H51+H69+H86+H104+H121+H137+H156+H174+H191+H208</f>
        <v>3130.3999999999996</v>
      </c>
      <c r="I224" s="18">
        <f>I12+I34+I51+I69+I86+I104+I121+I137+I156+I174+I191+I208</f>
        <v>5959</v>
      </c>
      <c r="J224" s="18">
        <f>J12+J34+J51+J69+J86+J104+J121+J137+J156+J174+J191+J208</f>
        <v>17092.3</v>
      </c>
      <c r="K224" s="18">
        <f>K12+K34+K51+K69+K86+K104+K121+K137+K156+K174+K191+K208</f>
        <v>12724.699999999999</v>
      </c>
      <c r="L224" s="20">
        <f t="shared" si="103"/>
        <v>120.57098458360574</v>
      </c>
      <c r="M224" s="18">
        <f t="shared" si="104"/>
        <v>37.86549620592174</v>
      </c>
      <c r="N224" s="18">
        <f t="shared" si="105"/>
        <v>41.30725531569551</v>
      </c>
    </row>
    <row r="225" spans="1:14" ht="12.75">
      <c r="A225" s="35" t="s">
        <v>10</v>
      </c>
      <c r="B225" s="35" t="s">
        <v>47</v>
      </c>
      <c r="C225" s="28" t="s">
        <v>21</v>
      </c>
      <c r="D225" s="18">
        <f>D13+D35+D52+D70+D87+D105+D122+D138+D157+D175+D192+D209</f>
        <v>4147.8</v>
      </c>
      <c r="E225" s="58">
        <f t="shared" si="107"/>
        <v>4350.8</v>
      </c>
      <c r="F225" s="45">
        <f t="shared" si="106"/>
        <v>2563.5</v>
      </c>
      <c r="G225" s="18">
        <f>G13+G35+G70+G87+G105+G122+G138+G157+G175+G192+G209+G52</f>
        <v>1265.2</v>
      </c>
      <c r="H225" s="18">
        <f>H13+H35+H70+H87+H105+H122+H138+H157+H175+H192+H209+H52</f>
        <v>1298.3000000000002</v>
      </c>
      <c r="I225" s="18">
        <f>I13+I35+I70+I87+I105+I122+I138+I157+I175+I192+I209+I52</f>
        <v>1083.0000000000002</v>
      </c>
      <c r="J225" s="18">
        <f>J13+J35+J70+J87+J105+J122+J138+J157+J175+J192+J209+J52</f>
        <v>704.3</v>
      </c>
      <c r="K225" s="18">
        <f>K13+K35+K70+K87+K105+K122+K138+K157+K175+K192+K209+K52-0.1</f>
        <v>2591.4</v>
      </c>
      <c r="L225" s="20">
        <f t="shared" si="103"/>
        <v>101.08835576360444</v>
      </c>
      <c r="M225" s="18">
        <f t="shared" si="104"/>
        <v>59.56145996138641</v>
      </c>
      <c r="N225" s="18">
        <f t="shared" si="105"/>
        <v>62.476493562852596</v>
      </c>
    </row>
    <row r="226" spans="1:14" ht="22.5" hidden="1">
      <c r="A226" s="35" t="s">
        <v>35</v>
      </c>
      <c r="B226" s="35" t="s">
        <v>54</v>
      </c>
      <c r="C226" s="28" t="s">
        <v>36</v>
      </c>
      <c r="D226" s="38">
        <f>D14</f>
        <v>0</v>
      </c>
      <c r="E226" s="58">
        <f t="shared" si="107"/>
        <v>0</v>
      </c>
      <c r="F226" s="45">
        <f t="shared" si="106"/>
        <v>0</v>
      </c>
      <c r="G226" s="38">
        <f>G14</f>
        <v>0</v>
      </c>
      <c r="H226" s="38">
        <f>H14</f>
        <v>0</v>
      </c>
      <c r="I226" s="38">
        <f>I14</f>
        <v>0</v>
      </c>
      <c r="J226" s="38">
        <f>J14</f>
        <v>0</v>
      </c>
      <c r="K226" s="38">
        <f>K14</f>
        <v>0</v>
      </c>
      <c r="L226" s="20"/>
      <c r="M226" s="18"/>
      <c r="N226" s="18" t="e">
        <f t="shared" si="105"/>
        <v>#DIV/0!</v>
      </c>
    </row>
    <row r="227" spans="1:14" ht="22.5">
      <c r="A227" s="39" t="s">
        <v>11</v>
      </c>
      <c r="B227" s="39" t="s">
        <v>46</v>
      </c>
      <c r="C227" s="28" t="s">
        <v>17</v>
      </c>
      <c r="D227" s="18">
        <f>D15+D36+D53+D71+D88+D106+D123+D139+D158+D176+D193+D210</f>
        <v>121510.4</v>
      </c>
      <c r="E227" s="58">
        <f t="shared" si="107"/>
        <v>129100.50000000003</v>
      </c>
      <c r="F227" s="45">
        <f t="shared" si="106"/>
        <v>64179.70000000001</v>
      </c>
      <c r="G227" s="18">
        <f>G15+G36+G53+G71+G88+G106+G123+G139+G158+G176+G193+G210</f>
        <v>28459.600000000002</v>
      </c>
      <c r="H227" s="18">
        <f>H15+H36+H53+H71+H88+H106+H123+H139+H158+H176+H193+H210</f>
        <v>35720.100000000006</v>
      </c>
      <c r="I227" s="18">
        <f>I15+I36+I53+I71+I88+I106+I123+I139+I158+I176+I193+I210</f>
        <v>28914.1</v>
      </c>
      <c r="J227" s="18">
        <f>J15+J36+J53+J71+J88+J106+J123+J139+J158+J176+J193+J210</f>
        <v>36006.700000000004</v>
      </c>
      <c r="K227" s="18">
        <f>K15+K36+K53+K71+K88+K106+K123+K139+K158+K176+K193+K210+0.1</f>
        <v>64425.1</v>
      </c>
      <c r="L227" s="20">
        <f aca="true" t="shared" si="108" ref="L227:L232">K227*100/F227</f>
        <v>100.3823638938792</v>
      </c>
      <c r="M227" s="18">
        <f aca="true" t="shared" si="109" ref="M227:M232">K227*100/E227</f>
        <v>49.90306001913237</v>
      </c>
      <c r="N227" s="18">
        <f t="shared" si="105"/>
        <v>53.02023530496155</v>
      </c>
    </row>
    <row r="228" spans="1:14" ht="12.75">
      <c r="A228" s="40" t="s">
        <v>14</v>
      </c>
      <c r="B228" s="40" t="s">
        <v>45</v>
      </c>
      <c r="C228" s="28" t="s">
        <v>13</v>
      </c>
      <c r="D228" s="18">
        <f>D16</f>
        <v>18177.1</v>
      </c>
      <c r="E228" s="58">
        <f t="shared" si="107"/>
        <v>18177.1</v>
      </c>
      <c r="F228" s="45">
        <f t="shared" si="106"/>
        <v>7087</v>
      </c>
      <c r="G228" s="18">
        <f>G16</f>
        <v>4412.7</v>
      </c>
      <c r="H228" s="18">
        <f>H16</f>
        <v>2674.3</v>
      </c>
      <c r="I228" s="18">
        <f>I16</f>
        <v>5484.3</v>
      </c>
      <c r="J228" s="18">
        <f>J16</f>
        <v>5605.8</v>
      </c>
      <c r="K228" s="18">
        <f>K16</f>
        <v>7902.1</v>
      </c>
      <c r="L228" s="20">
        <f t="shared" si="108"/>
        <v>111.50134048257372</v>
      </c>
      <c r="M228" s="18">
        <f t="shared" si="109"/>
        <v>43.47283119969632</v>
      </c>
      <c r="N228" s="18">
        <f t="shared" si="105"/>
        <v>43.47283119969632</v>
      </c>
    </row>
    <row r="229" spans="1:14" ht="22.5">
      <c r="A229" s="41" t="s">
        <v>40</v>
      </c>
      <c r="B229" s="41" t="s">
        <v>55</v>
      </c>
      <c r="C229" s="28" t="s">
        <v>41</v>
      </c>
      <c r="D229" s="42">
        <f>D17+D89+D54+D107+D140+D159+D177+D194+D124+D72+D37</f>
        <v>809.8</v>
      </c>
      <c r="E229" s="58">
        <f>G229+H229+I229+J229</f>
        <v>2119.5</v>
      </c>
      <c r="F229" s="45">
        <f t="shared" si="106"/>
        <v>941.8000000000001</v>
      </c>
      <c r="G229" s="42">
        <f>G17+G89+G54+G107+G140+G159+G177+G194+G124+G72+G37</f>
        <v>1799.5</v>
      </c>
      <c r="H229" s="42">
        <f>H17+H89+H54+H107+H140+H159+H177+H194+H124+H72+H37</f>
        <v>-857.6999999999999</v>
      </c>
      <c r="I229" s="42">
        <f>I17+I89+I54+I107+I140+I159+I177+I194+I124+I72+I37</f>
        <v>923.6999999999999</v>
      </c>
      <c r="J229" s="42">
        <f>J17+J89+J54+J107+J140+J159+J177+J194+J124+J72+J37</f>
        <v>254</v>
      </c>
      <c r="K229" s="42">
        <f>K17+K89+K54+K107+K140+K159+K177+K194+K124+K72+K37</f>
        <v>1439.9</v>
      </c>
      <c r="L229" s="20">
        <f t="shared" si="108"/>
        <v>152.88808664259926</v>
      </c>
      <c r="M229" s="18">
        <f t="shared" si="109"/>
        <v>67.93583392309507</v>
      </c>
      <c r="N229" s="18">
        <f t="shared" si="105"/>
        <v>177.80933563842925</v>
      </c>
    </row>
    <row r="230" spans="1:14" ht="22.5">
      <c r="A230" s="41" t="s">
        <v>18</v>
      </c>
      <c r="B230" s="41" t="s">
        <v>51</v>
      </c>
      <c r="C230" s="28" t="s">
        <v>15</v>
      </c>
      <c r="D230" s="18">
        <f>D18+D38+D55+D73+D90+D125+D160+D178+D195+D211+D141</f>
        <v>9073</v>
      </c>
      <c r="E230" s="58">
        <f>G230+H230+I230+J230</f>
        <v>16841.2</v>
      </c>
      <c r="F230" s="45">
        <f t="shared" si="106"/>
        <v>8107</v>
      </c>
      <c r="G230" s="18">
        <f>G18+G38+G55+G73+G90+G108+G125+G160+G178+G195+G211+G141</f>
        <v>4524.099999999999</v>
      </c>
      <c r="H230" s="18">
        <f>H18+H38+H55+H73+H90+H108+H125+H160+H178+H195+H211+H141</f>
        <v>3582.9</v>
      </c>
      <c r="I230" s="18">
        <f>I18+I38+I55+I73+I90+I108+I125+I160+I178+I195+I211+I141</f>
        <v>3407.6</v>
      </c>
      <c r="J230" s="18">
        <f>J18+J38+J55+J73+J90+J108+J125+J160+J178+J195+J211+J141</f>
        <v>5326.6</v>
      </c>
      <c r="K230" s="18">
        <f>K18+K38+K55+K73+K90+K125+K160+K178+K195+K211+K141</f>
        <v>10197.099999999999</v>
      </c>
      <c r="L230" s="20">
        <f t="shared" si="108"/>
        <v>125.78142346120634</v>
      </c>
      <c r="M230" s="18">
        <f t="shared" si="109"/>
        <v>60.54853573379568</v>
      </c>
      <c r="N230" s="18">
        <f t="shared" si="105"/>
        <v>112.38950732943898</v>
      </c>
    </row>
    <row r="231" spans="1:14" ht="12.75">
      <c r="A231" s="41" t="s">
        <v>57</v>
      </c>
      <c r="B231" s="30"/>
      <c r="C231" s="28" t="s">
        <v>58</v>
      </c>
      <c r="D231" s="18">
        <f>D19</f>
        <v>11</v>
      </c>
      <c r="E231" s="58">
        <f t="shared" si="107"/>
        <v>43</v>
      </c>
      <c r="F231" s="45">
        <f t="shared" si="106"/>
        <v>43</v>
      </c>
      <c r="G231" s="18">
        <f>G19</f>
        <v>16</v>
      </c>
      <c r="H231" s="18">
        <f>H19</f>
        <v>27</v>
      </c>
      <c r="I231" s="18">
        <f>I19</f>
        <v>0</v>
      </c>
      <c r="J231" s="18">
        <f>J19</f>
        <v>0</v>
      </c>
      <c r="K231" s="18">
        <f>K19</f>
        <v>44</v>
      </c>
      <c r="L231" s="20">
        <f t="shared" si="108"/>
        <v>102.32558139534883</v>
      </c>
      <c r="M231" s="18">
        <f t="shared" si="109"/>
        <v>102.32558139534883</v>
      </c>
      <c r="N231" s="18">
        <f t="shared" si="105"/>
        <v>400</v>
      </c>
    </row>
    <row r="232" spans="1:14" ht="12.75">
      <c r="A232" s="37" t="s">
        <v>12</v>
      </c>
      <c r="B232" s="37" t="s">
        <v>48</v>
      </c>
      <c r="C232" s="28" t="s">
        <v>7</v>
      </c>
      <c r="D232" s="18">
        <f>D20+D196+D212+D74+D142+D56+D161+D91+D179+D108</f>
        <v>4028.8</v>
      </c>
      <c r="E232" s="58">
        <f t="shared" si="107"/>
        <v>7242.2</v>
      </c>
      <c r="F232" s="45">
        <f t="shared" si="106"/>
        <v>6759.1</v>
      </c>
      <c r="G232" s="18">
        <f>G20+G196+G212+G74+G142+G56+G161+G91+G179</f>
        <v>3191.9</v>
      </c>
      <c r="H232" s="18">
        <f>H20+H196+H212+H74+H142+H56+H161+H91+H179</f>
        <v>3567.2</v>
      </c>
      <c r="I232" s="18">
        <f>I20+I196+I212+I74+I142+I56+I161+I91+I179</f>
        <v>117.7</v>
      </c>
      <c r="J232" s="18">
        <f>J20+J196+J212+J74+J142+J56+J161+J91+J179</f>
        <v>365.4</v>
      </c>
      <c r="K232" s="18">
        <f>K20+K196+K212+K74+K142+K56+K161+K91+K179+K108+K39+0.1</f>
        <v>7760.799999999999</v>
      </c>
      <c r="L232" s="20">
        <f t="shared" si="108"/>
        <v>114.82002041691939</v>
      </c>
      <c r="M232" s="18">
        <f t="shared" si="109"/>
        <v>107.16080748943689</v>
      </c>
      <c r="N232" s="18">
        <f t="shared" si="105"/>
        <v>192.63304209690227</v>
      </c>
    </row>
    <row r="233" spans="1:14" ht="12.75">
      <c r="A233" s="83" t="s">
        <v>37</v>
      </c>
      <c r="B233" s="43" t="s">
        <v>54</v>
      </c>
      <c r="C233" s="16" t="s">
        <v>38</v>
      </c>
      <c r="D233" s="18">
        <f>D21+D40+D57+D75+D92+D109+D127+D143+D162+D180+D197+D213</f>
        <v>45</v>
      </c>
      <c r="E233" s="58">
        <f t="shared" si="107"/>
        <v>766.8</v>
      </c>
      <c r="F233" s="45">
        <f t="shared" si="106"/>
        <v>766.8</v>
      </c>
      <c r="G233" s="18">
        <v>0</v>
      </c>
      <c r="H233" s="18">
        <f>H21+H40+H57+H75+H92+H109+H127+H143+H162+H180+H197+H213</f>
        <v>766.8</v>
      </c>
      <c r="I233" s="18">
        <f>I21+I40+I57+I75+I92+I109+I127+I143+I162+I180+I197+I213</f>
        <v>0</v>
      </c>
      <c r="J233" s="18">
        <f>J21+J40+J57+J75+J92+J109+J127+J143+J162+J180+J197+J213</f>
        <v>0</v>
      </c>
      <c r="K233" s="18">
        <f>K21+K40+K57+K75+K92+K109+K127+K143+K162+K180+K197+K213+0.1</f>
        <v>699.7</v>
      </c>
      <c r="L233" s="20">
        <f>K233*100/F233</f>
        <v>91.24934793948879</v>
      </c>
      <c r="M233" s="18">
        <f>K233*100/E233</f>
        <v>91.24934793948879</v>
      </c>
      <c r="N233" s="18">
        <f t="shared" si="105"/>
        <v>1554.888888888889</v>
      </c>
    </row>
    <row r="234" spans="1:14" ht="12.75">
      <c r="A234" s="36" t="s">
        <v>1</v>
      </c>
      <c r="B234" s="36"/>
      <c r="C234" s="31" t="s">
        <v>0</v>
      </c>
      <c r="D234" s="32">
        <f>D235+D237+D239+D238+D236</f>
        <v>3665297.5</v>
      </c>
      <c r="E234" s="32">
        <f aca="true" t="shared" si="110" ref="E234:J234">E235+E237+E239+E238+E236</f>
        <v>3617935.5</v>
      </c>
      <c r="F234" s="32">
        <f t="shared" si="110"/>
        <v>1703371.9999999998</v>
      </c>
      <c r="G234" s="32">
        <f t="shared" si="110"/>
        <v>677589.1</v>
      </c>
      <c r="H234" s="32">
        <f t="shared" si="110"/>
        <v>1025782.8999999999</v>
      </c>
      <c r="I234" s="32">
        <f t="shared" si="110"/>
        <v>705125.3</v>
      </c>
      <c r="J234" s="32">
        <f t="shared" si="110"/>
        <v>1209438.2</v>
      </c>
      <c r="K234" s="32">
        <f>K235+K237+K239+K238+K236+0.1</f>
        <v>1658203.8</v>
      </c>
      <c r="L234" s="27">
        <f aca="true" t="shared" si="111" ref="L234:L240">K234*100/F234</f>
        <v>97.34830677033555</v>
      </c>
      <c r="M234" s="24">
        <f aca="true" t="shared" si="112" ref="M234:M240">K234*100/E234</f>
        <v>45.83287347162491</v>
      </c>
      <c r="N234" s="24">
        <f>K234*100/D234</f>
        <v>45.24063326373916</v>
      </c>
    </row>
    <row r="235" spans="1:14" ht="22.5">
      <c r="A235" s="83" t="s">
        <v>63</v>
      </c>
      <c r="B235" s="35" t="s">
        <v>49</v>
      </c>
      <c r="C235" s="33" t="s">
        <v>20</v>
      </c>
      <c r="D235" s="17">
        <f>D23-33523.2</f>
        <v>3665297.5</v>
      </c>
      <c r="E235" s="58">
        <f t="shared" si="107"/>
        <v>3586006.8</v>
      </c>
      <c r="F235" s="45">
        <f t="shared" si="106"/>
        <v>1701043.2999999998</v>
      </c>
      <c r="G235" s="17">
        <f>G23-8380.7</f>
        <v>676502.9</v>
      </c>
      <c r="H235" s="17">
        <f>H23-8420.8</f>
        <v>1024540.3999999999</v>
      </c>
      <c r="I235" s="17">
        <f>I23-8521.1</f>
        <v>700125.3</v>
      </c>
      <c r="J235" s="17">
        <f>J23-8605.5</f>
        <v>1184838.2</v>
      </c>
      <c r="K235" s="17">
        <f>K23-17191.9</f>
        <v>1651354.9000000001</v>
      </c>
      <c r="L235" s="20">
        <f t="shared" si="111"/>
        <v>97.07894560943865</v>
      </c>
      <c r="M235" s="18">
        <f t="shared" si="112"/>
        <v>46.04996566096863</v>
      </c>
      <c r="N235" s="18">
        <f>K235*100/D235</f>
        <v>45.0537753074614</v>
      </c>
    </row>
    <row r="236" spans="1:14" ht="22.5">
      <c r="A236" s="83" t="s">
        <v>80</v>
      </c>
      <c r="B236" s="14"/>
      <c r="C236" s="28" t="s">
        <v>81</v>
      </c>
      <c r="D236" s="18">
        <v>0</v>
      </c>
      <c r="E236" s="58">
        <f>G236+H236+I236+J236</f>
        <v>1018.4</v>
      </c>
      <c r="F236" s="45">
        <f t="shared" si="106"/>
        <v>1018.4</v>
      </c>
      <c r="G236" s="17">
        <f>G200+G130+G24</f>
        <v>165</v>
      </c>
      <c r="H236" s="17">
        <f>H200+H130+H24</f>
        <v>853.4</v>
      </c>
      <c r="I236" s="17">
        <f>I200+I130+I24</f>
        <v>0</v>
      </c>
      <c r="J236" s="17">
        <f>J200+J130+J24</f>
        <v>0</v>
      </c>
      <c r="K236" s="17">
        <f>K200+K130+K24</f>
        <v>1018.4</v>
      </c>
      <c r="L236" s="20">
        <f t="shared" si="111"/>
        <v>100</v>
      </c>
      <c r="M236" s="18">
        <f t="shared" si="112"/>
        <v>100</v>
      </c>
      <c r="N236" s="18"/>
    </row>
    <row r="237" spans="1:14" ht="12.75" customHeight="1">
      <c r="A237" s="83" t="s">
        <v>71</v>
      </c>
      <c r="B237" s="14" t="s">
        <v>50</v>
      </c>
      <c r="C237" s="34" t="s">
        <v>19</v>
      </c>
      <c r="D237" s="18">
        <f>D25+D96+D183+D78</f>
        <v>0</v>
      </c>
      <c r="E237" s="58">
        <f>G237+H237+I237+J237</f>
        <v>37289.1</v>
      </c>
      <c r="F237" s="45">
        <f t="shared" si="106"/>
        <v>7689.1</v>
      </c>
      <c r="G237" s="18">
        <f>G25+G96+G165+G216+G148+G78+G112</f>
        <v>7300</v>
      </c>
      <c r="H237" s="18">
        <f>H25+H96+H165+H216+H148+H78+H112</f>
        <v>389.1</v>
      </c>
      <c r="I237" s="18">
        <f>I25+I96+I165+I216+I148+I78+I112</f>
        <v>5000</v>
      </c>
      <c r="J237" s="18">
        <f>J25+J96+J165+J216+J148+J78+J112</f>
        <v>24600</v>
      </c>
      <c r="K237" s="18">
        <f>K25+K96+K165+K216+K148+K78+K112</f>
        <v>12209.2</v>
      </c>
      <c r="L237" s="20">
        <f t="shared" si="111"/>
        <v>158.78581368430636</v>
      </c>
      <c r="M237" s="18">
        <f t="shared" si="112"/>
        <v>32.74200771807311</v>
      </c>
      <c r="N237" s="18"/>
    </row>
    <row r="238" spans="1:14" ht="63" customHeight="1" hidden="1">
      <c r="A238" s="83" t="s">
        <v>70</v>
      </c>
      <c r="B238" s="15" t="s">
        <v>61</v>
      </c>
      <c r="C238" s="16" t="s">
        <v>61</v>
      </c>
      <c r="D238" s="18"/>
      <c r="E238" s="58">
        <f>470.7-470.7</f>
        <v>0</v>
      </c>
      <c r="F238" s="45">
        <f t="shared" si="106"/>
        <v>0</v>
      </c>
      <c r="G238" s="18">
        <f>-470.7+470.7</f>
        <v>0</v>
      </c>
      <c r="H238" s="18"/>
      <c r="I238" s="18"/>
      <c r="J238" s="18"/>
      <c r="K238" s="18"/>
      <c r="L238" s="20" t="e">
        <f t="shared" si="111"/>
        <v>#DIV/0!</v>
      </c>
      <c r="M238" s="18" t="e">
        <f t="shared" si="112"/>
        <v>#DIV/0!</v>
      </c>
      <c r="N238" s="18"/>
    </row>
    <row r="239" spans="1:14" ht="33.75">
      <c r="A239" s="83" t="s">
        <v>62</v>
      </c>
      <c r="B239" s="15"/>
      <c r="C239" s="19" t="s">
        <v>60</v>
      </c>
      <c r="D239" s="18">
        <f>D27</f>
        <v>0</v>
      </c>
      <c r="E239" s="58">
        <f>G239+H239+I239+J239</f>
        <v>-6378.8</v>
      </c>
      <c r="F239" s="45">
        <f t="shared" si="106"/>
        <v>-6378.8</v>
      </c>
      <c r="G239" s="18">
        <f>G27</f>
        <v>-6378.8</v>
      </c>
      <c r="H239" s="18">
        <f>H27</f>
        <v>0</v>
      </c>
      <c r="I239" s="18">
        <f>I27</f>
        <v>0</v>
      </c>
      <c r="J239" s="18">
        <f>J27</f>
        <v>0</v>
      </c>
      <c r="K239" s="18">
        <f>K27</f>
        <v>-6378.8</v>
      </c>
      <c r="L239" s="20">
        <f t="shared" si="111"/>
        <v>100</v>
      </c>
      <c r="M239" s="18">
        <f t="shared" si="112"/>
        <v>100</v>
      </c>
      <c r="N239" s="18"/>
    </row>
    <row r="240" spans="1:14" ht="12.75">
      <c r="A240" s="21"/>
      <c r="B240" s="22"/>
      <c r="C240" s="23" t="s">
        <v>4</v>
      </c>
      <c r="D240" s="24">
        <f aca="true" t="shared" si="113" ref="D240:J240">D234+D220</f>
        <v>4683563.4</v>
      </c>
      <c r="E240" s="24">
        <f>E234+E220</f>
        <v>4675527.3</v>
      </c>
      <c r="F240" s="24">
        <f t="shared" si="113"/>
        <v>2262934.5</v>
      </c>
      <c r="G240" s="24">
        <f t="shared" si="113"/>
        <v>949618</v>
      </c>
      <c r="H240" s="24">
        <f t="shared" si="113"/>
        <v>1313316.5</v>
      </c>
      <c r="I240" s="24">
        <f t="shared" si="113"/>
        <v>939297.1000000001</v>
      </c>
      <c r="J240" s="24">
        <f t="shared" si="113"/>
        <v>1473295.7</v>
      </c>
      <c r="K240" s="24">
        <f>K234+K220</f>
        <v>2248483.4000000004</v>
      </c>
      <c r="L240" s="27">
        <f t="shared" si="111"/>
        <v>99.36139998749412</v>
      </c>
      <c r="M240" s="24">
        <f t="shared" si="112"/>
        <v>48.09047740989557</v>
      </c>
      <c r="N240" s="24">
        <f>K240*100/D240</f>
        <v>48.007963338341916</v>
      </c>
    </row>
    <row r="241" spans="3:9" ht="12.75">
      <c r="C241" s="8"/>
      <c r="D241" s="8"/>
      <c r="E241" s="8"/>
      <c r="F241" s="8"/>
      <c r="G241" s="8"/>
      <c r="H241" s="8"/>
      <c r="I241" s="2"/>
    </row>
    <row r="242" spans="3:11" ht="12.75">
      <c r="C242" s="9" t="s">
        <v>56</v>
      </c>
      <c r="D242" s="9"/>
      <c r="E242" s="57" t="b">
        <f>P229=E234-E235</f>
        <v>0</v>
      </c>
      <c r="F242" s="9"/>
      <c r="G242" s="9"/>
      <c r="H242" s="9"/>
      <c r="I242" s="3"/>
      <c r="J242" s="3"/>
      <c r="K242" s="5"/>
    </row>
    <row r="243" spans="3:11" ht="12.75" hidden="1">
      <c r="C243" s="9"/>
      <c r="D243" s="9"/>
      <c r="E243" s="9"/>
      <c r="F243" s="9"/>
      <c r="G243" s="9"/>
      <c r="H243" s="9"/>
      <c r="I243" s="3" t="s">
        <v>59</v>
      </c>
      <c r="J243" s="3">
        <f>J242-J220</f>
        <v>-263857.49999999994</v>
      </c>
      <c r="K243" s="4"/>
    </row>
    <row r="244" spans="1:11" ht="12.75" hidden="1">
      <c r="A244" s="2"/>
      <c r="C244" s="9"/>
      <c r="D244" s="9"/>
      <c r="E244" s="9"/>
      <c r="F244" s="9"/>
      <c r="G244" s="9"/>
      <c r="H244" s="9"/>
      <c r="I244" s="6"/>
      <c r="J244" s="3"/>
      <c r="K244" s="5"/>
    </row>
    <row r="245" spans="3:11" ht="12.75" hidden="1">
      <c r="C245" s="10"/>
      <c r="D245" s="10"/>
      <c r="E245" s="10"/>
      <c r="F245" s="10"/>
      <c r="G245" s="10"/>
      <c r="H245" s="10"/>
      <c r="I245" s="3"/>
      <c r="J245" s="3">
        <f>J244-J234</f>
        <v>-1209438.2</v>
      </c>
      <c r="K245" s="5"/>
    </row>
    <row r="246" spans="3:11" ht="12.75" hidden="1">
      <c r="C246" s="10"/>
      <c r="D246" s="10"/>
      <c r="E246" s="10"/>
      <c r="F246" s="10"/>
      <c r="G246" s="10"/>
      <c r="H246" s="10"/>
      <c r="I246" s="6"/>
      <c r="J246" s="3" t="e">
        <f>#REF!+#REF!+#REF!+#REF!+#REF!+#REF!+#REF!+#REF!+#REF!+#REF!</f>
        <v>#REF!</v>
      </c>
      <c r="K246" s="5"/>
    </row>
    <row r="247" spans="1:11" ht="12.75" hidden="1">
      <c r="A247" s="2">
        <f>J220+J234</f>
        <v>1473295.7</v>
      </c>
      <c r="C247" s="11"/>
      <c r="D247" s="11"/>
      <c r="E247" s="11"/>
      <c r="F247" s="11"/>
      <c r="G247" s="11"/>
      <c r="H247" s="11"/>
      <c r="I247" s="6"/>
      <c r="J247" s="3" t="e">
        <f>J246-#REF!</f>
        <v>#REF!</v>
      </c>
      <c r="K247" s="5"/>
    </row>
    <row r="248" spans="1:11" ht="12.75" hidden="1">
      <c r="A248" s="2" t="e">
        <f>#REF!+#REF!</f>
        <v>#REF!</v>
      </c>
      <c r="C248" s="10"/>
      <c r="D248" s="10"/>
      <c r="E248" s="10"/>
      <c r="F248" s="10"/>
      <c r="G248" s="10"/>
      <c r="H248" s="10"/>
      <c r="I248" s="6"/>
      <c r="J248" s="3" t="e">
        <f>J242+J244+J246</f>
        <v>#REF!</v>
      </c>
      <c r="K248" s="5"/>
    </row>
    <row r="249" spans="1:11" ht="12.75" hidden="1">
      <c r="A249" s="2" t="e">
        <f>J220+#REF!</f>
        <v>#REF!</v>
      </c>
      <c r="C249" s="9"/>
      <c r="D249" s="9"/>
      <c r="E249" s="9"/>
      <c r="F249" s="9"/>
      <c r="G249" s="9"/>
      <c r="H249" s="9"/>
      <c r="I249" s="6"/>
      <c r="J249" s="3">
        <f>J28+J44+J62+J79+J97+J113+J131+J149+J167+J184+J201+J217-J214-J198-J181-J163-J144-J128-J110-J94-J76-J41-J58</f>
        <v>1481901.2</v>
      </c>
      <c r="K249" s="5"/>
    </row>
    <row r="250" spans="1:11" ht="12.75" hidden="1">
      <c r="A250" s="2" t="e">
        <f>J234+#REF!</f>
        <v>#REF!</v>
      </c>
      <c r="C250" s="9"/>
      <c r="D250" s="9"/>
      <c r="E250" s="9"/>
      <c r="F250" s="9"/>
      <c r="G250" s="9"/>
      <c r="H250" s="9"/>
      <c r="I250" s="6"/>
      <c r="J250" s="3">
        <f>J249-J240</f>
        <v>8605.5</v>
      </c>
      <c r="K250" s="5"/>
    </row>
    <row r="251" spans="3:11" ht="12.75" hidden="1">
      <c r="C251" s="9"/>
      <c r="D251" s="9"/>
      <c r="E251" s="9"/>
      <c r="F251" s="9"/>
      <c r="G251" s="9"/>
      <c r="H251" s="9"/>
      <c r="I251" s="6"/>
      <c r="J251" s="3"/>
      <c r="K251" s="5"/>
    </row>
    <row r="252" spans="3:11" ht="12.75" hidden="1">
      <c r="C252" s="8"/>
      <c r="D252" s="8"/>
      <c r="E252" s="8"/>
      <c r="F252" s="8"/>
      <c r="G252" s="8"/>
      <c r="H252" s="8"/>
      <c r="I252" s="5"/>
      <c r="J252" s="4"/>
      <c r="K252" s="5"/>
    </row>
    <row r="253" spans="3:11" ht="12.75">
      <c r="C253" s="8"/>
      <c r="D253" s="8"/>
      <c r="E253" s="8"/>
      <c r="F253" s="44"/>
      <c r="G253" s="44"/>
      <c r="H253" s="44"/>
      <c r="I253" s="44"/>
      <c r="J253" s="44"/>
      <c r="K253" s="44"/>
    </row>
    <row r="254" spans="3:11" ht="12.75">
      <c r="C254" s="8"/>
      <c r="D254" s="8"/>
      <c r="E254" s="8"/>
      <c r="F254" s="8"/>
      <c r="G254" s="8"/>
      <c r="H254" s="8"/>
      <c r="I254" s="5"/>
      <c r="J254" s="4"/>
      <c r="K254" s="5"/>
    </row>
    <row r="255" spans="3:11" ht="12.75">
      <c r="C255" s="8"/>
      <c r="D255" s="44"/>
      <c r="E255" s="44"/>
      <c r="F255" s="8"/>
      <c r="G255" s="44"/>
      <c r="H255" s="44"/>
      <c r="I255" s="44"/>
      <c r="J255" s="44"/>
      <c r="K255" s="44"/>
    </row>
    <row r="256" spans="4:11" ht="12.75">
      <c r="D256" s="2"/>
      <c r="E256" s="2"/>
      <c r="F256" s="2"/>
      <c r="G256" s="2"/>
      <c r="H256" s="2"/>
      <c r="I256" s="2"/>
      <c r="J256" s="2"/>
      <c r="K256" s="2"/>
    </row>
    <row r="257" spans="9:11" ht="12.75">
      <c r="I257" s="5"/>
      <c r="J257" s="4"/>
      <c r="K257" s="5"/>
    </row>
    <row r="258" spans="9:11" ht="12.75">
      <c r="I258" s="5"/>
      <c r="J258" s="4"/>
      <c r="K258" s="5"/>
    </row>
    <row r="259" spans="3:11" ht="12.75">
      <c r="C259" s="8"/>
      <c r="D259" s="8"/>
      <c r="E259" s="8"/>
      <c r="F259" s="8"/>
      <c r="G259" s="8"/>
      <c r="H259" s="8"/>
      <c r="I259" s="5"/>
      <c r="J259" s="4"/>
      <c r="K259" s="5"/>
    </row>
    <row r="260" spans="3:11" ht="12.75">
      <c r="C260" s="8"/>
      <c r="D260" s="8"/>
      <c r="E260" s="8"/>
      <c r="F260" s="8"/>
      <c r="G260" s="8"/>
      <c r="H260" s="8"/>
      <c r="I260" s="5"/>
      <c r="J260" s="4"/>
      <c r="K260" s="5"/>
    </row>
    <row r="261" spans="3:11" ht="12.75">
      <c r="C261" s="8"/>
      <c r="D261" s="8"/>
      <c r="E261" s="8"/>
      <c r="F261" s="8"/>
      <c r="G261" s="8"/>
      <c r="H261" s="8"/>
      <c r="I261" s="5"/>
      <c r="J261" s="4"/>
      <c r="K261" s="5"/>
    </row>
    <row r="262" spans="3:11" ht="12.75">
      <c r="C262" s="8"/>
      <c r="D262" s="8"/>
      <c r="E262" s="8"/>
      <c r="F262" s="8"/>
      <c r="G262" s="8"/>
      <c r="H262" s="8"/>
      <c r="I262" s="5"/>
      <c r="J262" s="4"/>
      <c r="K262" s="5"/>
    </row>
    <row r="263" spans="3:11" ht="12.75">
      <c r="C263" s="8"/>
      <c r="D263" s="8"/>
      <c r="E263" s="8"/>
      <c r="F263" s="8"/>
      <c r="G263" s="8"/>
      <c r="H263" s="8"/>
      <c r="I263" s="4"/>
      <c r="J263" s="4"/>
      <c r="K263" s="4"/>
    </row>
    <row r="264" spans="3:11" ht="12.75">
      <c r="C264" s="8"/>
      <c r="D264" s="8"/>
      <c r="E264" s="8"/>
      <c r="F264" s="8"/>
      <c r="G264" s="8"/>
      <c r="H264" s="8"/>
      <c r="I264" s="5"/>
      <c r="J264" s="5"/>
      <c r="K264" s="5"/>
    </row>
    <row r="265" spans="3:11" ht="12.75">
      <c r="C265" s="8"/>
      <c r="D265" s="8"/>
      <c r="E265" s="8"/>
      <c r="F265" s="8"/>
      <c r="G265" s="8"/>
      <c r="H265" s="8"/>
      <c r="I265" s="7"/>
      <c r="J265" s="4"/>
      <c r="K265" s="5"/>
    </row>
  </sheetData>
  <sheetProtection password="CF7A" sheet="1"/>
  <mergeCells count="38">
    <mergeCell ref="A150:K150"/>
    <mergeCell ref="J4:J6"/>
    <mergeCell ref="G4:G6"/>
    <mergeCell ref="A132:K132"/>
    <mergeCell ref="A219:N219"/>
    <mergeCell ref="A203:N203"/>
    <mergeCell ref="A186:N186"/>
    <mergeCell ref="A169:N169"/>
    <mergeCell ref="A151:N151"/>
    <mergeCell ref="A133:N133"/>
    <mergeCell ref="A185:K185"/>
    <mergeCell ref="A29:K29"/>
    <mergeCell ref="A218:K218"/>
    <mergeCell ref="A202:K202"/>
    <mergeCell ref="A168:K168"/>
    <mergeCell ref="K4:K6"/>
    <mergeCell ref="H4:H6"/>
    <mergeCell ref="A115:N115"/>
    <mergeCell ref="A99:N99"/>
    <mergeCell ref="A81:N81"/>
    <mergeCell ref="A1:N1"/>
    <mergeCell ref="M4:M6"/>
    <mergeCell ref="A2:K2"/>
    <mergeCell ref="E4:E6"/>
    <mergeCell ref="I4:I6"/>
    <mergeCell ref="D4:D6"/>
    <mergeCell ref="N4:N6"/>
    <mergeCell ref="F4:F6"/>
    <mergeCell ref="A114:K114"/>
    <mergeCell ref="C45:K45"/>
    <mergeCell ref="L4:L6"/>
    <mergeCell ref="A80:K80"/>
    <mergeCell ref="A46:N46"/>
    <mergeCell ref="A30:N30"/>
    <mergeCell ref="A63:K63"/>
    <mergeCell ref="A98:K98"/>
    <mergeCell ref="A64:N64"/>
    <mergeCell ref="A7:N7"/>
  </mergeCells>
  <printOptions/>
  <pageMargins left="0" right="0" top="0.15748031496062992" bottom="0.15748031496062992" header="0.15748031496062992" footer="0.1968503937007874"/>
  <pageSetup fitToHeight="0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6"/>
  <sheetViews>
    <sheetView tabSelected="1" zoomScale="85" zoomScaleNormal="85" zoomScalePageLayoutView="0" workbookViewId="0" topLeftCell="A1">
      <selection activeCell="T11" sqref="T11"/>
    </sheetView>
  </sheetViews>
  <sheetFormatPr defaultColWidth="9.00390625" defaultRowHeight="12.75"/>
  <cols>
    <col min="1" max="1" width="5.625" style="0" customWidth="1"/>
    <col min="2" max="2" width="55.125" style="0" customWidth="1"/>
    <col min="3" max="3" width="12.75390625" style="0" customWidth="1"/>
    <col min="4" max="4" width="13.125" style="0" customWidth="1"/>
    <col min="5" max="5" width="9.50390625" style="0" customWidth="1"/>
    <col min="6" max="6" width="12.25390625" style="0" customWidth="1"/>
    <col min="7" max="7" width="13.50390625" style="0" customWidth="1"/>
    <col min="9" max="10" width="0" style="0" hidden="1" customWidth="1"/>
    <col min="11" max="11" width="13.50390625" style="0" customWidth="1"/>
    <col min="12" max="12" width="0" style="0" hidden="1" customWidth="1"/>
    <col min="13" max="13" width="0.37109375" style="0" customWidth="1"/>
    <col min="14" max="14" width="13.625" style="0" customWidth="1"/>
  </cols>
  <sheetData>
    <row r="1" spans="1:15" ht="15">
      <c r="A1" s="100" t="s">
        <v>86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15" ht="13.5" thickBot="1">
      <c r="A2" s="101"/>
      <c r="B2" s="102"/>
      <c r="C2" s="103"/>
      <c r="D2" s="104"/>
      <c r="E2" s="105"/>
      <c r="F2" s="106"/>
      <c r="G2" s="106"/>
      <c r="H2" s="107"/>
      <c r="I2" s="107"/>
      <c r="J2" s="107"/>
      <c r="K2" s="108"/>
      <c r="L2" s="107"/>
      <c r="M2" s="108"/>
      <c r="N2" s="109"/>
      <c r="O2" s="108"/>
    </row>
    <row r="3" spans="1:15" ht="13.5">
      <c r="A3" s="110" t="s">
        <v>87</v>
      </c>
      <c r="B3" s="111" t="s">
        <v>88</v>
      </c>
      <c r="C3" s="112" t="s">
        <v>89</v>
      </c>
      <c r="D3" s="112"/>
      <c r="E3" s="112"/>
      <c r="F3" s="113" t="s">
        <v>90</v>
      </c>
      <c r="G3" s="113"/>
      <c r="H3" s="113"/>
      <c r="I3" s="114" t="s">
        <v>91</v>
      </c>
      <c r="J3" s="115"/>
      <c r="K3" s="115"/>
      <c r="L3" s="115"/>
      <c r="M3" s="115"/>
      <c r="N3" s="115"/>
      <c r="O3" s="116"/>
    </row>
    <row r="4" spans="1:15" ht="12.75">
      <c r="A4" s="117"/>
      <c r="B4" s="118"/>
      <c r="C4" s="119" t="s">
        <v>92</v>
      </c>
      <c r="D4" s="119" t="s">
        <v>93</v>
      </c>
      <c r="E4" s="120" t="s">
        <v>94</v>
      </c>
      <c r="F4" s="119" t="s">
        <v>92</v>
      </c>
      <c r="G4" s="119" t="s">
        <v>93</v>
      </c>
      <c r="H4" s="120" t="s">
        <v>94</v>
      </c>
      <c r="I4" s="121" t="s">
        <v>300</v>
      </c>
      <c r="J4" s="121" t="s">
        <v>95</v>
      </c>
      <c r="K4" s="122" t="s">
        <v>92</v>
      </c>
      <c r="L4" s="121" t="s">
        <v>301</v>
      </c>
      <c r="M4" s="121" t="s">
        <v>95</v>
      </c>
      <c r="N4" s="123" t="s">
        <v>96</v>
      </c>
      <c r="O4" s="124" t="s">
        <v>94</v>
      </c>
    </row>
    <row r="5" spans="1:15" ht="38.25" customHeight="1">
      <c r="A5" s="117"/>
      <c r="B5" s="118"/>
      <c r="C5" s="125"/>
      <c r="D5" s="119"/>
      <c r="E5" s="126"/>
      <c r="F5" s="125"/>
      <c r="G5" s="119"/>
      <c r="H5" s="127"/>
      <c r="I5" s="121"/>
      <c r="J5" s="121"/>
      <c r="K5" s="128"/>
      <c r="L5" s="121"/>
      <c r="M5" s="121"/>
      <c r="N5" s="123"/>
      <c r="O5" s="129"/>
    </row>
    <row r="6" spans="1:15" ht="12.75">
      <c r="A6" s="117"/>
      <c r="B6" s="130" t="s">
        <v>97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15" ht="0.75" customHeight="1">
      <c r="A7" s="117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</row>
    <row r="8" spans="1:15" ht="12.75" hidden="1">
      <c r="A8" s="117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</row>
    <row r="9" spans="1:15" ht="13.5">
      <c r="A9" s="131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3"/>
      <c r="M9" s="132"/>
      <c r="N9" s="132"/>
      <c r="O9" s="134"/>
    </row>
    <row r="10" spans="1:15" ht="17.25" customHeight="1">
      <c r="A10" s="135" t="s">
        <v>98</v>
      </c>
      <c r="B10" s="136" t="s">
        <v>99</v>
      </c>
      <c r="C10" s="137">
        <f>SUM(C11:C18)</f>
        <v>452308.80000000005</v>
      </c>
      <c r="D10" s="137">
        <f>SUM(D11:D18)</f>
        <v>166189.2</v>
      </c>
      <c r="E10" s="137">
        <f>D10/C10*100</f>
        <v>36.74242022264435</v>
      </c>
      <c r="F10" s="137">
        <f>F11+F12+F13+F14+F15+F17+F18+F16</f>
        <v>213618</v>
      </c>
      <c r="G10" s="137">
        <f>SUM(G11:G18)</f>
        <v>108344.20000000001</v>
      </c>
      <c r="H10" s="138">
        <f>G10/F10*100</f>
        <v>50.7186660300162</v>
      </c>
      <c r="I10" s="137">
        <f aca="true" t="shared" si="0" ref="I10:N10">SUM(I11:I18)</f>
        <v>665926.8</v>
      </c>
      <c r="J10" s="137">
        <f>SUM(J11:J18)</f>
        <v>8960.3</v>
      </c>
      <c r="K10" s="137">
        <f>SUM(K11:K18)</f>
        <v>656966.5</v>
      </c>
      <c r="L10" s="137">
        <f t="shared" si="0"/>
        <v>274533.4</v>
      </c>
      <c r="M10" s="137">
        <f t="shared" si="0"/>
        <v>3692.3999999999996</v>
      </c>
      <c r="N10" s="137">
        <f t="shared" si="0"/>
        <v>270841</v>
      </c>
      <c r="O10" s="139">
        <f>N10/K10*100</f>
        <v>41.225998585924856</v>
      </c>
    </row>
    <row r="11" spans="1:15" ht="19.5" customHeight="1">
      <c r="A11" s="140" t="s">
        <v>100</v>
      </c>
      <c r="B11" s="141" t="s">
        <v>101</v>
      </c>
      <c r="C11" s="142">
        <v>4865</v>
      </c>
      <c r="D11" s="142">
        <v>2913</v>
      </c>
      <c r="E11" s="143">
        <f>D11/C11*100</f>
        <v>59.87667009249743</v>
      </c>
      <c r="F11" s="144">
        <v>46121.4</v>
      </c>
      <c r="G11" s="144">
        <v>25512.1</v>
      </c>
      <c r="H11" s="145">
        <f>G11/F11*100</f>
        <v>55.315103184205164</v>
      </c>
      <c r="I11" s="146">
        <f>C11+F11</f>
        <v>50986.4</v>
      </c>
      <c r="J11" s="147"/>
      <c r="K11" s="148">
        <f>I11-J11</f>
        <v>50986.4</v>
      </c>
      <c r="L11" s="146">
        <f>D11+G11</f>
        <v>28425.1</v>
      </c>
      <c r="M11" s="147"/>
      <c r="N11" s="148">
        <f>L11-M11</f>
        <v>28425.1</v>
      </c>
      <c r="O11" s="149">
        <f aca="true" t="shared" si="1" ref="O11:O123">N11/K11*100</f>
        <v>55.750356957933874</v>
      </c>
    </row>
    <row r="12" spans="1:15" ht="39" customHeight="1">
      <c r="A12" s="140" t="s">
        <v>102</v>
      </c>
      <c r="B12" s="141" t="s">
        <v>103</v>
      </c>
      <c r="C12" s="142">
        <v>8436</v>
      </c>
      <c r="D12" s="142">
        <v>5785</v>
      </c>
      <c r="E12" s="143">
        <f aca="true" t="shared" si="2" ref="E12:E20">D12/C12*100</f>
        <v>68.57515410146989</v>
      </c>
      <c r="F12" s="144">
        <v>0</v>
      </c>
      <c r="G12" s="144"/>
      <c r="H12" s="145">
        <v>0</v>
      </c>
      <c r="I12" s="146">
        <f aca="true" t="shared" si="3" ref="I12:I18">C12+F12</f>
        <v>8436</v>
      </c>
      <c r="J12" s="147"/>
      <c r="K12" s="148">
        <f aca="true" t="shared" si="4" ref="K12:K18">I12-J12</f>
        <v>8436</v>
      </c>
      <c r="L12" s="146">
        <f aca="true" t="shared" si="5" ref="L12:L91">D12+G12</f>
        <v>5785</v>
      </c>
      <c r="M12" s="147"/>
      <c r="N12" s="148">
        <f aca="true" t="shared" si="6" ref="N12:N91">L12-M12</f>
        <v>5785</v>
      </c>
      <c r="O12" s="149">
        <f t="shared" si="1"/>
        <v>68.57515410146989</v>
      </c>
    </row>
    <row r="13" spans="1:15" ht="26.25" customHeight="1">
      <c r="A13" s="140" t="s">
        <v>104</v>
      </c>
      <c r="B13" s="141" t="s">
        <v>105</v>
      </c>
      <c r="C13" s="142">
        <v>164039.7</v>
      </c>
      <c r="D13" s="142">
        <v>89649.9</v>
      </c>
      <c r="E13" s="143">
        <f t="shared" si="2"/>
        <v>54.65134354671461</v>
      </c>
      <c r="F13" s="144">
        <v>129074.2</v>
      </c>
      <c r="G13" s="144">
        <v>66784.1</v>
      </c>
      <c r="H13" s="145">
        <f>G13/F13*100</f>
        <v>51.74085913373858</v>
      </c>
      <c r="I13" s="146">
        <f t="shared" si="3"/>
        <v>293113.9</v>
      </c>
      <c r="J13" s="147">
        <v>6855.4</v>
      </c>
      <c r="K13" s="148">
        <f t="shared" si="4"/>
        <v>286258.5</v>
      </c>
      <c r="L13" s="146">
        <f>D13+G13</f>
        <v>156434</v>
      </c>
      <c r="M13" s="147">
        <v>3427.7</v>
      </c>
      <c r="N13" s="148">
        <f>L13-M13</f>
        <v>153006.3</v>
      </c>
      <c r="O13" s="149">
        <f t="shared" si="1"/>
        <v>53.450395359439106</v>
      </c>
    </row>
    <row r="14" spans="1:15" ht="16.5" customHeight="1">
      <c r="A14" s="140" t="s">
        <v>106</v>
      </c>
      <c r="B14" s="141" t="s">
        <v>107</v>
      </c>
      <c r="C14" s="142">
        <v>6.1</v>
      </c>
      <c r="D14" s="142">
        <v>0</v>
      </c>
      <c r="E14" s="143">
        <f t="shared" si="2"/>
        <v>0</v>
      </c>
      <c r="F14" s="144">
        <v>0</v>
      </c>
      <c r="G14" s="144"/>
      <c r="H14" s="145">
        <v>0</v>
      </c>
      <c r="I14" s="146">
        <f t="shared" si="3"/>
        <v>6.1</v>
      </c>
      <c r="J14" s="147"/>
      <c r="K14" s="148">
        <f t="shared" si="4"/>
        <v>6.1</v>
      </c>
      <c r="L14" s="146">
        <f>D14+G14</f>
        <v>0</v>
      </c>
      <c r="M14" s="147"/>
      <c r="N14" s="148">
        <f>L14-M14</f>
        <v>0</v>
      </c>
      <c r="O14" s="149">
        <f t="shared" si="1"/>
        <v>0</v>
      </c>
    </row>
    <row r="15" spans="1:15" ht="20.25" customHeight="1">
      <c r="A15" s="140" t="s">
        <v>108</v>
      </c>
      <c r="B15" s="141" t="s">
        <v>109</v>
      </c>
      <c r="C15" s="142">
        <v>34152.6</v>
      </c>
      <c r="D15" s="142">
        <v>18942</v>
      </c>
      <c r="E15" s="143">
        <f t="shared" si="2"/>
        <v>55.46283445477065</v>
      </c>
      <c r="F15" s="144">
        <v>0</v>
      </c>
      <c r="G15" s="144"/>
      <c r="H15" s="145">
        <v>0</v>
      </c>
      <c r="I15" s="146">
        <f t="shared" si="3"/>
        <v>34152.6</v>
      </c>
      <c r="J15" s="147"/>
      <c r="K15" s="148">
        <f t="shared" si="4"/>
        <v>34152.6</v>
      </c>
      <c r="L15" s="146">
        <f>D15+G15</f>
        <v>18942</v>
      </c>
      <c r="M15" s="147"/>
      <c r="N15" s="148">
        <f t="shared" si="6"/>
        <v>18942</v>
      </c>
      <c r="O15" s="149">
        <f t="shared" si="1"/>
        <v>55.46283445477065</v>
      </c>
    </row>
    <row r="16" spans="1:15" ht="18" customHeight="1" hidden="1">
      <c r="A16" s="140" t="s">
        <v>110</v>
      </c>
      <c r="B16" s="141" t="s">
        <v>111</v>
      </c>
      <c r="C16" s="142"/>
      <c r="D16" s="142"/>
      <c r="E16" s="143"/>
      <c r="F16" s="144"/>
      <c r="G16" s="144"/>
      <c r="H16" s="145" t="e">
        <f>G16/F16*100</f>
        <v>#DIV/0!</v>
      </c>
      <c r="I16" s="146">
        <f t="shared" si="3"/>
        <v>0</v>
      </c>
      <c r="J16" s="147"/>
      <c r="K16" s="148">
        <f t="shared" si="4"/>
        <v>0</v>
      </c>
      <c r="L16" s="146">
        <f t="shared" si="5"/>
        <v>0</v>
      </c>
      <c r="M16" s="147"/>
      <c r="N16" s="148">
        <f t="shared" si="6"/>
        <v>0</v>
      </c>
      <c r="O16" s="149" t="e">
        <f t="shared" si="1"/>
        <v>#DIV/0!</v>
      </c>
    </row>
    <row r="17" spans="1:15" ht="14.25" customHeight="1">
      <c r="A17" s="131" t="s">
        <v>112</v>
      </c>
      <c r="B17" s="141" t="s">
        <v>113</v>
      </c>
      <c r="C17" s="142">
        <v>15000</v>
      </c>
      <c r="D17" s="142">
        <v>0</v>
      </c>
      <c r="E17" s="143">
        <f t="shared" si="2"/>
        <v>0</v>
      </c>
      <c r="F17" s="144">
        <v>950</v>
      </c>
      <c r="G17" s="144"/>
      <c r="H17" s="145">
        <f>G17/F17*100</f>
        <v>0</v>
      </c>
      <c r="I17" s="146">
        <f t="shared" si="3"/>
        <v>15950</v>
      </c>
      <c r="J17" s="147"/>
      <c r="K17" s="148">
        <f t="shared" si="4"/>
        <v>15950</v>
      </c>
      <c r="L17" s="146">
        <f t="shared" si="5"/>
        <v>0</v>
      </c>
      <c r="M17" s="147"/>
      <c r="N17" s="148">
        <f t="shared" si="6"/>
        <v>0</v>
      </c>
      <c r="O17" s="149">
        <f t="shared" si="1"/>
        <v>0</v>
      </c>
    </row>
    <row r="18" spans="1:15" ht="18.75" customHeight="1">
      <c r="A18" s="140" t="s">
        <v>114</v>
      </c>
      <c r="B18" s="141" t="s">
        <v>115</v>
      </c>
      <c r="C18" s="142">
        <v>225809.4</v>
      </c>
      <c r="D18" s="142">
        <v>48899.3</v>
      </c>
      <c r="E18" s="143">
        <f t="shared" si="2"/>
        <v>21.65512153169886</v>
      </c>
      <c r="F18" s="144">
        <v>37472.4</v>
      </c>
      <c r="G18" s="144">
        <v>16048</v>
      </c>
      <c r="H18" s="145">
        <f>G18/F18*100</f>
        <v>42.82618674010739</v>
      </c>
      <c r="I18" s="146">
        <f t="shared" si="3"/>
        <v>263281.8</v>
      </c>
      <c r="J18" s="147">
        <v>2104.9</v>
      </c>
      <c r="K18" s="148">
        <f t="shared" si="4"/>
        <v>261176.9</v>
      </c>
      <c r="L18" s="146">
        <f>D18+G18</f>
        <v>64947.3</v>
      </c>
      <c r="M18" s="150">
        <v>264.7</v>
      </c>
      <c r="N18" s="148">
        <f t="shared" si="6"/>
        <v>64682.600000000006</v>
      </c>
      <c r="O18" s="149">
        <f t="shared" si="1"/>
        <v>24.765819641783025</v>
      </c>
    </row>
    <row r="19" spans="1:15" ht="17.25" customHeight="1">
      <c r="A19" s="135" t="s">
        <v>116</v>
      </c>
      <c r="B19" s="136" t="s">
        <v>117</v>
      </c>
      <c r="C19" s="137">
        <f aca="true" t="shared" si="7" ref="C19:N19">C20</f>
        <v>4197.3</v>
      </c>
      <c r="D19" s="137">
        <f t="shared" si="7"/>
        <v>1641.2</v>
      </c>
      <c r="E19" s="137">
        <f t="shared" si="7"/>
        <v>39.10132704357563</v>
      </c>
      <c r="F19" s="137">
        <f t="shared" si="7"/>
        <v>4197.3</v>
      </c>
      <c r="G19" s="137">
        <f t="shared" si="7"/>
        <v>1641</v>
      </c>
      <c r="H19" s="151">
        <f t="shared" si="7"/>
        <v>39.09656207562004</v>
      </c>
      <c r="I19" s="137">
        <f>I20</f>
        <v>8394.6</v>
      </c>
      <c r="J19" s="137">
        <f>J20</f>
        <v>4197.3</v>
      </c>
      <c r="K19" s="137">
        <f>K20</f>
        <v>4197.3</v>
      </c>
      <c r="L19" s="137">
        <f t="shared" si="7"/>
        <v>3282.2</v>
      </c>
      <c r="M19" s="137">
        <f>M20</f>
        <v>1641.2</v>
      </c>
      <c r="N19" s="137">
        <f t="shared" si="7"/>
        <v>1640.9999999999998</v>
      </c>
      <c r="O19" s="152">
        <f t="shared" si="1"/>
        <v>39.096562075620035</v>
      </c>
    </row>
    <row r="20" spans="1:15" ht="13.5" customHeight="1">
      <c r="A20" s="153" t="s">
        <v>118</v>
      </c>
      <c r="B20" s="141" t="s">
        <v>119</v>
      </c>
      <c r="C20" s="142">
        <v>4197.3</v>
      </c>
      <c r="D20" s="142">
        <v>1641.2</v>
      </c>
      <c r="E20" s="143">
        <f t="shared" si="2"/>
        <v>39.10132704357563</v>
      </c>
      <c r="F20" s="144">
        <v>4197.3</v>
      </c>
      <c r="G20" s="144">
        <v>1641</v>
      </c>
      <c r="H20" s="145">
        <f aca="true" t="shared" si="8" ref="H20:H28">G20/F20*100</f>
        <v>39.09656207562004</v>
      </c>
      <c r="I20" s="146">
        <f aca="true" t="shared" si="9" ref="I20:I91">C20+F20</f>
        <v>8394.6</v>
      </c>
      <c r="J20" s="147">
        <v>4197.3</v>
      </c>
      <c r="K20" s="148">
        <f>I20-J20</f>
        <v>4197.3</v>
      </c>
      <c r="L20" s="146">
        <f>D20+G20</f>
        <v>3282.2</v>
      </c>
      <c r="M20" s="147">
        <v>1641.2</v>
      </c>
      <c r="N20" s="148">
        <f t="shared" si="6"/>
        <v>1640.9999999999998</v>
      </c>
      <c r="O20" s="149">
        <f t="shared" si="1"/>
        <v>39.096562075620035</v>
      </c>
    </row>
    <row r="21" spans="1:15" ht="30.75" customHeight="1">
      <c r="A21" s="135" t="s">
        <v>120</v>
      </c>
      <c r="B21" s="154" t="s">
        <v>121</v>
      </c>
      <c r="C21" s="137">
        <f>C23+C25+C22+C24</f>
        <v>25204.4</v>
      </c>
      <c r="D21" s="137">
        <f>D23+D25+D22+D24</f>
        <v>5699.1</v>
      </c>
      <c r="E21" s="155">
        <f>D21/C21*100</f>
        <v>22.61152814587929</v>
      </c>
      <c r="F21" s="155">
        <f>F23+F25+F22+F24</f>
        <v>6370.599999999999</v>
      </c>
      <c r="G21" s="155">
        <f>G23+G25+G22+G24</f>
        <v>2597.1</v>
      </c>
      <c r="H21" s="155">
        <f t="shared" si="8"/>
        <v>40.76696072583431</v>
      </c>
      <c r="I21" s="155">
        <f>SUM(I22:I25)</f>
        <v>31574.999999999996</v>
      </c>
      <c r="J21" s="155">
        <f>SUM(J22:J25)</f>
        <v>2825.5</v>
      </c>
      <c r="K21" s="155">
        <f>SUM(K22:K25)</f>
        <v>28749.5</v>
      </c>
      <c r="L21" s="155">
        <f>SUM(L22:L25)</f>
        <v>8296.2</v>
      </c>
      <c r="M21" s="155">
        <f>SUM(M22:M25)</f>
        <v>1287.2</v>
      </c>
      <c r="N21" s="155">
        <f>SUM(N22:N25)</f>
        <v>7009</v>
      </c>
      <c r="O21" s="156">
        <f>N21/K21*100</f>
        <v>24.379554427033515</v>
      </c>
    </row>
    <row r="22" spans="1:15" ht="13.5">
      <c r="A22" s="131" t="s">
        <v>122</v>
      </c>
      <c r="B22" s="141" t="s">
        <v>123</v>
      </c>
      <c r="C22" s="142">
        <v>6191.8</v>
      </c>
      <c r="D22" s="142">
        <v>3049</v>
      </c>
      <c r="E22" s="143">
        <f aca="true" t="shared" si="10" ref="E22:E136">D22/C22*100</f>
        <v>49.24254659388223</v>
      </c>
      <c r="F22" s="144">
        <v>910.6</v>
      </c>
      <c r="G22" s="144">
        <v>325.4</v>
      </c>
      <c r="H22" s="145">
        <f t="shared" si="8"/>
        <v>35.73468043048539</v>
      </c>
      <c r="I22" s="146">
        <f>C22+F22</f>
        <v>7102.400000000001</v>
      </c>
      <c r="J22" s="147">
        <v>910.6</v>
      </c>
      <c r="K22" s="148">
        <f>I22-J22</f>
        <v>6191.8</v>
      </c>
      <c r="L22" s="146">
        <f>D22+G22</f>
        <v>3374.4</v>
      </c>
      <c r="M22" s="147">
        <v>350.5</v>
      </c>
      <c r="N22" s="148">
        <f t="shared" si="6"/>
        <v>3023.9</v>
      </c>
      <c r="O22" s="149">
        <f>N22/K22*100</f>
        <v>48.83717174327336</v>
      </c>
    </row>
    <row r="23" spans="1:15" ht="21" customHeight="1">
      <c r="A23" s="153" t="s">
        <v>124</v>
      </c>
      <c r="B23" s="141" t="s">
        <v>125</v>
      </c>
      <c r="C23" s="142">
        <v>2829.1</v>
      </c>
      <c r="D23" s="142">
        <v>521.6</v>
      </c>
      <c r="E23" s="143">
        <f t="shared" si="10"/>
        <v>18.43695875013255</v>
      </c>
      <c r="F23" s="144">
        <v>549.1</v>
      </c>
      <c r="G23" s="144">
        <v>113.7</v>
      </c>
      <c r="H23" s="145">
        <f t="shared" si="8"/>
        <v>20.706610817701694</v>
      </c>
      <c r="I23" s="146">
        <f>C23+F23</f>
        <v>3378.2</v>
      </c>
      <c r="J23" s="147">
        <v>549.1</v>
      </c>
      <c r="K23" s="148">
        <f>I23-J23</f>
        <v>2829.1</v>
      </c>
      <c r="L23" s="146">
        <f>D23+G23</f>
        <v>635.3000000000001</v>
      </c>
      <c r="M23" s="147">
        <v>113.7</v>
      </c>
      <c r="N23" s="148">
        <f t="shared" si="6"/>
        <v>521.6</v>
      </c>
      <c r="O23" s="149">
        <f>N23/K23*100</f>
        <v>18.43695875013255</v>
      </c>
    </row>
    <row r="24" spans="1:15" ht="19.5" customHeight="1">
      <c r="A24" s="153" t="s">
        <v>126</v>
      </c>
      <c r="B24" s="141" t="s">
        <v>127</v>
      </c>
      <c r="C24" s="142">
        <v>15882.2</v>
      </c>
      <c r="D24" s="142">
        <v>2061.5</v>
      </c>
      <c r="E24" s="143">
        <f t="shared" si="10"/>
        <v>12.97993980682777</v>
      </c>
      <c r="F24" s="144">
        <v>4576.9</v>
      </c>
      <c r="G24" s="144">
        <v>2062.5</v>
      </c>
      <c r="H24" s="145">
        <f t="shared" si="8"/>
        <v>45.063252419760104</v>
      </c>
      <c r="I24" s="146">
        <f>C24+F24</f>
        <v>20459.1</v>
      </c>
      <c r="J24" s="147">
        <v>1132</v>
      </c>
      <c r="K24" s="148">
        <f>I24-J24</f>
        <v>19327.1</v>
      </c>
      <c r="L24" s="146">
        <f>D24+G24</f>
        <v>4124</v>
      </c>
      <c r="M24" s="147">
        <v>756</v>
      </c>
      <c r="N24" s="148">
        <f t="shared" si="6"/>
        <v>3368</v>
      </c>
      <c r="O24" s="149">
        <f>N24/K24*100</f>
        <v>17.426308137278745</v>
      </c>
    </row>
    <row r="25" spans="1:15" ht="36" customHeight="1">
      <c r="A25" s="131" t="s">
        <v>128</v>
      </c>
      <c r="B25" s="141" t="s">
        <v>129</v>
      </c>
      <c r="C25" s="142">
        <v>301.3</v>
      </c>
      <c r="D25" s="142">
        <v>67</v>
      </c>
      <c r="E25" s="143">
        <f t="shared" si="10"/>
        <v>22.236973116495186</v>
      </c>
      <c r="F25" s="144">
        <v>334</v>
      </c>
      <c r="G25" s="144">
        <v>95.5</v>
      </c>
      <c r="H25" s="145">
        <f t="shared" si="8"/>
        <v>28.592814371257486</v>
      </c>
      <c r="I25" s="146">
        <f>C25+F25</f>
        <v>635.3</v>
      </c>
      <c r="J25" s="147">
        <v>233.8</v>
      </c>
      <c r="K25" s="148">
        <f>I25-J25</f>
        <v>401.49999999999994</v>
      </c>
      <c r="L25" s="146">
        <f>D25+G25</f>
        <v>162.5</v>
      </c>
      <c r="M25" s="147">
        <v>67</v>
      </c>
      <c r="N25" s="148">
        <f t="shared" si="6"/>
        <v>95.5</v>
      </c>
      <c r="O25" s="149">
        <f>N25/K25*100</f>
        <v>23.785803237858037</v>
      </c>
    </row>
    <row r="26" spans="1:15" ht="18.75" customHeight="1">
      <c r="A26" s="135" t="s">
        <v>130</v>
      </c>
      <c r="B26" s="136" t="s">
        <v>131</v>
      </c>
      <c r="C26" s="137">
        <f>SUM(C27:C58)</f>
        <v>156988.29999999996</v>
      </c>
      <c r="D26" s="137">
        <f>SUM(D27:D58)</f>
        <v>87025.00000000001</v>
      </c>
      <c r="E26" s="137">
        <f>D26/C26*100</f>
        <v>55.43406737954359</v>
      </c>
      <c r="F26" s="137">
        <f>SUM(F27:F58)</f>
        <v>128073.30000000002</v>
      </c>
      <c r="G26" s="137">
        <f>SUM(G27:G58)</f>
        <v>53757.3</v>
      </c>
      <c r="H26" s="138">
        <f t="shared" si="8"/>
        <v>41.97385403515018</v>
      </c>
      <c r="I26" s="137">
        <f aca="true" t="shared" si="11" ref="I26:N26">SUM(I27:I58)</f>
        <v>285061.5999999999</v>
      </c>
      <c r="J26" s="137">
        <f t="shared" si="11"/>
        <v>38760.8</v>
      </c>
      <c r="K26" s="137">
        <f>SUM(K27:K58)</f>
        <v>246300.8</v>
      </c>
      <c r="L26" s="137">
        <f t="shared" si="11"/>
        <v>140782.3</v>
      </c>
      <c r="M26" s="137">
        <f t="shared" si="11"/>
        <v>17991.600000000002</v>
      </c>
      <c r="N26" s="137">
        <f t="shared" si="11"/>
        <v>122790.70000000003</v>
      </c>
      <c r="O26" s="139">
        <f t="shared" si="1"/>
        <v>49.853959061440335</v>
      </c>
    </row>
    <row r="27" spans="1:15" ht="46.5" customHeight="1">
      <c r="A27" s="157" t="s">
        <v>132</v>
      </c>
      <c r="B27" s="158" t="s">
        <v>133</v>
      </c>
      <c r="C27" s="142">
        <v>31422.3</v>
      </c>
      <c r="D27" s="142">
        <v>20260.2</v>
      </c>
      <c r="E27" s="143">
        <f t="shared" si="10"/>
        <v>64.4771388472518</v>
      </c>
      <c r="F27" s="142">
        <v>17792.2</v>
      </c>
      <c r="G27" s="144">
        <v>12695.3</v>
      </c>
      <c r="H27" s="145">
        <f t="shared" si="8"/>
        <v>71.35317723496813</v>
      </c>
      <c r="I27" s="146">
        <f t="shared" si="9"/>
        <v>49214.5</v>
      </c>
      <c r="J27" s="147">
        <v>17792.2</v>
      </c>
      <c r="K27" s="148">
        <f>I27-J27</f>
        <v>31422.3</v>
      </c>
      <c r="L27" s="146">
        <f>D27+G27</f>
        <v>32955.5</v>
      </c>
      <c r="M27" s="147">
        <v>13653.5</v>
      </c>
      <c r="N27" s="148">
        <f>L27-M27</f>
        <v>19302</v>
      </c>
      <c r="O27" s="149">
        <f t="shared" si="1"/>
        <v>61.42771216620044</v>
      </c>
    </row>
    <row r="28" spans="1:15" ht="18" customHeight="1">
      <c r="A28" s="140" t="s">
        <v>134</v>
      </c>
      <c r="B28" s="141" t="s">
        <v>135</v>
      </c>
      <c r="C28" s="142">
        <v>41223.4</v>
      </c>
      <c r="D28" s="142">
        <v>30739.9</v>
      </c>
      <c r="E28" s="143">
        <f t="shared" si="10"/>
        <v>74.56905543938636</v>
      </c>
      <c r="F28" s="144">
        <v>2437</v>
      </c>
      <c r="G28" s="144">
        <v>418</v>
      </c>
      <c r="H28" s="145">
        <f t="shared" si="8"/>
        <v>17.152236356175628</v>
      </c>
      <c r="I28" s="146">
        <f t="shared" si="9"/>
        <v>43660.4</v>
      </c>
      <c r="J28" s="147">
        <v>2413.7</v>
      </c>
      <c r="K28" s="148">
        <f aca="true" t="shared" si="12" ref="K28:K60">I28-J28</f>
        <v>41246.700000000004</v>
      </c>
      <c r="L28" s="146">
        <f t="shared" si="5"/>
        <v>31157.9</v>
      </c>
      <c r="M28" s="147">
        <v>394.6</v>
      </c>
      <c r="N28" s="148">
        <f t="shared" si="6"/>
        <v>30763.300000000003</v>
      </c>
      <c r="O28" s="149">
        <f t="shared" si="1"/>
        <v>74.58366366278999</v>
      </c>
    </row>
    <row r="29" spans="1:15" ht="17.25" customHeight="1">
      <c r="A29" s="140" t="s">
        <v>136</v>
      </c>
      <c r="B29" s="141" t="s">
        <v>137</v>
      </c>
      <c r="C29" s="142">
        <v>6000</v>
      </c>
      <c r="D29" s="142">
        <v>666.2</v>
      </c>
      <c r="E29" s="143">
        <f t="shared" si="10"/>
        <v>11.103333333333335</v>
      </c>
      <c r="F29" s="144"/>
      <c r="G29" s="144">
        <v>0</v>
      </c>
      <c r="H29" s="145">
        <v>0</v>
      </c>
      <c r="I29" s="146">
        <f t="shared" si="9"/>
        <v>6000</v>
      </c>
      <c r="J29" s="147"/>
      <c r="K29" s="148">
        <f t="shared" si="12"/>
        <v>6000</v>
      </c>
      <c r="L29" s="146">
        <f t="shared" si="5"/>
        <v>666.2</v>
      </c>
      <c r="M29" s="147"/>
      <c r="N29" s="148">
        <f t="shared" si="6"/>
        <v>666.2</v>
      </c>
      <c r="O29" s="149">
        <f t="shared" si="1"/>
        <v>11.103333333333335</v>
      </c>
    </row>
    <row r="30" spans="1:15" ht="30" customHeight="1">
      <c r="A30" s="140" t="s">
        <v>136</v>
      </c>
      <c r="B30" s="141" t="s">
        <v>138</v>
      </c>
      <c r="C30" s="142">
        <v>21416.5</v>
      </c>
      <c r="D30" s="142">
        <v>12105.1</v>
      </c>
      <c r="E30" s="143">
        <f t="shared" si="10"/>
        <v>56.522307566595856</v>
      </c>
      <c r="F30" s="144">
        <v>20100.9</v>
      </c>
      <c r="G30" s="144">
        <v>8893.2</v>
      </c>
      <c r="H30" s="145">
        <f>G30/F30*100</f>
        <v>44.24279509872692</v>
      </c>
      <c r="I30" s="146">
        <f t="shared" si="9"/>
        <v>41517.4</v>
      </c>
      <c r="J30" s="147">
        <v>3161.5</v>
      </c>
      <c r="K30" s="148">
        <f t="shared" si="12"/>
        <v>38355.9</v>
      </c>
      <c r="L30" s="146">
        <f t="shared" si="5"/>
        <v>20998.300000000003</v>
      </c>
      <c r="M30" s="147">
        <v>1580.7</v>
      </c>
      <c r="N30" s="148">
        <f t="shared" si="6"/>
        <v>19417.600000000002</v>
      </c>
      <c r="O30" s="149">
        <f t="shared" si="1"/>
        <v>50.62480609241342</v>
      </c>
    </row>
    <row r="31" spans="1:15" ht="20.25" customHeight="1">
      <c r="A31" s="140" t="s">
        <v>136</v>
      </c>
      <c r="B31" s="141" t="s">
        <v>139</v>
      </c>
      <c r="C31" s="142">
        <v>25360</v>
      </c>
      <c r="D31" s="142">
        <v>12264.2</v>
      </c>
      <c r="E31" s="143">
        <f t="shared" si="10"/>
        <v>48.36041009463723</v>
      </c>
      <c r="F31" s="144">
        <v>0</v>
      </c>
      <c r="G31" s="144"/>
      <c r="H31" s="145">
        <v>0</v>
      </c>
      <c r="I31" s="146">
        <f t="shared" si="9"/>
        <v>25360</v>
      </c>
      <c r="J31" s="147"/>
      <c r="K31" s="148">
        <f t="shared" si="12"/>
        <v>25360</v>
      </c>
      <c r="L31" s="146">
        <f t="shared" si="5"/>
        <v>12264.2</v>
      </c>
      <c r="M31" s="147"/>
      <c r="N31" s="148">
        <f t="shared" si="6"/>
        <v>12264.2</v>
      </c>
      <c r="O31" s="149">
        <f t="shared" si="1"/>
        <v>48.36041009463723</v>
      </c>
    </row>
    <row r="32" spans="1:15" ht="234" hidden="1">
      <c r="A32" s="140" t="s">
        <v>140</v>
      </c>
      <c r="B32" s="159" t="s">
        <v>141</v>
      </c>
      <c r="C32" s="142"/>
      <c r="D32" s="142"/>
      <c r="E32" s="143"/>
      <c r="F32" s="144">
        <v>0</v>
      </c>
      <c r="G32" s="144"/>
      <c r="H32" s="145"/>
      <c r="I32" s="146">
        <f t="shared" si="9"/>
        <v>0</v>
      </c>
      <c r="J32" s="147"/>
      <c r="K32" s="148">
        <f t="shared" si="12"/>
        <v>0</v>
      </c>
      <c r="L32" s="146">
        <f t="shared" si="5"/>
        <v>0</v>
      </c>
      <c r="M32" s="147"/>
      <c r="N32" s="148">
        <f t="shared" si="6"/>
        <v>0</v>
      </c>
      <c r="O32" s="149"/>
    </row>
    <row r="33" spans="1:15" ht="54.75" hidden="1">
      <c r="A33" s="131" t="s">
        <v>140</v>
      </c>
      <c r="B33" s="159" t="s">
        <v>142</v>
      </c>
      <c r="C33" s="142"/>
      <c r="D33" s="142"/>
      <c r="E33" s="143"/>
      <c r="F33" s="144">
        <v>0</v>
      </c>
      <c r="G33" s="144"/>
      <c r="H33" s="145"/>
      <c r="I33" s="146">
        <f t="shared" si="9"/>
        <v>0</v>
      </c>
      <c r="J33" s="147"/>
      <c r="K33" s="148">
        <f t="shared" si="12"/>
        <v>0</v>
      </c>
      <c r="L33" s="146">
        <f t="shared" si="5"/>
        <v>0</v>
      </c>
      <c r="M33" s="147"/>
      <c r="N33" s="148">
        <f t="shared" si="6"/>
        <v>0</v>
      </c>
      <c r="O33" s="149"/>
    </row>
    <row r="34" spans="1:15" ht="179.25" hidden="1">
      <c r="A34" s="131" t="s">
        <v>140</v>
      </c>
      <c r="B34" s="141" t="s">
        <v>143</v>
      </c>
      <c r="C34" s="142"/>
      <c r="D34" s="142"/>
      <c r="E34" s="143" t="e">
        <f t="shared" si="10"/>
        <v>#DIV/0!</v>
      </c>
      <c r="F34" s="144">
        <v>0</v>
      </c>
      <c r="G34" s="144"/>
      <c r="H34" s="145" t="e">
        <f>G34/F34*100</f>
        <v>#DIV/0!</v>
      </c>
      <c r="I34" s="146">
        <f t="shared" si="9"/>
        <v>0</v>
      </c>
      <c r="J34" s="147"/>
      <c r="K34" s="148">
        <f t="shared" si="12"/>
        <v>0</v>
      </c>
      <c r="L34" s="146">
        <f t="shared" si="5"/>
        <v>0</v>
      </c>
      <c r="M34" s="147"/>
      <c r="N34" s="148">
        <f t="shared" si="6"/>
        <v>0</v>
      </c>
      <c r="O34" s="149" t="e">
        <f t="shared" si="1"/>
        <v>#DIV/0!</v>
      </c>
    </row>
    <row r="35" spans="1:15" ht="96" hidden="1">
      <c r="A35" s="131" t="s">
        <v>140</v>
      </c>
      <c r="B35" s="141" t="s">
        <v>302</v>
      </c>
      <c r="C35" s="142"/>
      <c r="D35" s="142"/>
      <c r="E35" s="143" t="e">
        <f t="shared" si="10"/>
        <v>#DIV/0!</v>
      </c>
      <c r="F35" s="144"/>
      <c r="G35" s="144"/>
      <c r="H35" s="145" t="e">
        <f>G35/F35*100</f>
        <v>#DIV/0!</v>
      </c>
      <c r="I35" s="146">
        <f t="shared" si="9"/>
        <v>0</v>
      </c>
      <c r="J35" s="147"/>
      <c r="K35" s="148">
        <f t="shared" si="12"/>
        <v>0</v>
      </c>
      <c r="L35" s="146">
        <f t="shared" si="5"/>
        <v>0</v>
      </c>
      <c r="M35" s="147"/>
      <c r="N35" s="148">
        <f t="shared" si="6"/>
        <v>0</v>
      </c>
      <c r="O35" s="149" t="e">
        <f t="shared" si="1"/>
        <v>#DIV/0!</v>
      </c>
    </row>
    <row r="36" spans="1:15" ht="54.75" hidden="1">
      <c r="A36" s="131" t="s">
        <v>140</v>
      </c>
      <c r="B36" s="141" t="s">
        <v>144</v>
      </c>
      <c r="C36" s="142"/>
      <c r="D36" s="142"/>
      <c r="E36" s="143" t="e">
        <f t="shared" si="10"/>
        <v>#DIV/0!</v>
      </c>
      <c r="F36" s="144"/>
      <c r="G36" s="144"/>
      <c r="H36" s="145" t="e">
        <f aca="true" t="shared" si="13" ref="H36:H58">G36/F36*100</f>
        <v>#DIV/0!</v>
      </c>
      <c r="I36" s="146">
        <f t="shared" si="9"/>
        <v>0</v>
      </c>
      <c r="J36" s="147"/>
      <c r="K36" s="148">
        <f t="shared" si="12"/>
        <v>0</v>
      </c>
      <c r="L36" s="146">
        <f t="shared" si="5"/>
        <v>0</v>
      </c>
      <c r="M36" s="147"/>
      <c r="N36" s="148">
        <f t="shared" si="6"/>
        <v>0</v>
      </c>
      <c r="O36" s="149" t="e">
        <f t="shared" si="1"/>
        <v>#DIV/0!</v>
      </c>
    </row>
    <row r="37" spans="1:15" ht="151.5" hidden="1">
      <c r="A37" s="131" t="s">
        <v>140</v>
      </c>
      <c r="B37" s="141" t="s">
        <v>145</v>
      </c>
      <c r="C37" s="142"/>
      <c r="D37" s="142"/>
      <c r="E37" s="143" t="e">
        <f t="shared" si="10"/>
        <v>#DIV/0!</v>
      </c>
      <c r="F37" s="144"/>
      <c r="G37" s="144"/>
      <c r="H37" s="145" t="e">
        <f t="shared" si="13"/>
        <v>#DIV/0!</v>
      </c>
      <c r="I37" s="146">
        <f t="shared" si="9"/>
        <v>0</v>
      </c>
      <c r="J37" s="147"/>
      <c r="K37" s="148">
        <f t="shared" si="12"/>
        <v>0</v>
      </c>
      <c r="L37" s="146">
        <f t="shared" si="5"/>
        <v>0</v>
      </c>
      <c r="M37" s="147"/>
      <c r="N37" s="148">
        <f t="shared" si="6"/>
        <v>0</v>
      </c>
      <c r="O37" s="149" t="e">
        <f t="shared" si="1"/>
        <v>#DIV/0!</v>
      </c>
    </row>
    <row r="38" spans="1:15" ht="69">
      <c r="A38" s="157" t="s">
        <v>140</v>
      </c>
      <c r="B38" s="141" t="s">
        <v>303</v>
      </c>
      <c r="C38" s="142">
        <v>14579.2</v>
      </c>
      <c r="D38" s="142">
        <v>2352.2</v>
      </c>
      <c r="E38" s="143">
        <f t="shared" si="10"/>
        <v>16.133944249341525</v>
      </c>
      <c r="F38" s="144">
        <v>81343.1</v>
      </c>
      <c r="G38" s="144">
        <v>28782.9</v>
      </c>
      <c r="H38" s="145">
        <f t="shared" si="13"/>
        <v>35.38456242754456</v>
      </c>
      <c r="I38" s="146">
        <f t="shared" si="9"/>
        <v>95922.3</v>
      </c>
      <c r="J38" s="147">
        <v>14057.7</v>
      </c>
      <c r="K38" s="148">
        <f t="shared" si="12"/>
        <v>81864.6</v>
      </c>
      <c r="L38" s="146">
        <f t="shared" si="5"/>
        <v>31135.100000000002</v>
      </c>
      <c r="M38" s="147">
        <v>2028</v>
      </c>
      <c r="N38" s="148">
        <f t="shared" si="6"/>
        <v>29107.100000000002</v>
      </c>
      <c r="O38" s="149">
        <f t="shared" si="1"/>
        <v>35.55517280973705</v>
      </c>
    </row>
    <row r="39" spans="1:15" ht="220.5" hidden="1">
      <c r="A39" s="157" t="s">
        <v>140</v>
      </c>
      <c r="B39" s="141" t="s">
        <v>146</v>
      </c>
      <c r="C39" s="142"/>
      <c r="D39" s="142"/>
      <c r="E39" s="143"/>
      <c r="F39" s="144"/>
      <c r="G39" s="144"/>
      <c r="H39" s="145" t="e">
        <f t="shared" si="13"/>
        <v>#DIV/0!</v>
      </c>
      <c r="I39" s="146">
        <f t="shared" si="9"/>
        <v>0</v>
      </c>
      <c r="J39" s="147"/>
      <c r="K39" s="148">
        <f t="shared" si="12"/>
        <v>0</v>
      </c>
      <c r="L39" s="146">
        <f t="shared" si="5"/>
        <v>0</v>
      </c>
      <c r="M39" s="147"/>
      <c r="N39" s="148">
        <f t="shared" si="6"/>
        <v>0</v>
      </c>
      <c r="O39" s="149" t="e">
        <f t="shared" si="1"/>
        <v>#DIV/0!</v>
      </c>
    </row>
    <row r="40" spans="1:15" ht="27" hidden="1">
      <c r="A40" s="131" t="s">
        <v>140</v>
      </c>
      <c r="B40" s="141" t="s">
        <v>147</v>
      </c>
      <c r="C40" s="142"/>
      <c r="D40" s="142"/>
      <c r="E40" s="143" t="e">
        <f t="shared" si="10"/>
        <v>#DIV/0!</v>
      </c>
      <c r="F40" s="144">
        <v>0</v>
      </c>
      <c r="G40" s="144"/>
      <c r="H40" s="145" t="e">
        <f t="shared" si="13"/>
        <v>#DIV/0!</v>
      </c>
      <c r="I40" s="146">
        <f t="shared" si="9"/>
        <v>0</v>
      </c>
      <c r="J40" s="147"/>
      <c r="K40" s="148">
        <f t="shared" si="12"/>
        <v>0</v>
      </c>
      <c r="L40" s="146">
        <f t="shared" si="5"/>
        <v>0</v>
      </c>
      <c r="M40" s="147"/>
      <c r="N40" s="148">
        <f t="shared" si="6"/>
        <v>0</v>
      </c>
      <c r="O40" s="149" t="e">
        <f t="shared" si="1"/>
        <v>#DIV/0!</v>
      </c>
    </row>
    <row r="41" spans="1:15" ht="151.5" hidden="1">
      <c r="A41" s="131" t="s">
        <v>140</v>
      </c>
      <c r="B41" s="141" t="s">
        <v>148</v>
      </c>
      <c r="C41" s="142"/>
      <c r="D41" s="142"/>
      <c r="E41" s="143"/>
      <c r="F41" s="144"/>
      <c r="G41" s="144"/>
      <c r="H41" s="145" t="e">
        <f t="shared" si="13"/>
        <v>#DIV/0!</v>
      </c>
      <c r="I41" s="146">
        <f t="shared" si="9"/>
        <v>0</v>
      </c>
      <c r="J41" s="147"/>
      <c r="K41" s="148">
        <f t="shared" si="12"/>
        <v>0</v>
      </c>
      <c r="L41" s="146">
        <f t="shared" si="5"/>
        <v>0</v>
      </c>
      <c r="M41" s="147"/>
      <c r="N41" s="148">
        <f t="shared" si="6"/>
        <v>0</v>
      </c>
      <c r="O41" s="149" t="e">
        <f t="shared" si="1"/>
        <v>#DIV/0!</v>
      </c>
    </row>
    <row r="42" spans="1:15" ht="27" hidden="1">
      <c r="A42" s="131" t="s">
        <v>140</v>
      </c>
      <c r="B42" s="141" t="s">
        <v>149</v>
      </c>
      <c r="C42" s="142"/>
      <c r="D42" s="142"/>
      <c r="E42" s="143"/>
      <c r="F42" s="144"/>
      <c r="G42" s="144"/>
      <c r="H42" s="145" t="e">
        <f t="shared" si="13"/>
        <v>#DIV/0!</v>
      </c>
      <c r="I42" s="146">
        <f t="shared" si="9"/>
        <v>0</v>
      </c>
      <c r="J42" s="147"/>
      <c r="K42" s="148">
        <f t="shared" si="12"/>
        <v>0</v>
      </c>
      <c r="L42" s="146">
        <f t="shared" si="5"/>
        <v>0</v>
      </c>
      <c r="M42" s="147"/>
      <c r="N42" s="148">
        <f t="shared" si="6"/>
        <v>0</v>
      </c>
      <c r="O42" s="149" t="e">
        <f t="shared" si="1"/>
        <v>#DIV/0!</v>
      </c>
    </row>
    <row r="43" spans="1:15" ht="54.75" hidden="1">
      <c r="A43" s="131" t="s">
        <v>140</v>
      </c>
      <c r="B43" s="141" t="s">
        <v>150</v>
      </c>
      <c r="C43" s="142">
        <v>0</v>
      </c>
      <c r="D43" s="142"/>
      <c r="E43" s="143"/>
      <c r="F43" s="144"/>
      <c r="G43" s="144"/>
      <c r="H43" s="145" t="e">
        <f t="shared" si="13"/>
        <v>#DIV/0!</v>
      </c>
      <c r="I43" s="146">
        <f t="shared" si="9"/>
        <v>0</v>
      </c>
      <c r="J43" s="147"/>
      <c r="K43" s="148">
        <f t="shared" si="12"/>
        <v>0</v>
      </c>
      <c r="L43" s="146">
        <f t="shared" si="5"/>
        <v>0</v>
      </c>
      <c r="M43" s="147"/>
      <c r="N43" s="148">
        <f t="shared" si="6"/>
        <v>0</v>
      </c>
      <c r="O43" s="149" t="e">
        <f t="shared" si="1"/>
        <v>#DIV/0!</v>
      </c>
    </row>
    <row r="44" spans="1:15" ht="138" hidden="1">
      <c r="A44" s="131" t="s">
        <v>140</v>
      </c>
      <c r="B44" s="141" t="s">
        <v>151</v>
      </c>
      <c r="C44" s="142"/>
      <c r="D44" s="142"/>
      <c r="E44" s="142"/>
      <c r="F44" s="144"/>
      <c r="G44" s="144"/>
      <c r="H44" s="145" t="e">
        <f t="shared" si="13"/>
        <v>#DIV/0!</v>
      </c>
      <c r="I44" s="146">
        <f t="shared" si="9"/>
        <v>0</v>
      </c>
      <c r="J44" s="147"/>
      <c r="K44" s="148">
        <f t="shared" si="12"/>
        <v>0</v>
      </c>
      <c r="L44" s="146">
        <f t="shared" si="5"/>
        <v>0</v>
      </c>
      <c r="M44" s="147"/>
      <c r="N44" s="148">
        <f t="shared" si="6"/>
        <v>0</v>
      </c>
      <c r="O44" s="149" t="e">
        <f t="shared" si="1"/>
        <v>#DIV/0!</v>
      </c>
    </row>
    <row r="45" spans="1:15" ht="41.25" hidden="1">
      <c r="A45" s="131" t="s">
        <v>140</v>
      </c>
      <c r="B45" s="141" t="s">
        <v>152</v>
      </c>
      <c r="C45" s="142"/>
      <c r="D45" s="142"/>
      <c r="E45" s="143"/>
      <c r="F45" s="144"/>
      <c r="G45" s="144"/>
      <c r="H45" s="145" t="e">
        <f t="shared" si="13"/>
        <v>#DIV/0!</v>
      </c>
      <c r="I45" s="146">
        <f t="shared" si="9"/>
        <v>0</v>
      </c>
      <c r="J45" s="147"/>
      <c r="K45" s="148">
        <f t="shared" si="12"/>
        <v>0</v>
      </c>
      <c r="L45" s="146">
        <f t="shared" si="5"/>
        <v>0</v>
      </c>
      <c r="M45" s="147"/>
      <c r="N45" s="148">
        <f t="shared" si="6"/>
        <v>0</v>
      </c>
      <c r="O45" s="149" t="e">
        <f t="shared" si="1"/>
        <v>#DIV/0!</v>
      </c>
    </row>
    <row r="46" spans="1:15" ht="13.5">
      <c r="A46" s="153" t="s">
        <v>153</v>
      </c>
      <c r="B46" s="141" t="s">
        <v>154</v>
      </c>
      <c r="C46" s="142">
        <v>4164.4</v>
      </c>
      <c r="D46" s="142">
        <v>1228.4</v>
      </c>
      <c r="E46" s="143">
        <f t="shared" si="10"/>
        <v>29.497646719815585</v>
      </c>
      <c r="F46" s="144">
        <v>5064.3</v>
      </c>
      <c r="G46" s="144">
        <v>2661.1</v>
      </c>
      <c r="H46" s="144">
        <f t="shared" si="13"/>
        <v>52.54625515865964</v>
      </c>
      <c r="I46" s="146">
        <f t="shared" si="9"/>
        <v>9228.7</v>
      </c>
      <c r="J46" s="147"/>
      <c r="K46" s="148">
        <f t="shared" si="12"/>
        <v>9228.7</v>
      </c>
      <c r="L46" s="146">
        <f t="shared" si="5"/>
        <v>3889.5</v>
      </c>
      <c r="M46" s="147"/>
      <c r="N46" s="148">
        <f t="shared" si="6"/>
        <v>3889.5</v>
      </c>
      <c r="O46" s="149">
        <f t="shared" si="1"/>
        <v>42.14569766055891</v>
      </c>
    </row>
    <row r="47" spans="1:15" ht="66" customHeight="1">
      <c r="A47" s="140" t="s">
        <v>155</v>
      </c>
      <c r="B47" s="159" t="s">
        <v>156</v>
      </c>
      <c r="C47" s="142">
        <v>3500</v>
      </c>
      <c r="D47" s="142">
        <v>1002.8</v>
      </c>
      <c r="E47" s="142">
        <f t="shared" si="10"/>
        <v>28.65142857142857</v>
      </c>
      <c r="F47" s="144">
        <v>1181</v>
      </c>
      <c r="G47" s="144">
        <v>152</v>
      </c>
      <c r="H47" s="144">
        <f t="shared" si="13"/>
        <v>12.870448772226926</v>
      </c>
      <c r="I47" s="146">
        <f t="shared" si="9"/>
        <v>4681</v>
      </c>
      <c r="J47" s="147">
        <v>1335.7</v>
      </c>
      <c r="K47" s="148">
        <f t="shared" si="12"/>
        <v>3345.3</v>
      </c>
      <c r="L47" s="146">
        <f t="shared" si="5"/>
        <v>1154.8</v>
      </c>
      <c r="M47" s="147">
        <v>334.8</v>
      </c>
      <c r="N47" s="148">
        <f t="shared" si="6"/>
        <v>820</v>
      </c>
      <c r="O47" s="149">
        <f t="shared" si="1"/>
        <v>24.512001913131858</v>
      </c>
    </row>
    <row r="48" spans="1:15" ht="39.75" customHeight="1">
      <c r="A48" s="140" t="s">
        <v>155</v>
      </c>
      <c r="B48" s="159" t="s">
        <v>157</v>
      </c>
      <c r="C48" s="142">
        <v>634.8</v>
      </c>
      <c r="D48" s="142">
        <v>154.8</v>
      </c>
      <c r="E48" s="142">
        <f t="shared" si="10"/>
        <v>24.385633270321364</v>
      </c>
      <c r="F48" s="144">
        <v>154.8</v>
      </c>
      <c r="G48" s="144">
        <v>154.8</v>
      </c>
      <c r="H48" s="144">
        <f t="shared" si="13"/>
        <v>100</v>
      </c>
      <c r="I48" s="146">
        <f t="shared" si="9"/>
        <v>789.5999999999999</v>
      </c>
      <c r="J48" s="147"/>
      <c r="K48" s="148">
        <f t="shared" si="12"/>
        <v>789.5999999999999</v>
      </c>
      <c r="L48" s="146">
        <f t="shared" si="5"/>
        <v>309.6</v>
      </c>
      <c r="M48" s="147"/>
      <c r="N48" s="148">
        <f t="shared" si="6"/>
        <v>309.6</v>
      </c>
      <c r="O48" s="149">
        <f t="shared" si="1"/>
        <v>39.20972644376901</v>
      </c>
    </row>
    <row r="49" spans="1:15" ht="63" customHeight="1">
      <c r="A49" s="140" t="s">
        <v>155</v>
      </c>
      <c r="B49" s="159" t="s">
        <v>158</v>
      </c>
      <c r="C49" s="142">
        <v>6474.8</v>
      </c>
      <c r="D49" s="144">
        <v>5300.3</v>
      </c>
      <c r="E49" s="143">
        <f t="shared" si="10"/>
        <v>81.86044356582443</v>
      </c>
      <c r="F49" s="144">
        <v>0</v>
      </c>
      <c r="G49" s="144"/>
      <c r="H49" s="144" t="e">
        <f t="shared" si="13"/>
        <v>#DIV/0!</v>
      </c>
      <c r="I49" s="146">
        <f t="shared" si="9"/>
        <v>6474.8</v>
      </c>
      <c r="J49" s="147"/>
      <c r="K49" s="148">
        <f t="shared" si="12"/>
        <v>6474.8</v>
      </c>
      <c r="L49" s="146">
        <f t="shared" si="5"/>
        <v>5300.3</v>
      </c>
      <c r="M49" s="147"/>
      <c r="N49" s="148">
        <f t="shared" si="6"/>
        <v>5300.3</v>
      </c>
      <c r="O49" s="149">
        <f t="shared" si="1"/>
        <v>81.86044356582443</v>
      </c>
    </row>
    <row r="50" spans="1:15" ht="41.25" customHeight="1">
      <c r="A50" s="131" t="s">
        <v>155</v>
      </c>
      <c r="B50" s="159" t="s">
        <v>159</v>
      </c>
      <c r="C50" s="142">
        <v>216</v>
      </c>
      <c r="D50" s="144">
        <v>0</v>
      </c>
      <c r="E50" s="142">
        <f t="shared" si="10"/>
        <v>0</v>
      </c>
      <c r="F50" s="144"/>
      <c r="G50" s="144"/>
      <c r="H50" s="144" t="e">
        <f t="shared" si="13"/>
        <v>#DIV/0!</v>
      </c>
      <c r="I50" s="146">
        <f t="shared" si="9"/>
        <v>216</v>
      </c>
      <c r="J50" s="147"/>
      <c r="K50" s="148">
        <f t="shared" si="12"/>
        <v>216</v>
      </c>
      <c r="L50" s="146">
        <f t="shared" si="5"/>
        <v>0</v>
      </c>
      <c r="M50" s="147"/>
      <c r="N50" s="148">
        <f t="shared" si="6"/>
        <v>0</v>
      </c>
      <c r="O50" s="149">
        <f t="shared" si="1"/>
        <v>0</v>
      </c>
    </row>
    <row r="51" spans="1:15" ht="72" customHeight="1">
      <c r="A51" s="131" t="s">
        <v>155</v>
      </c>
      <c r="B51" s="159" t="s">
        <v>160</v>
      </c>
      <c r="C51" s="142">
        <v>263.1</v>
      </c>
      <c r="D51" s="144">
        <v>263.1</v>
      </c>
      <c r="E51" s="142">
        <f>D51/C51*100</f>
        <v>100</v>
      </c>
      <c r="F51" s="144"/>
      <c r="G51" s="144"/>
      <c r="H51" s="144" t="e">
        <f>G51/F51*100</f>
        <v>#DIV/0!</v>
      </c>
      <c r="I51" s="146">
        <f t="shared" si="9"/>
        <v>263.1</v>
      </c>
      <c r="J51" s="147"/>
      <c r="K51" s="148">
        <f t="shared" si="12"/>
        <v>263.1</v>
      </c>
      <c r="L51" s="146">
        <f t="shared" si="5"/>
        <v>263.1</v>
      </c>
      <c r="M51" s="147"/>
      <c r="N51" s="148">
        <f t="shared" si="6"/>
        <v>263.1</v>
      </c>
      <c r="O51" s="149">
        <f>N51/K51*100</f>
        <v>100</v>
      </c>
    </row>
    <row r="52" spans="1:15" ht="49.5" customHeight="1">
      <c r="A52" s="131" t="s">
        <v>155</v>
      </c>
      <c r="B52" s="159" t="s">
        <v>161</v>
      </c>
      <c r="C52" s="142">
        <v>1733.8</v>
      </c>
      <c r="D52" s="144">
        <v>687.8</v>
      </c>
      <c r="E52" s="142">
        <f t="shared" si="10"/>
        <v>39.67008882224016</v>
      </c>
      <c r="F52" s="144">
        <v>0</v>
      </c>
      <c r="G52" s="144"/>
      <c r="H52" s="144" t="e">
        <f t="shared" si="13"/>
        <v>#DIV/0!</v>
      </c>
      <c r="I52" s="146">
        <f t="shared" si="9"/>
        <v>1733.8</v>
      </c>
      <c r="J52" s="147"/>
      <c r="K52" s="148">
        <f t="shared" si="12"/>
        <v>1733.8</v>
      </c>
      <c r="L52" s="146">
        <f>D52+G52</f>
        <v>687.8</v>
      </c>
      <c r="M52" s="147"/>
      <c r="N52" s="148">
        <f t="shared" si="6"/>
        <v>687.8</v>
      </c>
      <c r="O52" s="149">
        <f t="shared" si="1"/>
        <v>39.67008882224016</v>
      </c>
    </row>
    <row r="53" spans="1:15" ht="330.75" hidden="1">
      <c r="A53" s="131" t="s">
        <v>155</v>
      </c>
      <c r="B53" s="159" t="s">
        <v>162</v>
      </c>
      <c r="C53" s="142"/>
      <c r="D53" s="144"/>
      <c r="E53" s="142" t="e">
        <f t="shared" si="10"/>
        <v>#DIV/0!</v>
      </c>
      <c r="F53" s="144"/>
      <c r="G53" s="144"/>
      <c r="H53" s="144" t="e">
        <f t="shared" si="13"/>
        <v>#DIV/0!</v>
      </c>
      <c r="I53" s="146">
        <f t="shared" si="9"/>
        <v>0</v>
      </c>
      <c r="J53" s="147"/>
      <c r="K53" s="148">
        <f t="shared" si="12"/>
        <v>0</v>
      </c>
      <c r="L53" s="146">
        <f t="shared" si="5"/>
        <v>0</v>
      </c>
      <c r="M53" s="147"/>
      <c r="N53" s="148">
        <f t="shared" si="6"/>
        <v>0</v>
      </c>
      <c r="O53" s="149" t="e">
        <f t="shared" si="1"/>
        <v>#DIV/0!</v>
      </c>
    </row>
    <row r="54" spans="1:15" ht="41.25" hidden="1">
      <c r="A54" s="131" t="s">
        <v>155</v>
      </c>
      <c r="B54" s="159" t="s">
        <v>163</v>
      </c>
      <c r="C54" s="142"/>
      <c r="D54" s="144"/>
      <c r="E54" s="142" t="e">
        <f t="shared" si="10"/>
        <v>#DIV/0!</v>
      </c>
      <c r="F54" s="144"/>
      <c r="G54" s="144"/>
      <c r="H54" s="144" t="e">
        <f t="shared" si="13"/>
        <v>#DIV/0!</v>
      </c>
      <c r="I54" s="146">
        <f t="shared" si="9"/>
        <v>0</v>
      </c>
      <c r="J54" s="147"/>
      <c r="K54" s="148">
        <f t="shared" si="12"/>
        <v>0</v>
      </c>
      <c r="L54" s="146">
        <f t="shared" si="5"/>
        <v>0</v>
      </c>
      <c r="M54" s="147"/>
      <c r="N54" s="148">
        <f t="shared" si="6"/>
        <v>0</v>
      </c>
      <c r="O54" s="149" t="e">
        <f t="shared" si="1"/>
        <v>#DIV/0!</v>
      </c>
    </row>
    <row r="55" spans="1:15" ht="207" hidden="1">
      <c r="A55" s="131" t="s">
        <v>155</v>
      </c>
      <c r="B55" s="159" t="s">
        <v>164</v>
      </c>
      <c r="C55" s="142"/>
      <c r="D55" s="144"/>
      <c r="E55" s="142" t="e">
        <f>D55/C55*100</f>
        <v>#DIV/0!</v>
      </c>
      <c r="F55" s="144"/>
      <c r="G55" s="144"/>
      <c r="H55" s="144" t="e">
        <f t="shared" si="13"/>
        <v>#DIV/0!</v>
      </c>
      <c r="I55" s="146">
        <f t="shared" si="9"/>
        <v>0</v>
      </c>
      <c r="J55" s="147"/>
      <c r="K55" s="148">
        <f t="shared" si="12"/>
        <v>0</v>
      </c>
      <c r="L55" s="146">
        <f t="shared" si="5"/>
        <v>0</v>
      </c>
      <c r="M55" s="147"/>
      <c r="N55" s="148">
        <f t="shared" si="6"/>
        <v>0</v>
      </c>
      <c r="O55" s="149" t="e">
        <f t="shared" si="1"/>
        <v>#DIV/0!</v>
      </c>
    </row>
    <row r="56" spans="1:15" ht="82.5" hidden="1">
      <c r="A56" s="131" t="s">
        <v>155</v>
      </c>
      <c r="B56" s="159" t="s">
        <v>165</v>
      </c>
      <c r="C56" s="142"/>
      <c r="D56" s="144"/>
      <c r="E56" s="142" t="e">
        <f>D56/C56*100</f>
        <v>#DIV/0!</v>
      </c>
      <c r="F56" s="144"/>
      <c r="G56" s="144"/>
      <c r="H56" s="144"/>
      <c r="I56" s="146">
        <f t="shared" si="9"/>
        <v>0</v>
      </c>
      <c r="J56" s="147"/>
      <c r="K56" s="148">
        <f t="shared" si="12"/>
        <v>0</v>
      </c>
      <c r="L56" s="146">
        <f t="shared" si="5"/>
        <v>0</v>
      </c>
      <c r="M56" s="147"/>
      <c r="N56" s="148">
        <f t="shared" si="6"/>
        <v>0</v>
      </c>
      <c r="O56" s="149" t="e">
        <f t="shared" si="1"/>
        <v>#DIV/0!</v>
      </c>
    </row>
    <row r="57" spans="1:15" ht="165" hidden="1">
      <c r="A57" s="131" t="s">
        <v>155</v>
      </c>
      <c r="B57" s="159" t="s">
        <v>166</v>
      </c>
      <c r="C57" s="142">
        <v>0</v>
      </c>
      <c r="D57" s="144">
        <v>0</v>
      </c>
      <c r="E57" s="142"/>
      <c r="F57" s="144"/>
      <c r="G57" s="144"/>
      <c r="H57" s="144" t="e">
        <f>G57/F57*100</f>
        <v>#DIV/0!</v>
      </c>
      <c r="I57" s="146">
        <f t="shared" si="9"/>
        <v>0</v>
      </c>
      <c r="J57" s="147"/>
      <c r="K57" s="148">
        <f t="shared" si="12"/>
        <v>0</v>
      </c>
      <c r="L57" s="146">
        <f t="shared" si="5"/>
        <v>0</v>
      </c>
      <c r="M57" s="147"/>
      <c r="N57" s="148">
        <f t="shared" si="6"/>
        <v>0</v>
      </c>
      <c r="O57" s="149" t="e">
        <f t="shared" si="1"/>
        <v>#DIV/0!</v>
      </c>
    </row>
    <row r="58" spans="1:15" ht="41.25" hidden="1">
      <c r="A58" s="131" t="s">
        <v>155</v>
      </c>
      <c r="B58" s="159" t="s">
        <v>167</v>
      </c>
      <c r="C58" s="142">
        <v>0</v>
      </c>
      <c r="D58" s="144">
        <v>0</v>
      </c>
      <c r="E58" s="142"/>
      <c r="F58" s="144"/>
      <c r="G58" s="144"/>
      <c r="H58" s="144" t="e">
        <f t="shared" si="13"/>
        <v>#DIV/0!</v>
      </c>
      <c r="I58" s="146">
        <f t="shared" si="9"/>
        <v>0</v>
      </c>
      <c r="J58" s="147"/>
      <c r="K58" s="148">
        <f t="shared" si="12"/>
        <v>0</v>
      </c>
      <c r="L58" s="146">
        <f t="shared" si="5"/>
        <v>0</v>
      </c>
      <c r="M58" s="147"/>
      <c r="N58" s="148">
        <f t="shared" si="6"/>
        <v>0</v>
      </c>
      <c r="O58" s="149" t="e">
        <f t="shared" si="1"/>
        <v>#DIV/0!</v>
      </c>
    </row>
    <row r="59" spans="1:15" ht="13.5">
      <c r="A59" s="135" t="s">
        <v>168</v>
      </c>
      <c r="B59" s="136" t="s">
        <v>169</v>
      </c>
      <c r="C59" s="137">
        <f>SUM(C60:C108)</f>
        <v>558800.2999999999</v>
      </c>
      <c r="D59" s="137">
        <f>SUM(D60:D108)</f>
        <v>185898.7</v>
      </c>
      <c r="E59" s="137">
        <f t="shared" si="10"/>
        <v>33.26746603393019</v>
      </c>
      <c r="F59" s="160">
        <f>SUM(F60:F108)</f>
        <v>223307.59999999998</v>
      </c>
      <c r="G59" s="160">
        <f>SUM(G60:G108)</f>
        <v>80668.59999999999</v>
      </c>
      <c r="H59" s="160">
        <f>G59/F59*100</f>
        <v>36.1244310538468</v>
      </c>
      <c r="I59" s="161">
        <f t="shared" si="9"/>
        <v>782107.8999999999</v>
      </c>
      <c r="J59" s="137">
        <f>SUM(J60:J108)</f>
        <v>79568.59999999999</v>
      </c>
      <c r="K59" s="137">
        <f>SUM(K60:K108)</f>
        <v>702539.3</v>
      </c>
      <c r="L59" s="137">
        <f>SUM(L60:L108)</f>
        <v>266567.3</v>
      </c>
      <c r="M59" s="137">
        <f>SUM(M60:M108)</f>
        <v>16328.4</v>
      </c>
      <c r="N59" s="137">
        <f>SUM(N60:N108)</f>
        <v>250238.90000000002</v>
      </c>
      <c r="O59" s="139">
        <f t="shared" si="1"/>
        <v>35.61920308230444</v>
      </c>
    </row>
    <row r="60" spans="1:15" ht="65.25" customHeight="1">
      <c r="A60" s="140" t="s">
        <v>170</v>
      </c>
      <c r="B60" s="141" t="s">
        <v>171</v>
      </c>
      <c r="C60" s="142">
        <v>4044.2</v>
      </c>
      <c r="D60" s="142"/>
      <c r="E60" s="143">
        <f t="shared" si="10"/>
        <v>0</v>
      </c>
      <c r="F60" s="144">
        <v>0</v>
      </c>
      <c r="G60" s="144">
        <v>0</v>
      </c>
      <c r="H60" s="145">
        <v>0</v>
      </c>
      <c r="I60" s="146">
        <f t="shared" si="9"/>
        <v>4044.2</v>
      </c>
      <c r="J60" s="147"/>
      <c r="K60" s="148">
        <f t="shared" si="12"/>
        <v>4044.2</v>
      </c>
      <c r="L60" s="146">
        <f t="shared" si="5"/>
        <v>0</v>
      </c>
      <c r="M60" s="147"/>
      <c r="N60" s="148">
        <f t="shared" si="6"/>
        <v>0</v>
      </c>
      <c r="O60" s="149">
        <f t="shared" si="1"/>
        <v>0</v>
      </c>
    </row>
    <row r="61" spans="1:15" ht="248.25" hidden="1">
      <c r="A61" s="140" t="s">
        <v>170</v>
      </c>
      <c r="B61" s="141" t="s">
        <v>172</v>
      </c>
      <c r="C61" s="142"/>
      <c r="D61" s="142"/>
      <c r="E61" s="143"/>
      <c r="F61" s="144"/>
      <c r="G61" s="144"/>
      <c r="H61" s="145">
        <v>0</v>
      </c>
      <c r="I61" s="146">
        <f t="shared" si="9"/>
        <v>0</v>
      </c>
      <c r="J61" s="147"/>
      <c r="K61" s="148">
        <f>I61-J61</f>
        <v>0</v>
      </c>
      <c r="L61" s="146">
        <f>D61+G61</f>
        <v>0</v>
      </c>
      <c r="M61" s="147"/>
      <c r="N61" s="148">
        <f t="shared" si="6"/>
        <v>0</v>
      </c>
      <c r="O61" s="149" t="e">
        <f t="shared" si="1"/>
        <v>#DIV/0!</v>
      </c>
    </row>
    <row r="62" spans="1:15" ht="41.25" hidden="1">
      <c r="A62" s="140" t="s">
        <v>170</v>
      </c>
      <c r="B62" s="141" t="s">
        <v>173</v>
      </c>
      <c r="C62" s="142">
        <v>0</v>
      </c>
      <c r="D62" s="142">
        <v>0</v>
      </c>
      <c r="E62" s="143" t="e">
        <f t="shared" si="10"/>
        <v>#DIV/0!</v>
      </c>
      <c r="F62" s="144"/>
      <c r="G62" s="144"/>
      <c r="H62" s="145">
        <v>0</v>
      </c>
      <c r="I62" s="146">
        <f t="shared" si="9"/>
        <v>0</v>
      </c>
      <c r="J62" s="147"/>
      <c r="K62" s="148">
        <f aca="true" t="shared" si="14" ref="K62:K108">I62-J62</f>
        <v>0</v>
      </c>
      <c r="L62" s="146">
        <f t="shared" si="5"/>
        <v>0</v>
      </c>
      <c r="M62" s="147"/>
      <c r="N62" s="148">
        <f t="shared" si="6"/>
        <v>0</v>
      </c>
      <c r="O62" s="149" t="e">
        <f>N62/K62*100</f>
        <v>#DIV/0!</v>
      </c>
    </row>
    <row r="63" spans="1:15" ht="151.5" hidden="1">
      <c r="A63" s="140" t="s">
        <v>170</v>
      </c>
      <c r="B63" s="141" t="s">
        <v>174</v>
      </c>
      <c r="C63" s="142"/>
      <c r="D63" s="142"/>
      <c r="E63" s="143" t="e">
        <f t="shared" si="10"/>
        <v>#DIV/0!</v>
      </c>
      <c r="F63" s="144"/>
      <c r="G63" s="144"/>
      <c r="H63" s="145">
        <v>0</v>
      </c>
      <c r="I63" s="146">
        <f t="shared" si="9"/>
        <v>0</v>
      </c>
      <c r="J63" s="147"/>
      <c r="K63" s="148">
        <f t="shared" si="14"/>
        <v>0</v>
      </c>
      <c r="L63" s="146">
        <f t="shared" si="5"/>
        <v>0</v>
      </c>
      <c r="M63" s="147"/>
      <c r="N63" s="148">
        <f t="shared" si="6"/>
        <v>0</v>
      </c>
      <c r="O63" s="149"/>
    </row>
    <row r="64" spans="1:15" ht="54.75">
      <c r="A64" s="140" t="s">
        <v>170</v>
      </c>
      <c r="B64" s="141" t="s">
        <v>175</v>
      </c>
      <c r="C64" s="142">
        <v>59532.4</v>
      </c>
      <c r="D64" s="142">
        <v>52097.1</v>
      </c>
      <c r="E64" s="143">
        <f t="shared" si="10"/>
        <v>87.51049848485866</v>
      </c>
      <c r="F64" s="144"/>
      <c r="G64" s="144"/>
      <c r="H64" s="145">
        <v>0</v>
      </c>
      <c r="I64" s="146">
        <f t="shared" si="9"/>
        <v>59532.4</v>
      </c>
      <c r="J64" s="147"/>
      <c r="K64" s="148">
        <f t="shared" si="14"/>
        <v>59532.4</v>
      </c>
      <c r="L64" s="146">
        <f t="shared" si="5"/>
        <v>52097.1</v>
      </c>
      <c r="M64" s="147"/>
      <c r="N64" s="148">
        <f t="shared" si="6"/>
        <v>52097.1</v>
      </c>
      <c r="O64" s="149">
        <f>N64/K64*100</f>
        <v>87.51049848485866</v>
      </c>
    </row>
    <row r="65" spans="1:15" ht="85.5" customHeight="1">
      <c r="A65" s="140" t="s">
        <v>170</v>
      </c>
      <c r="B65" s="141" t="s">
        <v>176</v>
      </c>
      <c r="C65" s="142">
        <v>42026.9</v>
      </c>
      <c r="D65" s="142">
        <v>2445.1</v>
      </c>
      <c r="E65" s="143">
        <f t="shared" si="10"/>
        <v>5.8179404143536635</v>
      </c>
      <c r="F65" s="144"/>
      <c r="G65" s="144"/>
      <c r="H65" s="145">
        <v>0</v>
      </c>
      <c r="I65" s="146">
        <f t="shared" si="9"/>
        <v>42026.9</v>
      </c>
      <c r="J65" s="147"/>
      <c r="K65" s="148">
        <f t="shared" si="14"/>
        <v>42026.9</v>
      </c>
      <c r="L65" s="146">
        <f t="shared" si="5"/>
        <v>2445.1</v>
      </c>
      <c r="M65" s="147"/>
      <c r="N65" s="148">
        <f t="shared" si="6"/>
        <v>2445.1</v>
      </c>
      <c r="O65" s="149">
        <f t="shared" si="1"/>
        <v>5.8179404143536635</v>
      </c>
    </row>
    <row r="66" spans="1:15" ht="75" customHeight="1">
      <c r="A66" s="140" t="s">
        <v>170</v>
      </c>
      <c r="B66" s="141" t="s">
        <v>177</v>
      </c>
      <c r="C66" s="142">
        <v>4511.7</v>
      </c>
      <c r="D66" s="142">
        <v>301.7</v>
      </c>
      <c r="E66" s="143">
        <f t="shared" si="10"/>
        <v>6.687058093401601</v>
      </c>
      <c r="F66" s="144"/>
      <c r="G66" s="144"/>
      <c r="H66" s="145">
        <v>0</v>
      </c>
      <c r="I66" s="146">
        <f t="shared" si="9"/>
        <v>4511.7</v>
      </c>
      <c r="J66" s="147"/>
      <c r="K66" s="148">
        <f t="shared" si="14"/>
        <v>4511.7</v>
      </c>
      <c r="L66" s="146">
        <f t="shared" si="5"/>
        <v>301.7</v>
      </c>
      <c r="M66" s="147"/>
      <c r="N66" s="148">
        <f t="shared" si="6"/>
        <v>301.7</v>
      </c>
      <c r="O66" s="149">
        <f t="shared" si="1"/>
        <v>6.687058093401601</v>
      </c>
    </row>
    <row r="67" spans="1:15" ht="90" customHeight="1">
      <c r="A67" s="140" t="s">
        <v>170</v>
      </c>
      <c r="B67" s="141" t="s">
        <v>178</v>
      </c>
      <c r="C67" s="142">
        <v>14952</v>
      </c>
      <c r="D67" s="142">
        <v>1563.2</v>
      </c>
      <c r="E67" s="143">
        <f t="shared" si="10"/>
        <v>10.454788657035849</v>
      </c>
      <c r="F67" s="144"/>
      <c r="G67" s="144"/>
      <c r="H67" s="145">
        <v>0</v>
      </c>
      <c r="I67" s="146">
        <f t="shared" si="9"/>
        <v>14952</v>
      </c>
      <c r="J67" s="147"/>
      <c r="K67" s="148">
        <f t="shared" si="14"/>
        <v>14952</v>
      </c>
      <c r="L67" s="146">
        <f t="shared" si="5"/>
        <v>1563.2</v>
      </c>
      <c r="M67" s="147"/>
      <c r="N67" s="148">
        <f t="shared" si="6"/>
        <v>1563.2</v>
      </c>
      <c r="O67" s="149">
        <f t="shared" si="1"/>
        <v>10.454788657035849</v>
      </c>
    </row>
    <row r="68" spans="1:15" ht="63" customHeight="1">
      <c r="A68" s="140" t="s">
        <v>170</v>
      </c>
      <c r="B68" s="141" t="s">
        <v>179</v>
      </c>
      <c r="C68" s="142">
        <v>11145.7</v>
      </c>
      <c r="D68" s="142">
        <v>2726.9</v>
      </c>
      <c r="E68" s="143">
        <f>D68/C68*100</f>
        <v>24.465937536449033</v>
      </c>
      <c r="F68" s="144">
        <f>2793+2783</f>
        <v>5576</v>
      </c>
      <c r="G68" s="144">
        <v>1213.5</v>
      </c>
      <c r="H68" s="145">
        <f>G68/F68*100</f>
        <v>21.762912482065996</v>
      </c>
      <c r="I68" s="146">
        <f t="shared" si="9"/>
        <v>16721.7</v>
      </c>
      <c r="J68" s="147">
        <f>4083+6603</f>
        <v>10686</v>
      </c>
      <c r="K68" s="148">
        <f t="shared" si="14"/>
        <v>6035.700000000001</v>
      </c>
      <c r="L68" s="146">
        <f t="shared" si="5"/>
        <v>3940.4</v>
      </c>
      <c r="M68" s="147">
        <v>2278.2</v>
      </c>
      <c r="N68" s="148">
        <f t="shared" si="6"/>
        <v>1662.2000000000003</v>
      </c>
      <c r="O68" s="149">
        <f>N68/K68*100</f>
        <v>27.53947346620939</v>
      </c>
    </row>
    <row r="69" spans="1:15" ht="49.5" customHeight="1">
      <c r="A69" s="140" t="s">
        <v>170</v>
      </c>
      <c r="B69" s="141" t="s">
        <v>180</v>
      </c>
      <c r="C69" s="142">
        <v>1935</v>
      </c>
      <c r="D69" s="142">
        <v>963.9</v>
      </c>
      <c r="E69" s="143">
        <f>D69/C69*100</f>
        <v>49.81395348837209</v>
      </c>
      <c r="F69" s="144"/>
      <c r="G69" s="144"/>
      <c r="H69" s="145" t="e">
        <f>G69/F69*100</f>
        <v>#DIV/0!</v>
      </c>
      <c r="I69" s="146">
        <f t="shared" si="9"/>
        <v>1935</v>
      </c>
      <c r="J69" s="147"/>
      <c r="K69" s="148">
        <f t="shared" si="14"/>
        <v>1935</v>
      </c>
      <c r="L69" s="146">
        <f t="shared" si="5"/>
        <v>963.9</v>
      </c>
      <c r="M69" s="147"/>
      <c r="N69" s="148">
        <f t="shared" si="6"/>
        <v>963.9</v>
      </c>
      <c r="O69" s="149">
        <f t="shared" si="1"/>
        <v>49.81395348837209</v>
      </c>
    </row>
    <row r="70" spans="1:15" ht="51.75" customHeight="1">
      <c r="A70" s="131" t="s">
        <v>170</v>
      </c>
      <c r="B70" s="141" t="s">
        <v>181</v>
      </c>
      <c r="C70" s="142">
        <v>13880.1</v>
      </c>
      <c r="D70" s="142">
        <v>485.8</v>
      </c>
      <c r="E70" s="143">
        <f t="shared" si="10"/>
        <v>3.499974784043343</v>
      </c>
      <c r="F70" s="144">
        <v>18891.2</v>
      </c>
      <c r="G70" s="144">
        <v>3455.5</v>
      </c>
      <c r="H70" s="145">
        <f>G70/F70*100</f>
        <v>18.29158550012704</v>
      </c>
      <c r="I70" s="146">
        <f t="shared" si="9"/>
        <v>32771.3</v>
      </c>
      <c r="J70" s="147">
        <v>13076</v>
      </c>
      <c r="K70" s="148">
        <f t="shared" si="14"/>
        <v>19695.300000000003</v>
      </c>
      <c r="L70" s="146">
        <f t="shared" si="5"/>
        <v>3941.3</v>
      </c>
      <c r="M70" s="147">
        <v>15.6</v>
      </c>
      <c r="N70" s="148">
        <f t="shared" si="6"/>
        <v>3925.7000000000003</v>
      </c>
      <c r="O70" s="149">
        <f t="shared" si="1"/>
        <v>19.932166557503564</v>
      </c>
    </row>
    <row r="71" spans="1:15" ht="81" customHeight="1">
      <c r="A71" s="140" t="s">
        <v>182</v>
      </c>
      <c r="B71" s="162" t="s">
        <v>183</v>
      </c>
      <c r="C71" s="143">
        <v>35411.8</v>
      </c>
      <c r="D71" s="143">
        <v>27999.7</v>
      </c>
      <c r="E71" s="143">
        <f t="shared" si="10"/>
        <v>79.06884145962646</v>
      </c>
      <c r="F71" s="145">
        <v>38390</v>
      </c>
      <c r="G71" s="145">
        <v>37049.7</v>
      </c>
      <c r="H71" s="145">
        <f>G71/F71*100</f>
        <v>96.50872623078926</v>
      </c>
      <c r="I71" s="146">
        <f t="shared" si="9"/>
        <v>73801.8</v>
      </c>
      <c r="J71" s="147">
        <v>4462</v>
      </c>
      <c r="K71" s="148">
        <f t="shared" si="14"/>
        <v>69339.8</v>
      </c>
      <c r="L71" s="146">
        <f t="shared" si="5"/>
        <v>65049.399999999994</v>
      </c>
      <c r="M71" s="147">
        <v>4462</v>
      </c>
      <c r="N71" s="148">
        <f t="shared" si="6"/>
        <v>60587.399999999994</v>
      </c>
      <c r="O71" s="149">
        <f t="shared" si="1"/>
        <v>87.37752344252506</v>
      </c>
    </row>
    <row r="72" spans="1:15" ht="409.5" hidden="1">
      <c r="A72" s="153" t="s">
        <v>182</v>
      </c>
      <c r="B72" s="141" t="s">
        <v>184</v>
      </c>
      <c r="C72" s="142"/>
      <c r="D72" s="142"/>
      <c r="E72" s="143" t="e">
        <f t="shared" si="10"/>
        <v>#DIV/0!</v>
      </c>
      <c r="F72" s="144"/>
      <c r="G72" s="144"/>
      <c r="H72" s="145" t="e">
        <f>G72/F72*100</f>
        <v>#DIV/0!</v>
      </c>
      <c r="I72" s="146">
        <f t="shared" si="9"/>
        <v>0</v>
      </c>
      <c r="J72" s="147"/>
      <c r="K72" s="148">
        <f t="shared" si="14"/>
        <v>0</v>
      </c>
      <c r="L72" s="146">
        <f t="shared" si="5"/>
        <v>0</v>
      </c>
      <c r="M72" s="147"/>
      <c r="N72" s="148">
        <f t="shared" si="6"/>
        <v>0</v>
      </c>
      <c r="O72" s="149" t="e">
        <f t="shared" si="1"/>
        <v>#DIV/0!</v>
      </c>
    </row>
    <row r="73" spans="1:15" ht="123.75" hidden="1">
      <c r="A73" s="140" t="s">
        <v>182</v>
      </c>
      <c r="B73" s="141" t="s">
        <v>185</v>
      </c>
      <c r="C73" s="142"/>
      <c r="D73" s="142"/>
      <c r="E73" s="143" t="e">
        <f t="shared" si="10"/>
        <v>#DIV/0!</v>
      </c>
      <c r="F73" s="144"/>
      <c r="G73" s="144"/>
      <c r="H73" s="145" t="e">
        <f>G73/F73*100</f>
        <v>#DIV/0!</v>
      </c>
      <c r="I73" s="146">
        <f t="shared" si="9"/>
        <v>0</v>
      </c>
      <c r="J73" s="147"/>
      <c r="K73" s="148">
        <f t="shared" si="14"/>
        <v>0</v>
      </c>
      <c r="L73" s="146">
        <f t="shared" si="5"/>
        <v>0</v>
      </c>
      <c r="M73" s="147"/>
      <c r="N73" s="148">
        <f t="shared" si="6"/>
        <v>0</v>
      </c>
      <c r="O73" s="149" t="e">
        <f t="shared" si="1"/>
        <v>#DIV/0!</v>
      </c>
    </row>
    <row r="74" spans="1:15" ht="110.25" hidden="1">
      <c r="A74" s="131" t="s">
        <v>182</v>
      </c>
      <c r="B74" s="141" t="s">
        <v>186</v>
      </c>
      <c r="C74" s="142"/>
      <c r="D74" s="142"/>
      <c r="E74" s="143" t="e">
        <f t="shared" si="10"/>
        <v>#DIV/0!</v>
      </c>
      <c r="F74" s="144"/>
      <c r="G74" s="144"/>
      <c r="H74" s="145" t="e">
        <f>G74/F74*100</f>
        <v>#DIV/0!</v>
      </c>
      <c r="I74" s="146">
        <f t="shared" si="9"/>
        <v>0</v>
      </c>
      <c r="J74" s="147"/>
      <c r="K74" s="148">
        <f t="shared" si="14"/>
        <v>0</v>
      </c>
      <c r="L74" s="146">
        <f t="shared" si="5"/>
        <v>0</v>
      </c>
      <c r="M74" s="147"/>
      <c r="N74" s="148">
        <f t="shared" si="6"/>
        <v>0</v>
      </c>
      <c r="O74" s="149" t="e">
        <f t="shared" si="1"/>
        <v>#DIV/0!</v>
      </c>
    </row>
    <row r="75" spans="1:15" ht="110.25" hidden="1">
      <c r="A75" s="131" t="s">
        <v>182</v>
      </c>
      <c r="B75" s="141" t="s">
        <v>187</v>
      </c>
      <c r="C75" s="142"/>
      <c r="D75" s="142"/>
      <c r="E75" s="143" t="e">
        <f t="shared" si="10"/>
        <v>#DIV/0!</v>
      </c>
      <c r="F75" s="144"/>
      <c r="G75" s="144"/>
      <c r="H75" s="145" t="e">
        <f>G75/F75*100</f>
        <v>#DIV/0!</v>
      </c>
      <c r="I75" s="146">
        <f t="shared" si="9"/>
        <v>0</v>
      </c>
      <c r="J75" s="147"/>
      <c r="K75" s="148">
        <f t="shared" si="14"/>
        <v>0</v>
      </c>
      <c r="L75" s="146">
        <f t="shared" si="5"/>
        <v>0</v>
      </c>
      <c r="M75" s="147"/>
      <c r="N75" s="148">
        <f t="shared" si="6"/>
        <v>0</v>
      </c>
      <c r="O75" s="149" t="e">
        <f t="shared" si="1"/>
        <v>#DIV/0!</v>
      </c>
    </row>
    <row r="76" spans="1:15" ht="52.5" hidden="1">
      <c r="A76" s="140" t="s">
        <v>182</v>
      </c>
      <c r="B76" s="163" t="s">
        <v>188</v>
      </c>
      <c r="C76" s="142"/>
      <c r="D76" s="142"/>
      <c r="E76" s="143" t="e">
        <f>D76/C76*100</f>
        <v>#DIV/0!</v>
      </c>
      <c r="F76" s="144"/>
      <c r="G76" s="144"/>
      <c r="H76" s="145" t="e">
        <f>G76/F76*100</f>
        <v>#DIV/0!</v>
      </c>
      <c r="I76" s="146">
        <f t="shared" si="9"/>
        <v>0</v>
      </c>
      <c r="J76" s="147"/>
      <c r="K76" s="148">
        <f t="shared" si="14"/>
        <v>0</v>
      </c>
      <c r="L76" s="146">
        <f t="shared" si="5"/>
        <v>0</v>
      </c>
      <c r="M76" s="147"/>
      <c r="N76" s="148">
        <f t="shared" si="6"/>
        <v>0</v>
      </c>
      <c r="O76" s="149" t="e">
        <f>N76/K76*100</f>
        <v>#DIV/0!</v>
      </c>
    </row>
    <row r="77" spans="1:15" ht="13.5" hidden="1">
      <c r="A77" s="140" t="s">
        <v>182</v>
      </c>
      <c r="B77" s="163"/>
      <c r="C77" s="142"/>
      <c r="D77" s="142"/>
      <c r="E77" s="143"/>
      <c r="F77" s="144"/>
      <c r="G77" s="144"/>
      <c r="H77" s="145"/>
      <c r="I77" s="146"/>
      <c r="J77" s="147"/>
      <c r="K77" s="148"/>
      <c r="L77" s="146"/>
      <c r="M77" s="147"/>
      <c r="N77" s="148"/>
      <c r="O77" s="149"/>
    </row>
    <row r="78" spans="1:15" ht="210.75" hidden="1">
      <c r="A78" s="140" t="s">
        <v>182</v>
      </c>
      <c r="B78" s="163" t="s">
        <v>189</v>
      </c>
      <c r="C78" s="142"/>
      <c r="D78" s="142"/>
      <c r="E78" s="143" t="e">
        <f>D78/C78*100</f>
        <v>#DIV/0!</v>
      </c>
      <c r="F78" s="144"/>
      <c r="G78" s="144"/>
      <c r="H78" s="145" t="e">
        <f>G78/F78*100</f>
        <v>#DIV/0!</v>
      </c>
      <c r="I78" s="146">
        <f>C78+F78</f>
        <v>0</v>
      </c>
      <c r="J78" s="147"/>
      <c r="K78" s="148">
        <f>I78-J78</f>
        <v>0</v>
      </c>
      <c r="L78" s="146">
        <f>D78+G78</f>
        <v>0</v>
      </c>
      <c r="M78" s="147"/>
      <c r="N78" s="148">
        <f>L78-M78</f>
        <v>0</v>
      </c>
      <c r="O78" s="149"/>
    </row>
    <row r="79" spans="1:15" ht="54.75">
      <c r="A79" s="131" t="s">
        <v>182</v>
      </c>
      <c r="B79" s="159" t="s">
        <v>190</v>
      </c>
      <c r="C79" s="142">
        <v>38070</v>
      </c>
      <c r="D79" s="142">
        <v>7513.8</v>
      </c>
      <c r="E79" s="143">
        <f aca="true" t="shared" si="15" ref="E79:E91">D79/C79*100</f>
        <v>19.736800630417655</v>
      </c>
      <c r="F79" s="144">
        <v>31628.9</v>
      </c>
      <c r="G79" s="144">
        <v>6033.6</v>
      </c>
      <c r="H79" s="145">
        <f>G79/F79*100</f>
        <v>19.07622459206612</v>
      </c>
      <c r="I79" s="146">
        <f t="shared" si="9"/>
        <v>69698.9</v>
      </c>
      <c r="J79" s="147">
        <f>15229.2+1260</f>
        <v>16489.2</v>
      </c>
      <c r="K79" s="148">
        <f t="shared" si="14"/>
        <v>53209.7</v>
      </c>
      <c r="L79" s="146">
        <f>D79+G79</f>
        <v>13547.400000000001</v>
      </c>
      <c r="M79" s="147"/>
      <c r="N79" s="148">
        <f>L79-M79</f>
        <v>13547.400000000001</v>
      </c>
      <c r="O79" s="149">
        <f t="shared" si="1"/>
        <v>25.460395379038037</v>
      </c>
    </row>
    <row r="80" spans="1:15" ht="110.25" hidden="1">
      <c r="A80" s="131" t="s">
        <v>182</v>
      </c>
      <c r="B80" s="159" t="s">
        <v>191</v>
      </c>
      <c r="C80" s="142"/>
      <c r="D80" s="142"/>
      <c r="E80" s="143" t="e">
        <f t="shared" si="15"/>
        <v>#DIV/0!</v>
      </c>
      <c r="F80" s="144">
        <v>0</v>
      </c>
      <c r="G80" s="144">
        <v>0</v>
      </c>
      <c r="H80" s="145" t="e">
        <f>G80/F80*100</f>
        <v>#DIV/0!</v>
      </c>
      <c r="I80" s="146">
        <f t="shared" si="9"/>
        <v>0</v>
      </c>
      <c r="J80" s="147"/>
      <c r="K80" s="148">
        <f t="shared" si="14"/>
        <v>0</v>
      </c>
      <c r="L80" s="146">
        <f t="shared" si="5"/>
        <v>0</v>
      </c>
      <c r="M80" s="147"/>
      <c r="N80" s="148">
        <f t="shared" si="6"/>
        <v>0</v>
      </c>
      <c r="O80" s="149"/>
    </row>
    <row r="81" spans="1:15" ht="96" hidden="1">
      <c r="A81" s="131" t="s">
        <v>182</v>
      </c>
      <c r="B81" s="159" t="s">
        <v>192</v>
      </c>
      <c r="C81" s="142">
        <v>0</v>
      </c>
      <c r="D81" s="142">
        <v>0</v>
      </c>
      <c r="E81" s="143" t="e">
        <f t="shared" si="15"/>
        <v>#DIV/0!</v>
      </c>
      <c r="F81" s="144"/>
      <c r="G81" s="144"/>
      <c r="H81" s="145"/>
      <c r="I81" s="146">
        <f t="shared" si="9"/>
        <v>0</v>
      </c>
      <c r="J81" s="147"/>
      <c r="K81" s="148">
        <f t="shared" si="14"/>
        <v>0</v>
      </c>
      <c r="L81" s="146">
        <f t="shared" si="5"/>
        <v>0</v>
      </c>
      <c r="M81" s="147"/>
      <c r="N81" s="148">
        <f t="shared" si="6"/>
        <v>0</v>
      </c>
      <c r="O81" s="149"/>
    </row>
    <row r="82" spans="1:15" ht="69" hidden="1">
      <c r="A82" s="131" t="s">
        <v>182</v>
      </c>
      <c r="B82" s="164" t="s">
        <v>193</v>
      </c>
      <c r="C82" s="142">
        <v>0</v>
      </c>
      <c r="D82" s="142">
        <v>0</v>
      </c>
      <c r="E82" s="143" t="e">
        <f t="shared" si="15"/>
        <v>#DIV/0!</v>
      </c>
      <c r="F82" s="144"/>
      <c r="G82" s="144"/>
      <c r="H82" s="145" t="e">
        <f aca="true" t="shared" si="16" ref="H82:H91">G82/F82*100</f>
        <v>#DIV/0!</v>
      </c>
      <c r="I82" s="146">
        <f t="shared" si="9"/>
        <v>0</v>
      </c>
      <c r="J82" s="147"/>
      <c r="K82" s="148">
        <f t="shared" si="14"/>
        <v>0</v>
      </c>
      <c r="L82" s="146">
        <f t="shared" si="5"/>
        <v>0</v>
      </c>
      <c r="M82" s="147"/>
      <c r="N82" s="148">
        <f t="shared" si="6"/>
        <v>0</v>
      </c>
      <c r="O82" s="149" t="e">
        <f>N82/K82*100</f>
        <v>#DIV/0!</v>
      </c>
    </row>
    <row r="83" spans="1:15" ht="41.25">
      <c r="A83" s="131" t="s">
        <v>182</v>
      </c>
      <c r="B83" s="159" t="s">
        <v>194</v>
      </c>
      <c r="C83" s="142">
        <v>1500</v>
      </c>
      <c r="D83" s="142">
        <v>421.5</v>
      </c>
      <c r="E83" s="143">
        <f t="shared" si="15"/>
        <v>28.1</v>
      </c>
      <c r="F83" s="144">
        <f>1500</f>
        <v>1500</v>
      </c>
      <c r="G83" s="144">
        <v>421.5</v>
      </c>
      <c r="H83" s="145">
        <f t="shared" si="16"/>
        <v>28.1</v>
      </c>
      <c r="I83" s="146">
        <f t="shared" si="9"/>
        <v>3000</v>
      </c>
      <c r="J83" s="147">
        <v>1500</v>
      </c>
      <c r="K83" s="148">
        <f t="shared" si="14"/>
        <v>1500</v>
      </c>
      <c r="L83" s="146">
        <f t="shared" si="5"/>
        <v>843</v>
      </c>
      <c r="M83" s="147">
        <v>421.5</v>
      </c>
      <c r="N83" s="148">
        <f t="shared" si="6"/>
        <v>421.5</v>
      </c>
      <c r="O83" s="149">
        <f>N83/K83*100</f>
        <v>28.1</v>
      </c>
    </row>
    <row r="84" spans="1:15" ht="49.5" customHeight="1">
      <c r="A84" s="131" t="s">
        <v>182</v>
      </c>
      <c r="B84" s="165" t="s">
        <v>195</v>
      </c>
      <c r="C84" s="142">
        <v>220311.3</v>
      </c>
      <c r="D84" s="142">
        <v>84740.8</v>
      </c>
      <c r="E84" s="143">
        <f t="shared" si="15"/>
        <v>38.46411872654739</v>
      </c>
      <c r="F84" s="144"/>
      <c r="G84" s="144"/>
      <c r="H84" s="145" t="e">
        <f t="shared" si="16"/>
        <v>#DIV/0!</v>
      </c>
      <c r="I84" s="146">
        <f>C84+F84</f>
        <v>220311.3</v>
      </c>
      <c r="J84" s="147"/>
      <c r="K84" s="148">
        <f>I84-J84</f>
        <v>220311.3</v>
      </c>
      <c r="L84" s="146">
        <f>D84+G84</f>
        <v>84740.8</v>
      </c>
      <c r="M84" s="147"/>
      <c r="N84" s="148">
        <f>L84-M84</f>
        <v>84740.8</v>
      </c>
      <c r="O84" s="149">
        <f>N84/K84*100</f>
        <v>38.46411872654739</v>
      </c>
    </row>
    <row r="85" spans="1:15" ht="75" customHeight="1">
      <c r="A85" s="131" t="s">
        <v>182</v>
      </c>
      <c r="B85" s="159" t="s">
        <v>196</v>
      </c>
      <c r="C85" s="142"/>
      <c r="D85" s="142"/>
      <c r="E85" s="143" t="e">
        <f t="shared" si="15"/>
        <v>#DIV/0!</v>
      </c>
      <c r="F85" s="144">
        <v>12300</v>
      </c>
      <c r="G85" s="144">
        <v>6215</v>
      </c>
      <c r="H85" s="145">
        <f t="shared" si="16"/>
        <v>50.52845528455284</v>
      </c>
      <c r="I85" s="146">
        <f t="shared" si="9"/>
        <v>12300</v>
      </c>
      <c r="J85" s="147">
        <v>12300</v>
      </c>
      <c r="K85" s="148">
        <f t="shared" si="14"/>
        <v>0</v>
      </c>
      <c r="L85" s="146">
        <f t="shared" si="5"/>
        <v>6215</v>
      </c>
      <c r="M85" s="147">
        <v>6215</v>
      </c>
      <c r="N85" s="148">
        <f t="shared" si="6"/>
        <v>0</v>
      </c>
      <c r="O85" s="149" t="e">
        <f>N85/K85*100</f>
        <v>#DIV/0!</v>
      </c>
    </row>
    <row r="86" spans="1:15" ht="261.75" hidden="1">
      <c r="A86" s="131" t="s">
        <v>182</v>
      </c>
      <c r="B86" s="159" t="s">
        <v>197</v>
      </c>
      <c r="C86" s="142"/>
      <c r="D86" s="142"/>
      <c r="E86" s="143" t="e">
        <f t="shared" si="15"/>
        <v>#DIV/0!</v>
      </c>
      <c r="F86" s="144"/>
      <c r="G86" s="144"/>
      <c r="H86" s="145" t="e">
        <f t="shared" si="16"/>
        <v>#DIV/0!</v>
      </c>
      <c r="I86" s="146">
        <f t="shared" si="9"/>
        <v>0</v>
      </c>
      <c r="J86" s="147"/>
      <c r="K86" s="148">
        <f t="shared" si="14"/>
        <v>0</v>
      </c>
      <c r="L86" s="146">
        <f t="shared" si="5"/>
        <v>0</v>
      </c>
      <c r="M86" s="147"/>
      <c r="N86" s="148">
        <f t="shared" si="6"/>
        <v>0</v>
      </c>
      <c r="O86" s="149" t="e">
        <f>N86/K86*100</f>
        <v>#DIV/0!</v>
      </c>
    </row>
    <row r="87" spans="1:15" ht="41.25">
      <c r="A87" s="131" t="s">
        <v>182</v>
      </c>
      <c r="B87" s="159" t="s">
        <v>198</v>
      </c>
      <c r="C87" s="142">
        <v>86919.1</v>
      </c>
      <c r="D87" s="142">
        <v>0</v>
      </c>
      <c r="E87" s="143">
        <f t="shared" si="15"/>
        <v>0</v>
      </c>
      <c r="F87" s="144"/>
      <c r="G87" s="144"/>
      <c r="H87" s="145" t="e">
        <f t="shared" si="16"/>
        <v>#DIV/0!</v>
      </c>
      <c r="I87" s="146">
        <f t="shared" si="9"/>
        <v>86919.1</v>
      </c>
      <c r="J87" s="147"/>
      <c r="K87" s="148">
        <f t="shared" si="14"/>
        <v>86919.1</v>
      </c>
      <c r="L87" s="146">
        <f t="shared" si="5"/>
        <v>0</v>
      </c>
      <c r="M87" s="147"/>
      <c r="N87" s="148">
        <f t="shared" si="6"/>
        <v>0</v>
      </c>
      <c r="O87" s="166">
        <f t="shared" si="1"/>
        <v>0</v>
      </c>
    </row>
    <row r="88" spans="1:15" ht="42" customHeight="1">
      <c r="A88" s="131" t="s">
        <v>182</v>
      </c>
      <c r="B88" s="159" t="s">
        <v>199</v>
      </c>
      <c r="C88" s="142">
        <v>2174</v>
      </c>
      <c r="D88" s="142">
        <v>1477</v>
      </c>
      <c r="E88" s="143">
        <f t="shared" si="15"/>
        <v>67.93928242870285</v>
      </c>
      <c r="F88" s="144">
        <v>282</v>
      </c>
      <c r="G88" s="144">
        <v>282</v>
      </c>
      <c r="H88" s="145">
        <f t="shared" si="16"/>
        <v>100</v>
      </c>
      <c r="I88" s="146">
        <f t="shared" si="9"/>
        <v>2456</v>
      </c>
      <c r="J88" s="147">
        <v>282</v>
      </c>
      <c r="K88" s="148">
        <f t="shared" si="14"/>
        <v>2174</v>
      </c>
      <c r="L88" s="146">
        <f t="shared" si="5"/>
        <v>1759</v>
      </c>
      <c r="M88" s="147">
        <v>282</v>
      </c>
      <c r="N88" s="148">
        <f t="shared" si="6"/>
        <v>1477</v>
      </c>
      <c r="O88" s="149">
        <f t="shared" si="1"/>
        <v>67.93928242870285</v>
      </c>
    </row>
    <row r="89" spans="1:15" ht="248.25" hidden="1">
      <c r="A89" s="131" t="s">
        <v>182</v>
      </c>
      <c r="B89" s="159" t="s">
        <v>200</v>
      </c>
      <c r="C89" s="142">
        <v>0</v>
      </c>
      <c r="D89" s="142">
        <v>0</v>
      </c>
      <c r="E89" s="143" t="e">
        <f t="shared" si="15"/>
        <v>#DIV/0!</v>
      </c>
      <c r="F89" s="144">
        <v>0</v>
      </c>
      <c r="G89" s="144">
        <v>0</v>
      </c>
      <c r="H89" s="145" t="e">
        <f t="shared" si="16"/>
        <v>#DIV/0!</v>
      </c>
      <c r="I89" s="146">
        <f t="shared" si="9"/>
        <v>0</v>
      </c>
      <c r="J89" s="147"/>
      <c r="K89" s="148">
        <f t="shared" si="14"/>
        <v>0</v>
      </c>
      <c r="L89" s="146">
        <f t="shared" si="5"/>
        <v>0</v>
      </c>
      <c r="M89" s="147"/>
      <c r="N89" s="148">
        <f t="shared" si="6"/>
        <v>0</v>
      </c>
      <c r="O89" s="149" t="e">
        <f t="shared" si="1"/>
        <v>#DIV/0!</v>
      </c>
    </row>
    <row r="90" spans="1:15" ht="41.25">
      <c r="A90" s="131" t="s">
        <v>182</v>
      </c>
      <c r="B90" s="159" t="s">
        <v>201</v>
      </c>
      <c r="C90" s="142">
        <v>1572.2</v>
      </c>
      <c r="D90" s="142">
        <v>505.5</v>
      </c>
      <c r="E90" s="143">
        <f t="shared" si="15"/>
        <v>32.15239791375143</v>
      </c>
      <c r="F90" s="144"/>
      <c r="G90" s="144"/>
      <c r="H90" s="145" t="e">
        <f t="shared" si="16"/>
        <v>#DIV/0!</v>
      </c>
      <c r="I90" s="146">
        <f t="shared" si="9"/>
        <v>1572.2</v>
      </c>
      <c r="J90" s="147"/>
      <c r="K90" s="148">
        <f t="shared" si="14"/>
        <v>1572.2</v>
      </c>
      <c r="L90" s="146">
        <f t="shared" si="5"/>
        <v>505.5</v>
      </c>
      <c r="M90" s="147"/>
      <c r="N90" s="148">
        <f t="shared" si="6"/>
        <v>505.5</v>
      </c>
      <c r="O90" s="149">
        <f t="shared" si="1"/>
        <v>32.15239791375143</v>
      </c>
    </row>
    <row r="91" spans="1:15" ht="97.5" customHeight="1">
      <c r="A91" s="131" t="s">
        <v>202</v>
      </c>
      <c r="B91" s="159" t="s">
        <v>203</v>
      </c>
      <c r="C91" s="142">
        <v>9708.4</v>
      </c>
      <c r="D91" s="142">
        <v>0</v>
      </c>
      <c r="E91" s="143">
        <f t="shared" si="15"/>
        <v>0</v>
      </c>
      <c r="F91" s="142">
        <v>9708.4</v>
      </c>
      <c r="G91" s="144">
        <v>0</v>
      </c>
      <c r="H91" s="145">
        <f t="shared" si="16"/>
        <v>0</v>
      </c>
      <c r="I91" s="146">
        <f t="shared" si="9"/>
        <v>19416.8</v>
      </c>
      <c r="J91" s="147">
        <v>9708.4</v>
      </c>
      <c r="K91" s="148">
        <f t="shared" si="14"/>
        <v>9708.4</v>
      </c>
      <c r="L91" s="146">
        <f t="shared" si="5"/>
        <v>0</v>
      </c>
      <c r="M91" s="147">
        <v>0</v>
      </c>
      <c r="N91" s="148">
        <f t="shared" si="6"/>
        <v>0</v>
      </c>
      <c r="O91" s="149">
        <f t="shared" si="1"/>
        <v>0</v>
      </c>
    </row>
    <row r="92" spans="1:15" ht="97.5" customHeight="1">
      <c r="A92" s="157" t="s">
        <v>202</v>
      </c>
      <c r="B92" s="141" t="s">
        <v>204</v>
      </c>
      <c r="C92" s="142">
        <v>1500</v>
      </c>
      <c r="D92" s="142">
        <v>50</v>
      </c>
      <c r="E92" s="143">
        <f t="shared" si="10"/>
        <v>3.3333333333333335</v>
      </c>
      <c r="F92" s="142">
        <v>1500</v>
      </c>
      <c r="G92" s="144">
        <v>50</v>
      </c>
      <c r="H92" s="145">
        <f>G92/F92*100</f>
        <v>3.3333333333333335</v>
      </c>
      <c r="I92" s="146">
        <f aca="true" t="shared" si="17" ref="I92:I108">C92+F92</f>
        <v>3000</v>
      </c>
      <c r="J92" s="147">
        <v>1500</v>
      </c>
      <c r="K92" s="148">
        <f t="shared" si="14"/>
        <v>1500</v>
      </c>
      <c r="L92" s="146">
        <f aca="true" t="shared" si="18" ref="L92:L154">D92+G92</f>
        <v>100</v>
      </c>
      <c r="M92" s="147">
        <v>50</v>
      </c>
      <c r="N92" s="148">
        <f aca="true" t="shared" si="19" ref="N92:N154">L92-M92</f>
        <v>50</v>
      </c>
      <c r="O92" s="149">
        <f t="shared" si="1"/>
        <v>3.3333333333333335</v>
      </c>
    </row>
    <row r="93" spans="1:15" ht="46.5" customHeight="1">
      <c r="A93" s="131" t="s">
        <v>202</v>
      </c>
      <c r="B93" s="141" t="s">
        <v>205</v>
      </c>
      <c r="C93" s="142">
        <v>2140.1</v>
      </c>
      <c r="D93" s="142"/>
      <c r="E93" s="143">
        <f t="shared" si="10"/>
        <v>0</v>
      </c>
      <c r="F93" s="142">
        <v>2140.1</v>
      </c>
      <c r="G93" s="144"/>
      <c r="H93" s="145"/>
      <c r="I93" s="146">
        <f t="shared" si="17"/>
        <v>4280.2</v>
      </c>
      <c r="J93" s="147">
        <v>2140.2</v>
      </c>
      <c r="K93" s="148">
        <f t="shared" si="14"/>
        <v>2140</v>
      </c>
      <c r="L93" s="146">
        <f t="shared" si="18"/>
        <v>0</v>
      </c>
      <c r="M93" s="147"/>
      <c r="N93" s="148">
        <f t="shared" si="19"/>
        <v>0</v>
      </c>
      <c r="O93" s="149"/>
    </row>
    <row r="94" spans="1:15" ht="44.25" customHeight="1">
      <c r="A94" s="131" t="s">
        <v>202</v>
      </c>
      <c r="B94" s="141" t="s">
        <v>206</v>
      </c>
      <c r="C94" s="142"/>
      <c r="D94" s="142"/>
      <c r="E94" s="143" t="e">
        <f t="shared" si="10"/>
        <v>#DIV/0!</v>
      </c>
      <c r="F94" s="142">
        <v>550</v>
      </c>
      <c r="G94" s="144"/>
      <c r="H94" s="145"/>
      <c r="I94" s="146">
        <f t="shared" si="17"/>
        <v>550</v>
      </c>
      <c r="J94" s="147"/>
      <c r="K94" s="148">
        <f t="shared" si="14"/>
        <v>550</v>
      </c>
      <c r="L94" s="146">
        <f t="shared" si="18"/>
        <v>0</v>
      </c>
      <c r="M94" s="147"/>
      <c r="N94" s="148">
        <f t="shared" si="19"/>
        <v>0</v>
      </c>
      <c r="O94" s="149"/>
    </row>
    <row r="95" spans="1:15" ht="55.5" customHeight="1">
      <c r="A95" s="131" t="s">
        <v>202</v>
      </c>
      <c r="B95" s="167" t="s">
        <v>207</v>
      </c>
      <c r="C95" s="142"/>
      <c r="D95" s="142"/>
      <c r="E95" s="143" t="e">
        <f>D95/C95*100</f>
        <v>#DIV/0!</v>
      </c>
      <c r="F95" s="168">
        <f>23942.9</f>
        <v>23942.9</v>
      </c>
      <c r="G95" s="144">
        <v>2133.6</v>
      </c>
      <c r="H95" s="145">
        <f>G95/F95*100</f>
        <v>8.911201232933355</v>
      </c>
      <c r="I95" s="146">
        <f>C95+F95</f>
        <v>23942.9</v>
      </c>
      <c r="J95" s="147"/>
      <c r="K95" s="148">
        <f>I95-J95</f>
        <v>23942.9</v>
      </c>
      <c r="L95" s="146">
        <f>D95+G95</f>
        <v>2133.6</v>
      </c>
      <c r="M95" s="147"/>
      <c r="N95" s="148">
        <f t="shared" si="19"/>
        <v>2133.6</v>
      </c>
      <c r="O95" s="149"/>
    </row>
    <row r="96" spans="1:15" ht="44.25" customHeight="1">
      <c r="A96" s="131" t="s">
        <v>202</v>
      </c>
      <c r="B96" s="167" t="s">
        <v>208</v>
      </c>
      <c r="C96" s="142">
        <v>7424.8</v>
      </c>
      <c r="D96" s="142">
        <v>2604.1</v>
      </c>
      <c r="E96" s="143">
        <f>D96/C96*100</f>
        <v>35.072998599288866</v>
      </c>
      <c r="F96" s="142">
        <v>7424.8</v>
      </c>
      <c r="G96" s="144">
        <v>2604.1</v>
      </c>
      <c r="H96" s="145">
        <f>G96/F96*100</f>
        <v>35.072998599288866</v>
      </c>
      <c r="I96" s="146">
        <f>C96+F96</f>
        <v>14849.6</v>
      </c>
      <c r="J96" s="147">
        <v>7424.8</v>
      </c>
      <c r="K96" s="148">
        <f>I96-J96</f>
        <v>7424.8</v>
      </c>
      <c r="L96" s="146">
        <f>D96+G96</f>
        <v>5208.2</v>
      </c>
      <c r="M96" s="147">
        <v>2604.1</v>
      </c>
      <c r="N96" s="148">
        <f>L96-M96</f>
        <v>2604.1</v>
      </c>
      <c r="O96" s="149"/>
    </row>
    <row r="97" spans="1:15" ht="399.75" hidden="1">
      <c r="A97" s="131" t="s">
        <v>202</v>
      </c>
      <c r="B97" s="141" t="s">
        <v>209</v>
      </c>
      <c r="C97" s="142">
        <v>0</v>
      </c>
      <c r="D97" s="142">
        <v>0</v>
      </c>
      <c r="E97" s="143" t="e">
        <f t="shared" si="10"/>
        <v>#DIV/0!</v>
      </c>
      <c r="F97" s="142">
        <v>0</v>
      </c>
      <c r="G97" s="144">
        <v>0</v>
      </c>
      <c r="H97" s="145" t="e">
        <f>G97/F97*100</f>
        <v>#DIV/0!</v>
      </c>
      <c r="I97" s="146">
        <f t="shared" si="17"/>
        <v>0</v>
      </c>
      <c r="J97" s="147">
        <v>0</v>
      </c>
      <c r="K97" s="148">
        <f t="shared" si="14"/>
        <v>0</v>
      </c>
      <c r="L97" s="146">
        <f t="shared" si="18"/>
        <v>0</v>
      </c>
      <c r="M97" s="147">
        <v>0</v>
      </c>
      <c r="N97" s="148">
        <f>L97-M97</f>
        <v>0</v>
      </c>
      <c r="O97" s="149" t="e">
        <f t="shared" si="1"/>
        <v>#DIV/0!</v>
      </c>
    </row>
    <row r="98" spans="1:15" ht="69" hidden="1">
      <c r="A98" s="169" t="s">
        <v>202</v>
      </c>
      <c r="B98" s="170" t="s">
        <v>210</v>
      </c>
      <c r="C98" s="142">
        <v>0</v>
      </c>
      <c r="D98" s="142">
        <v>0</v>
      </c>
      <c r="E98" s="143" t="e">
        <f t="shared" si="10"/>
        <v>#DIV/0!</v>
      </c>
      <c r="F98" s="142">
        <v>0</v>
      </c>
      <c r="G98" s="144">
        <v>0</v>
      </c>
      <c r="H98" s="145" t="e">
        <f>G98/F98*100</f>
        <v>#DIV/0!</v>
      </c>
      <c r="I98" s="146">
        <f t="shared" si="17"/>
        <v>0</v>
      </c>
      <c r="J98" s="147"/>
      <c r="K98" s="148">
        <f t="shared" si="14"/>
        <v>0</v>
      </c>
      <c r="L98" s="146">
        <f t="shared" si="18"/>
        <v>0</v>
      </c>
      <c r="M98" s="147"/>
      <c r="N98" s="148">
        <f t="shared" si="19"/>
        <v>0</v>
      </c>
      <c r="O98" s="149" t="e">
        <f t="shared" si="1"/>
        <v>#DIV/0!</v>
      </c>
    </row>
    <row r="99" spans="1:15" ht="69" hidden="1">
      <c r="A99" s="131" t="s">
        <v>202</v>
      </c>
      <c r="B99" s="141" t="s">
        <v>211</v>
      </c>
      <c r="C99" s="142"/>
      <c r="D99" s="142"/>
      <c r="E99" s="143"/>
      <c r="F99" s="142"/>
      <c r="G99" s="144"/>
      <c r="H99" s="145" t="e">
        <f>G99/F99*100</f>
        <v>#DIV/0!</v>
      </c>
      <c r="I99" s="146">
        <f t="shared" si="17"/>
        <v>0</v>
      </c>
      <c r="J99" s="147"/>
      <c r="K99" s="148">
        <f t="shared" si="14"/>
        <v>0</v>
      </c>
      <c r="L99" s="146">
        <f t="shared" si="18"/>
        <v>0</v>
      </c>
      <c r="M99" s="147"/>
      <c r="N99" s="148">
        <f t="shared" si="19"/>
        <v>0</v>
      </c>
      <c r="O99" s="149"/>
    </row>
    <row r="100" spans="1:15" ht="276" hidden="1">
      <c r="A100" s="131" t="s">
        <v>202</v>
      </c>
      <c r="B100" s="141" t="s">
        <v>212</v>
      </c>
      <c r="C100" s="142"/>
      <c r="D100" s="142"/>
      <c r="E100" s="143" t="e">
        <f t="shared" si="10"/>
        <v>#DIV/0!</v>
      </c>
      <c r="F100" s="142"/>
      <c r="G100" s="144"/>
      <c r="H100" s="145" t="e">
        <f>G100/F100*100</f>
        <v>#DIV/0!</v>
      </c>
      <c r="I100" s="146">
        <f t="shared" si="17"/>
        <v>0</v>
      </c>
      <c r="J100" s="147"/>
      <c r="K100" s="148">
        <f t="shared" si="14"/>
        <v>0</v>
      </c>
      <c r="L100" s="146">
        <f t="shared" si="18"/>
        <v>0</v>
      </c>
      <c r="M100" s="147"/>
      <c r="N100" s="148">
        <f t="shared" si="19"/>
        <v>0</v>
      </c>
      <c r="O100" s="149" t="e">
        <f t="shared" si="1"/>
        <v>#DIV/0!</v>
      </c>
    </row>
    <row r="101" spans="1:15" ht="27">
      <c r="A101" s="131" t="s">
        <v>202</v>
      </c>
      <c r="B101" s="141" t="s">
        <v>213</v>
      </c>
      <c r="C101" s="142"/>
      <c r="D101" s="142"/>
      <c r="E101" s="143"/>
      <c r="F101" s="142">
        <v>3810</v>
      </c>
      <c r="G101" s="144">
        <v>427.2</v>
      </c>
      <c r="H101" s="145">
        <f>G101/F101*100</f>
        <v>11.21259842519685</v>
      </c>
      <c r="I101" s="146">
        <f>C101+F101</f>
        <v>3810</v>
      </c>
      <c r="J101" s="147"/>
      <c r="K101" s="148">
        <f t="shared" si="14"/>
        <v>3810</v>
      </c>
      <c r="L101" s="146">
        <f>D101+G101</f>
        <v>427.2</v>
      </c>
      <c r="M101" s="147"/>
      <c r="N101" s="148">
        <f t="shared" si="19"/>
        <v>427.2</v>
      </c>
      <c r="O101" s="149"/>
    </row>
    <row r="102" spans="1:15" ht="409.5" hidden="1">
      <c r="A102" s="131" t="s">
        <v>202</v>
      </c>
      <c r="B102" s="162" t="s">
        <v>214</v>
      </c>
      <c r="C102" s="142"/>
      <c r="D102" s="142"/>
      <c r="E102" s="143"/>
      <c r="F102" s="142"/>
      <c r="G102" s="144"/>
      <c r="H102" s="145" t="e">
        <f>G102/F102*100</f>
        <v>#DIV/0!</v>
      </c>
      <c r="I102" s="146">
        <f t="shared" si="17"/>
        <v>0</v>
      </c>
      <c r="J102" s="147"/>
      <c r="K102" s="148">
        <f t="shared" si="14"/>
        <v>0</v>
      </c>
      <c r="L102" s="146">
        <f t="shared" si="18"/>
        <v>0</v>
      </c>
      <c r="M102" s="147"/>
      <c r="N102" s="148">
        <f t="shared" si="19"/>
        <v>0</v>
      </c>
      <c r="O102" s="149" t="e">
        <f t="shared" si="1"/>
        <v>#DIV/0!</v>
      </c>
    </row>
    <row r="103" spans="1:15" ht="27" hidden="1">
      <c r="A103" s="131" t="s">
        <v>202</v>
      </c>
      <c r="B103" s="141" t="s">
        <v>215</v>
      </c>
      <c r="C103" s="142"/>
      <c r="D103" s="142"/>
      <c r="E103" s="143" t="e">
        <f t="shared" si="10"/>
        <v>#DIV/0!</v>
      </c>
      <c r="F103" s="142"/>
      <c r="G103" s="144"/>
      <c r="H103" s="145" t="e">
        <f>G103/F103*100</f>
        <v>#DIV/0!</v>
      </c>
      <c r="I103" s="146">
        <f t="shared" si="17"/>
        <v>0</v>
      </c>
      <c r="J103" s="147"/>
      <c r="K103" s="148">
        <f t="shared" si="14"/>
        <v>0</v>
      </c>
      <c r="L103" s="146">
        <f t="shared" si="18"/>
        <v>0</v>
      </c>
      <c r="M103" s="147"/>
      <c r="N103" s="148">
        <f t="shared" si="19"/>
        <v>0</v>
      </c>
      <c r="O103" s="149" t="e">
        <f t="shared" si="1"/>
        <v>#DIV/0!</v>
      </c>
    </row>
    <row r="104" spans="1:15" ht="41.25" hidden="1">
      <c r="A104" s="131" t="s">
        <v>202</v>
      </c>
      <c r="B104" s="141" t="s">
        <v>216</v>
      </c>
      <c r="C104" s="142"/>
      <c r="D104" s="142"/>
      <c r="E104" s="143"/>
      <c r="F104" s="142"/>
      <c r="G104" s="144"/>
      <c r="H104" s="145"/>
      <c r="I104" s="146">
        <f t="shared" si="17"/>
        <v>0</v>
      </c>
      <c r="J104" s="147"/>
      <c r="K104" s="148">
        <f t="shared" si="14"/>
        <v>0</v>
      </c>
      <c r="L104" s="146">
        <f t="shared" si="18"/>
        <v>0</v>
      </c>
      <c r="M104" s="147"/>
      <c r="N104" s="148">
        <f t="shared" si="19"/>
        <v>0</v>
      </c>
      <c r="O104" s="149" t="e">
        <f t="shared" si="1"/>
        <v>#DIV/0!</v>
      </c>
    </row>
    <row r="105" spans="1:15" ht="165" hidden="1">
      <c r="A105" s="131" t="s">
        <v>202</v>
      </c>
      <c r="B105" s="141" t="s">
        <v>217</v>
      </c>
      <c r="C105" s="142"/>
      <c r="D105" s="142"/>
      <c r="E105" s="143"/>
      <c r="F105" s="142"/>
      <c r="G105" s="144"/>
      <c r="H105" s="145"/>
      <c r="I105" s="146">
        <f t="shared" si="17"/>
        <v>0</v>
      </c>
      <c r="J105" s="147"/>
      <c r="K105" s="148">
        <f t="shared" si="14"/>
        <v>0</v>
      </c>
      <c r="L105" s="146">
        <f t="shared" si="18"/>
        <v>0</v>
      </c>
      <c r="M105" s="147"/>
      <c r="N105" s="148">
        <f t="shared" si="19"/>
        <v>0</v>
      </c>
      <c r="O105" s="149" t="e">
        <f t="shared" si="1"/>
        <v>#DIV/0!</v>
      </c>
    </row>
    <row r="106" spans="1:15" ht="372" hidden="1">
      <c r="A106" s="131" t="s">
        <v>202</v>
      </c>
      <c r="B106" s="171" t="s">
        <v>218</v>
      </c>
      <c r="C106" s="142"/>
      <c r="D106" s="142"/>
      <c r="E106" s="143"/>
      <c r="F106" s="142"/>
      <c r="G106" s="144"/>
      <c r="H106" s="145"/>
      <c r="I106" s="146">
        <f t="shared" si="17"/>
        <v>0</v>
      </c>
      <c r="J106" s="147"/>
      <c r="K106" s="148">
        <f t="shared" si="14"/>
        <v>0</v>
      </c>
      <c r="L106" s="146">
        <f t="shared" si="18"/>
        <v>0</v>
      </c>
      <c r="M106" s="147"/>
      <c r="N106" s="148">
        <f t="shared" si="19"/>
        <v>0</v>
      </c>
      <c r="O106" s="149" t="e">
        <f t="shared" si="1"/>
        <v>#DIV/0!</v>
      </c>
    </row>
    <row r="107" spans="1:15" ht="27">
      <c r="A107" s="140" t="s">
        <v>202</v>
      </c>
      <c r="B107" s="141" t="s">
        <v>219</v>
      </c>
      <c r="C107" s="142"/>
      <c r="D107" s="142"/>
      <c r="E107" s="143"/>
      <c r="F107" s="142">
        <v>65663.3</v>
      </c>
      <c r="G107" s="144">
        <v>20782.9</v>
      </c>
      <c r="H107" s="145">
        <f>G107/F107*100</f>
        <v>31.65070899574039</v>
      </c>
      <c r="I107" s="146">
        <f t="shared" si="17"/>
        <v>65663.3</v>
      </c>
      <c r="J107" s="147"/>
      <c r="K107" s="148">
        <f t="shared" si="14"/>
        <v>65663.3</v>
      </c>
      <c r="L107" s="146">
        <f t="shared" si="18"/>
        <v>20782.9</v>
      </c>
      <c r="M107" s="147"/>
      <c r="N107" s="148">
        <f t="shared" si="19"/>
        <v>20782.9</v>
      </c>
      <c r="O107" s="149">
        <f t="shared" si="1"/>
        <v>31.65070899574039</v>
      </c>
    </row>
    <row r="108" spans="1:15" ht="15" customHeight="1">
      <c r="A108" s="131" t="s">
        <v>220</v>
      </c>
      <c r="B108" s="141" t="s">
        <v>221</v>
      </c>
      <c r="C108" s="142">
        <v>40.6</v>
      </c>
      <c r="D108" s="142">
        <v>2.6</v>
      </c>
      <c r="E108" s="143">
        <f>D108/C108*100</f>
        <v>6.403940886699508</v>
      </c>
      <c r="F108" s="142">
        <v>0</v>
      </c>
      <c r="G108" s="144"/>
      <c r="H108" s="145">
        <v>0</v>
      </c>
      <c r="I108" s="146">
        <f t="shared" si="17"/>
        <v>40.6</v>
      </c>
      <c r="J108" s="147"/>
      <c r="K108" s="148">
        <f t="shared" si="14"/>
        <v>40.6</v>
      </c>
      <c r="L108" s="146">
        <f t="shared" si="18"/>
        <v>2.6</v>
      </c>
      <c r="M108" s="147"/>
      <c r="N108" s="148">
        <f t="shared" si="19"/>
        <v>2.6</v>
      </c>
      <c r="O108" s="172">
        <f t="shared" si="1"/>
        <v>6.403940886699508</v>
      </c>
    </row>
    <row r="109" spans="1:15" ht="22.5" customHeight="1">
      <c r="A109" s="173" t="s">
        <v>222</v>
      </c>
      <c r="B109" s="174" t="s">
        <v>223</v>
      </c>
      <c r="C109" s="160">
        <f>C110</f>
        <v>33108.2</v>
      </c>
      <c r="D109" s="160">
        <f aca="true" t="shared" si="20" ref="D109:N109">D110</f>
        <v>1415</v>
      </c>
      <c r="E109" s="151">
        <f t="shared" si="10"/>
        <v>4.273865688862578</v>
      </c>
      <c r="F109" s="160">
        <f t="shared" si="20"/>
        <v>3994.8</v>
      </c>
      <c r="G109" s="160">
        <f t="shared" si="20"/>
        <v>918.5</v>
      </c>
      <c r="H109" s="138">
        <f t="shared" si="20"/>
        <v>22.99239010713928</v>
      </c>
      <c r="I109" s="160">
        <f t="shared" si="20"/>
        <v>37103</v>
      </c>
      <c r="J109" s="160">
        <f t="shared" si="20"/>
        <v>4510</v>
      </c>
      <c r="K109" s="160">
        <f>K110</f>
        <v>32593</v>
      </c>
      <c r="L109" s="160">
        <f t="shared" si="20"/>
        <v>2333.5</v>
      </c>
      <c r="M109" s="160">
        <f t="shared" si="20"/>
        <v>1319.9</v>
      </c>
      <c r="N109" s="160">
        <f t="shared" si="20"/>
        <v>1013.5999999999999</v>
      </c>
      <c r="O109" s="175">
        <f t="shared" si="1"/>
        <v>3.1098702175313715</v>
      </c>
    </row>
    <row r="110" spans="1:15" ht="26.25" customHeight="1">
      <c r="A110" s="131" t="s">
        <v>224</v>
      </c>
      <c r="B110" s="176" t="s">
        <v>225</v>
      </c>
      <c r="C110" s="144">
        <v>33108.2</v>
      </c>
      <c r="D110" s="144">
        <v>1415</v>
      </c>
      <c r="E110" s="143">
        <f t="shared" si="10"/>
        <v>4.273865688862578</v>
      </c>
      <c r="F110" s="144">
        <v>3994.8</v>
      </c>
      <c r="G110" s="144">
        <v>918.5</v>
      </c>
      <c r="H110" s="145">
        <f>G110/F110*100</f>
        <v>22.99239010713928</v>
      </c>
      <c r="I110" s="146">
        <f aca="true" t="shared" si="21" ref="I110:I154">C110+F110</f>
        <v>37103</v>
      </c>
      <c r="J110" s="147">
        <v>4510</v>
      </c>
      <c r="K110" s="148">
        <f>I110-J110</f>
        <v>32593</v>
      </c>
      <c r="L110" s="146">
        <f t="shared" si="18"/>
        <v>2333.5</v>
      </c>
      <c r="M110" s="147">
        <v>1319.9</v>
      </c>
      <c r="N110" s="148">
        <f t="shared" si="19"/>
        <v>1013.5999999999999</v>
      </c>
      <c r="O110" s="149">
        <f t="shared" si="1"/>
        <v>3.1098702175313715</v>
      </c>
    </row>
    <row r="111" spans="1:15" ht="14.25" customHeight="1">
      <c r="A111" s="135" t="s">
        <v>226</v>
      </c>
      <c r="B111" s="136" t="s">
        <v>227</v>
      </c>
      <c r="C111" s="137">
        <f>SUM(C112:C121)</f>
        <v>2682167.1</v>
      </c>
      <c r="D111" s="137">
        <f>SUM(D112:D121)</f>
        <v>1315184.4</v>
      </c>
      <c r="E111" s="137">
        <f>D111/C111*100</f>
        <v>49.03439461322152</v>
      </c>
      <c r="F111" s="160">
        <f>F112+F114+F115+F120+F121</f>
        <v>0</v>
      </c>
      <c r="G111" s="160">
        <f>SUM(G112:G121)</f>
        <v>0</v>
      </c>
      <c r="H111" s="138">
        <v>0</v>
      </c>
      <c r="I111" s="137">
        <f aca="true" t="shared" si="22" ref="I111:N111">SUM(I112:I121)</f>
        <v>2682167.1</v>
      </c>
      <c r="J111" s="137">
        <f t="shared" si="22"/>
        <v>0</v>
      </c>
      <c r="K111" s="137">
        <f t="shared" si="22"/>
        <v>2682167.1</v>
      </c>
      <c r="L111" s="137">
        <f t="shared" si="22"/>
        <v>1315184.4</v>
      </c>
      <c r="M111" s="137">
        <f t="shared" si="22"/>
        <v>0</v>
      </c>
      <c r="N111" s="137">
        <f t="shared" si="22"/>
        <v>1315184.4</v>
      </c>
      <c r="O111" s="139">
        <f t="shared" si="1"/>
        <v>49.03439461322152</v>
      </c>
    </row>
    <row r="112" spans="1:15" ht="23.25" customHeight="1">
      <c r="A112" s="140" t="s">
        <v>228</v>
      </c>
      <c r="B112" s="141" t="s">
        <v>229</v>
      </c>
      <c r="C112" s="142">
        <v>394414.9</v>
      </c>
      <c r="D112" s="142">
        <v>203155.6</v>
      </c>
      <c r="E112" s="143">
        <f t="shared" si="10"/>
        <v>51.50809464855409</v>
      </c>
      <c r="F112" s="144">
        <v>0</v>
      </c>
      <c r="G112" s="144">
        <v>0</v>
      </c>
      <c r="H112" s="145">
        <v>0</v>
      </c>
      <c r="I112" s="146">
        <f t="shared" si="21"/>
        <v>394414.9</v>
      </c>
      <c r="J112" s="147"/>
      <c r="K112" s="148">
        <f aca="true" t="shared" si="23" ref="K112:K154">I112-J112</f>
        <v>394414.9</v>
      </c>
      <c r="L112" s="146">
        <f t="shared" si="18"/>
        <v>203155.6</v>
      </c>
      <c r="M112" s="147"/>
      <c r="N112" s="148">
        <f t="shared" si="19"/>
        <v>203155.6</v>
      </c>
      <c r="O112" s="149">
        <f t="shared" si="1"/>
        <v>51.50809464855409</v>
      </c>
    </row>
    <row r="113" spans="1:15" ht="179.25" hidden="1">
      <c r="A113" s="153" t="s">
        <v>228</v>
      </c>
      <c r="B113" s="141" t="s">
        <v>230</v>
      </c>
      <c r="C113" s="142"/>
      <c r="D113" s="142"/>
      <c r="E113" s="143" t="e">
        <f t="shared" si="10"/>
        <v>#DIV/0!</v>
      </c>
      <c r="F113" s="144">
        <v>0</v>
      </c>
      <c r="G113" s="144">
        <v>0</v>
      </c>
      <c r="H113" s="145">
        <v>0</v>
      </c>
      <c r="I113" s="146">
        <f t="shared" si="21"/>
        <v>0</v>
      </c>
      <c r="J113" s="147"/>
      <c r="K113" s="148">
        <f t="shared" si="23"/>
        <v>0</v>
      </c>
      <c r="L113" s="146">
        <f t="shared" si="18"/>
        <v>0</v>
      </c>
      <c r="M113" s="147"/>
      <c r="N113" s="148">
        <f t="shared" si="19"/>
        <v>0</v>
      </c>
      <c r="O113" s="149" t="e">
        <f t="shared" si="1"/>
        <v>#DIV/0!</v>
      </c>
    </row>
    <row r="114" spans="1:15" ht="13.5">
      <c r="A114" s="140" t="s">
        <v>231</v>
      </c>
      <c r="B114" s="162" t="s">
        <v>232</v>
      </c>
      <c r="C114" s="142">
        <f>2056072.1-C115-C116-C117</f>
        <v>1940531.9000000001</v>
      </c>
      <c r="D114" s="142">
        <f>956996.6-D115-D116-D117</f>
        <v>900408.7999999999</v>
      </c>
      <c r="E114" s="142">
        <f t="shared" si="10"/>
        <v>46.40010298207414</v>
      </c>
      <c r="F114" s="144">
        <v>0</v>
      </c>
      <c r="G114" s="144">
        <v>0</v>
      </c>
      <c r="H114" s="144">
        <v>0</v>
      </c>
      <c r="I114" s="146">
        <f t="shared" si="21"/>
        <v>1940531.9000000001</v>
      </c>
      <c r="J114" s="147"/>
      <c r="K114" s="148">
        <f t="shared" si="23"/>
        <v>1940531.9000000001</v>
      </c>
      <c r="L114" s="146">
        <f t="shared" si="18"/>
        <v>900408.7999999999</v>
      </c>
      <c r="M114" s="147"/>
      <c r="N114" s="148">
        <f t="shared" si="19"/>
        <v>900408.7999999999</v>
      </c>
      <c r="O114" s="177">
        <f t="shared" si="1"/>
        <v>46.40010298207414</v>
      </c>
    </row>
    <row r="115" spans="1:15" ht="102" customHeight="1">
      <c r="A115" s="140" t="s">
        <v>231</v>
      </c>
      <c r="B115" s="141" t="s">
        <v>233</v>
      </c>
      <c r="C115" s="142">
        <v>93072</v>
      </c>
      <c r="D115" s="142">
        <v>46740</v>
      </c>
      <c r="E115" s="143">
        <f t="shared" si="10"/>
        <v>50.21918514698298</v>
      </c>
      <c r="F115" s="144">
        <v>0</v>
      </c>
      <c r="G115" s="144">
        <v>0</v>
      </c>
      <c r="H115" s="145">
        <v>0</v>
      </c>
      <c r="I115" s="146">
        <f t="shared" si="21"/>
        <v>93072</v>
      </c>
      <c r="J115" s="147"/>
      <c r="K115" s="148">
        <f t="shared" si="23"/>
        <v>93072</v>
      </c>
      <c r="L115" s="146">
        <f t="shared" si="18"/>
        <v>46740</v>
      </c>
      <c r="M115" s="147"/>
      <c r="N115" s="148">
        <f t="shared" si="19"/>
        <v>46740</v>
      </c>
      <c r="O115" s="149">
        <f t="shared" si="1"/>
        <v>50.21918514698298</v>
      </c>
    </row>
    <row r="116" spans="1:15" ht="72.75" customHeight="1">
      <c r="A116" s="140" t="s">
        <v>231</v>
      </c>
      <c r="B116" s="141" t="s">
        <v>234</v>
      </c>
      <c r="C116" s="142">
        <v>22468.2</v>
      </c>
      <c r="D116" s="142">
        <v>9847.8</v>
      </c>
      <c r="E116" s="143">
        <f t="shared" si="10"/>
        <v>43.829946324138106</v>
      </c>
      <c r="F116" s="144"/>
      <c r="G116" s="144"/>
      <c r="H116" s="145" t="e">
        <f>G116/F116*100</f>
        <v>#DIV/0!</v>
      </c>
      <c r="I116" s="146">
        <f t="shared" si="21"/>
        <v>22468.2</v>
      </c>
      <c r="J116" s="147"/>
      <c r="K116" s="148">
        <f t="shared" si="23"/>
        <v>22468.2</v>
      </c>
      <c r="L116" s="146">
        <f t="shared" si="18"/>
        <v>9847.8</v>
      </c>
      <c r="M116" s="147"/>
      <c r="N116" s="148">
        <f t="shared" si="19"/>
        <v>9847.8</v>
      </c>
      <c r="O116" s="149">
        <f t="shared" si="1"/>
        <v>43.829946324138106</v>
      </c>
    </row>
    <row r="117" spans="1:15" ht="289.5" hidden="1">
      <c r="A117" s="140" t="s">
        <v>231</v>
      </c>
      <c r="B117" s="141" t="s">
        <v>235</v>
      </c>
      <c r="C117" s="142">
        <v>0</v>
      </c>
      <c r="D117" s="142">
        <v>0</v>
      </c>
      <c r="E117" s="143" t="e">
        <f t="shared" si="10"/>
        <v>#DIV/0!</v>
      </c>
      <c r="F117" s="144"/>
      <c r="G117" s="144"/>
      <c r="H117" s="145"/>
      <c r="I117" s="146">
        <f t="shared" si="21"/>
        <v>0</v>
      </c>
      <c r="J117" s="147"/>
      <c r="K117" s="148">
        <f t="shared" si="23"/>
        <v>0</v>
      </c>
      <c r="L117" s="146">
        <f t="shared" si="18"/>
        <v>0</v>
      </c>
      <c r="M117" s="147"/>
      <c r="N117" s="148">
        <f t="shared" si="19"/>
        <v>0</v>
      </c>
      <c r="O117" s="149" t="e">
        <f t="shared" si="1"/>
        <v>#DIV/0!</v>
      </c>
    </row>
    <row r="118" spans="1:15" ht="110.25" hidden="1">
      <c r="A118" s="140" t="s">
        <v>231</v>
      </c>
      <c r="B118" s="141" t="s">
        <v>236</v>
      </c>
      <c r="C118" s="142"/>
      <c r="D118" s="142"/>
      <c r="E118" s="143"/>
      <c r="F118" s="144">
        <v>0</v>
      </c>
      <c r="G118" s="144">
        <v>0</v>
      </c>
      <c r="H118" s="145">
        <v>0</v>
      </c>
      <c r="I118" s="146">
        <f t="shared" si="21"/>
        <v>0</v>
      </c>
      <c r="J118" s="147"/>
      <c r="K118" s="148">
        <f t="shared" si="23"/>
        <v>0</v>
      </c>
      <c r="L118" s="146">
        <f t="shared" si="18"/>
        <v>0</v>
      </c>
      <c r="M118" s="147"/>
      <c r="N118" s="148">
        <f t="shared" si="19"/>
        <v>0</v>
      </c>
      <c r="O118" s="149"/>
    </row>
    <row r="119" spans="1:15" ht="13.5">
      <c r="A119" s="140" t="s">
        <v>237</v>
      </c>
      <c r="B119" s="141" t="s">
        <v>238</v>
      </c>
      <c r="C119" s="142">
        <v>142391.9</v>
      </c>
      <c r="D119" s="142">
        <v>92681.9</v>
      </c>
      <c r="E119" s="143">
        <f t="shared" si="10"/>
        <v>65.0893063439704</v>
      </c>
      <c r="F119" s="144"/>
      <c r="G119" s="144"/>
      <c r="H119" s="145"/>
      <c r="I119" s="146">
        <f t="shared" si="21"/>
        <v>142391.9</v>
      </c>
      <c r="J119" s="147"/>
      <c r="K119" s="148">
        <f t="shared" si="23"/>
        <v>142391.9</v>
      </c>
      <c r="L119" s="146">
        <f t="shared" si="18"/>
        <v>92681.9</v>
      </c>
      <c r="M119" s="147"/>
      <c r="N119" s="148">
        <f t="shared" si="19"/>
        <v>92681.9</v>
      </c>
      <c r="O119" s="149">
        <f t="shared" si="1"/>
        <v>65.0893063439704</v>
      </c>
    </row>
    <row r="120" spans="1:15" ht="22.5" customHeight="1">
      <c r="A120" s="140" t="s">
        <v>239</v>
      </c>
      <c r="B120" s="141" t="s">
        <v>240</v>
      </c>
      <c r="C120" s="142">
        <v>24724.9</v>
      </c>
      <c r="D120" s="142">
        <v>17812.2</v>
      </c>
      <c r="E120" s="143">
        <f t="shared" si="10"/>
        <v>72.04154516297335</v>
      </c>
      <c r="F120" s="144"/>
      <c r="G120" s="144"/>
      <c r="H120" s="145"/>
      <c r="I120" s="146">
        <f t="shared" si="21"/>
        <v>24724.9</v>
      </c>
      <c r="J120" s="147"/>
      <c r="K120" s="148">
        <f t="shared" si="23"/>
        <v>24724.9</v>
      </c>
      <c r="L120" s="146">
        <f t="shared" si="18"/>
        <v>17812.2</v>
      </c>
      <c r="M120" s="147"/>
      <c r="N120" s="148">
        <f t="shared" si="19"/>
        <v>17812.2</v>
      </c>
      <c r="O120" s="149">
        <f t="shared" si="1"/>
        <v>72.04154516297335</v>
      </c>
    </row>
    <row r="121" spans="1:15" ht="22.5" customHeight="1">
      <c r="A121" s="140" t="s">
        <v>241</v>
      </c>
      <c r="B121" s="141" t="s">
        <v>242</v>
      </c>
      <c r="C121" s="142">
        <v>64563.3</v>
      </c>
      <c r="D121" s="142">
        <v>44538.1</v>
      </c>
      <c r="E121" s="143">
        <f t="shared" si="10"/>
        <v>68.9836176279713</v>
      </c>
      <c r="F121" s="144">
        <v>0</v>
      </c>
      <c r="G121" s="144"/>
      <c r="H121" s="145">
        <v>0</v>
      </c>
      <c r="I121" s="146">
        <f t="shared" si="21"/>
        <v>64563.3</v>
      </c>
      <c r="J121" s="147"/>
      <c r="K121" s="148">
        <f t="shared" si="23"/>
        <v>64563.3</v>
      </c>
      <c r="L121" s="146">
        <f t="shared" si="18"/>
        <v>44538.1</v>
      </c>
      <c r="M121" s="147"/>
      <c r="N121" s="148">
        <f t="shared" si="19"/>
        <v>44538.1</v>
      </c>
      <c r="O121" s="149">
        <f t="shared" si="1"/>
        <v>68.9836176279713</v>
      </c>
    </row>
    <row r="122" spans="1:15" ht="20.25" customHeight="1">
      <c r="A122" s="135" t="s">
        <v>243</v>
      </c>
      <c r="B122" s="136" t="s">
        <v>244</v>
      </c>
      <c r="C122" s="137">
        <f>SUM(C123:C126)</f>
        <v>90608.6</v>
      </c>
      <c r="D122" s="137">
        <f>SUM(D123:D126)</f>
        <v>52805</v>
      </c>
      <c r="E122" s="137">
        <f>D122/C122*100</f>
        <v>58.27813253929538</v>
      </c>
      <c r="F122" s="160">
        <f>SUM(F123:F126)</f>
        <v>121318.20000000001</v>
      </c>
      <c r="G122" s="160">
        <f>SUM(G123:G126)</f>
        <v>56092.6</v>
      </c>
      <c r="H122" s="138">
        <f>G122/F122*100</f>
        <v>46.23593162443886</v>
      </c>
      <c r="I122" s="160">
        <f aca="true" t="shared" si="24" ref="I122:N122">SUM(I123:I126)</f>
        <v>211926.80000000002</v>
      </c>
      <c r="J122" s="160">
        <f t="shared" si="24"/>
        <v>12949.5</v>
      </c>
      <c r="K122" s="160">
        <f t="shared" si="24"/>
        <v>198977.30000000002</v>
      </c>
      <c r="L122" s="160">
        <f t="shared" si="24"/>
        <v>108897.6</v>
      </c>
      <c r="M122" s="160">
        <f t="shared" si="24"/>
        <v>7270.5</v>
      </c>
      <c r="N122" s="160">
        <f t="shared" si="24"/>
        <v>101627.1</v>
      </c>
      <c r="O122" s="139">
        <f t="shared" si="1"/>
        <v>51.07472058370477</v>
      </c>
    </row>
    <row r="123" spans="1:15" ht="18" customHeight="1">
      <c r="A123" s="140" t="s">
        <v>245</v>
      </c>
      <c r="B123" s="141" t="s">
        <v>246</v>
      </c>
      <c r="C123" s="142">
        <f>73350.6-C124</f>
        <v>72651.70000000001</v>
      </c>
      <c r="D123" s="142">
        <f>38926.8-D124</f>
        <v>38236.9</v>
      </c>
      <c r="E123" s="143">
        <f t="shared" si="10"/>
        <v>52.630427092552544</v>
      </c>
      <c r="F123" s="178">
        <f>117637.1-F124</f>
        <v>117495.70000000001</v>
      </c>
      <c r="G123" s="144">
        <f>53645.2-G124</f>
        <v>53532.799999999996</v>
      </c>
      <c r="H123" s="145">
        <f>G123/F123*100</f>
        <v>45.5614971441508</v>
      </c>
      <c r="I123" s="146">
        <f t="shared" si="21"/>
        <v>190147.40000000002</v>
      </c>
      <c r="J123" s="147">
        <f>9444.5-J124</f>
        <v>9320</v>
      </c>
      <c r="K123" s="148">
        <f>I123-J123</f>
        <v>180827.40000000002</v>
      </c>
      <c r="L123" s="146">
        <f t="shared" si="18"/>
        <v>91769.7</v>
      </c>
      <c r="M123" s="147">
        <f>4827-M124</f>
        <v>4702.5</v>
      </c>
      <c r="N123" s="148">
        <f t="shared" si="19"/>
        <v>87067.2</v>
      </c>
      <c r="O123" s="149">
        <f t="shared" si="1"/>
        <v>48.14934019954939</v>
      </c>
    </row>
    <row r="124" spans="1:15" ht="35.25" customHeight="1">
      <c r="A124" s="169" t="s">
        <v>245</v>
      </c>
      <c r="B124" s="170" t="s">
        <v>247</v>
      </c>
      <c r="C124" s="142">
        <v>698.9</v>
      </c>
      <c r="D124" s="142">
        <v>689.9</v>
      </c>
      <c r="E124" s="143">
        <f t="shared" si="10"/>
        <v>98.71226212619831</v>
      </c>
      <c r="F124" s="144">
        <v>141.4</v>
      </c>
      <c r="G124" s="144">
        <v>112.4</v>
      </c>
      <c r="H124" s="145">
        <f>G124/F124*100</f>
        <v>79.4908062234795</v>
      </c>
      <c r="I124" s="146">
        <f t="shared" si="21"/>
        <v>840.3</v>
      </c>
      <c r="J124" s="147">
        <v>124.5</v>
      </c>
      <c r="K124" s="148">
        <f>I124-J124</f>
        <v>715.8</v>
      </c>
      <c r="L124" s="146">
        <f t="shared" si="18"/>
        <v>802.3</v>
      </c>
      <c r="M124" s="147">
        <v>124.5</v>
      </c>
      <c r="N124" s="148">
        <f t="shared" si="19"/>
        <v>677.8</v>
      </c>
      <c r="O124" s="149">
        <f>N124/K124*100</f>
        <v>94.6912545403744</v>
      </c>
    </row>
    <row r="125" spans="1:15" ht="20.25" customHeight="1">
      <c r="A125" s="140" t="s">
        <v>248</v>
      </c>
      <c r="B125" s="141" t="s">
        <v>249</v>
      </c>
      <c r="C125" s="142">
        <v>100</v>
      </c>
      <c r="D125" s="142">
        <v>60</v>
      </c>
      <c r="E125" s="143">
        <f t="shared" si="10"/>
        <v>60</v>
      </c>
      <c r="F125" s="144"/>
      <c r="G125" s="144"/>
      <c r="H125" s="145" t="e">
        <f>G125/F125*100</f>
        <v>#DIV/0!</v>
      </c>
      <c r="I125" s="146">
        <f t="shared" si="21"/>
        <v>100</v>
      </c>
      <c r="J125" s="147"/>
      <c r="K125" s="148">
        <f>I125-J125</f>
        <v>100</v>
      </c>
      <c r="L125" s="146">
        <f t="shared" si="18"/>
        <v>60</v>
      </c>
      <c r="M125" s="147"/>
      <c r="N125" s="148">
        <f t="shared" si="19"/>
        <v>60</v>
      </c>
      <c r="O125" s="149">
        <f aca="true" t="shared" si="25" ref="O125:O155">N125/K125*100</f>
        <v>60</v>
      </c>
    </row>
    <row r="126" spans="1:15" ht="30" customHeight="1">
      <c r="A126" s="140" t="s">
        <v>250</v>
      </c>
      <c r="B126" s="141" t="s">
        <v>251</v>
      </c>
      <c r="C126" s="142">
        <v>17158</v>
      </c>
      <c r="D126" s="142">
        <v>13818.2</v>
      </c>
      <c r="E126" s="143">
        <f t="shared" si="10"/>
        <v>80.53502739247</v>
      </c>
      <c r="F126" s="144">
        <v>3681.1</v>
      </c>
      <c r="G126" s="144">
        <v>2447.4</v>
      </c>
      <c r="H126" s="145">
        <f>G126/F126*100</f>
        <v>66.48556138110891</v>
      </c>
      <c r="I126" s="146">
        <f t="shared" si="21"/>
        <v>20839.1</v>
      </c>
      <c r="J126" s="147">
        <v>3505</v>
      </c>
      <c r="K126" s="148">
        <f>I126-J126</f>
        <v>17334.1</v>
      </c>
      <c r="L126" s="146">
        <f t="shared" si="18"/>
        <v>16265.6</v>
      </c>
      <c r="M126" s="147">
        <v>2443.5</v>
      </c>
      <c r="N126" s="148">
        <f t="shared" si="19"/>
        <v>13822.1</v>
      </c>
      <c r="O126" s="149">
        <f t="shared" si="25"/>
        <v>79.73935768225637</v>
      </c>
    </row>
    <row r="127" spans="1:15" ht="21" customHeight="1">
      <c r="A127" s="135" t="s">
        <v>252</v>
      </c>
      <c r="B127" s="136" t="s">
        <v>253</v>
      </c>
      <c r="C127" s="137">
        <f>SUM(C128:C130)</f>
        <v>2307.7</v>
      </c>
      <c r="D127" s="137">
        <f>SUM(D128:D130)</f>
        <v>34</v>
      </c>
      <c r="E127" s="137">
        <f>SUM(E130:E130)</f>
        <v>1.4733284222385927</v>
      </c>
      <c r="F127" s="160">
        <f>F128+F129+F130</f>
        <v>0</v>
      </c>
      <c r="G127" s="160">
        <f>G128+G129+G130</f>
        <v>0</v>
      </c>
      <c r="H127" s="160"/>
      <c r="I127" s="160">
        <f aca="true" t="shared" si="26" ref="I127:N127">I128+I129+I130</f>
        <v>2307.7</v>
      </c>
      <c r="J127" s="160">
        <f t="shared" si="26"/>
        <v>0</v>
      </c>
      <c r="K127" s="160">
        <f>K128+K129+K130</f>
        <v>2307.7</v>
      </c>
      <c r="L127" s="160">
        <f t="shared" si="26"/>
        <v>34</v>
      </c>
      <c r="M127" s="160">
        <f t="shared" si="26"/>
        <v>0</v>
      </c>
      <c r="N127" s="160">
        <f t="shared" si="26"/>
        <v>34</v>
      </c>
      <c r="O127" s="139">
        <f t="shared" si="25"/>
        <v>1.4733284222385927</v>
      </c>
    </row>
    <row r="128" spans="1:15" ht="289.5" hidden="1">
      <c r="A128" s="153" t="s">
        <v>254</v>
      </c>
      <c r="B128" s="162" t="s">
        <v>255</v>
      </c>
      <c r="C128" s="142"/>
      <c r="D128" s="142"/>
      <c r="E128" s="143" t="e">
        <f t="shared" si="10"/>
        <v>#DIV/0!</v>
      </c>
      <c r="F128" s="144"/>
      <c r="G128" s="144"/>
      <c r="H128" s="145" t="e">
        <f>G128/F128*100</f>
        <v>#DIV/0!</v>
      </c>
      <c r="I128" s="146">
        <f t="shared" si="21"/>
        <v>0</v>
      </c>
      <c r="J128" s="147"/>
      <c r="K128" s="148">
        <f>I128-J128</f>
        <v>0</v>
      </c>
      <c r="L128" s="146">
        <f t="shared" si="18"/>
        <v>0</v>
      </c>
      <c r="M128" s="147"/>
      <c r="N128" s="148">
        <f t="shared" si="19"/>
        <v>0</v>
      </c>
      <c r="O128" s="149" t="e">
        <f t="shared" si="25"/>
        <v>#DIV/0!</v>
      </c>
    </row>
    <row r="129" spans="1:15" ht="41.25" hidden="1">
      <c r="A129" s="131" t="s">
        <v>256</v>
      </c>
      <c r="B129" s="170" t="s">
        <v>257</v>
      </c>
      <c r="C129" s="142"/>
      <c r="D129" s="142"/>
      <c r="E129" s="143" t="e">
        <f t="shared" si="10"/>
        <v>#DIV/0!</v>
      </c>
      <c r="F129" s="148"/>
      <c r="G129" s="148"/>
      <c r="H129" s="144"/>
      <c r="I129" s="146">
        <f t="shared" si="21"/>
        <v>0</v>
      </c>
      <c r="J129" s="147"/>
      <c r="K129" s="148">
        <f t="shared" si="23"/>
        <v>0</v>
      </c>
      <c r="L129" s="146">
        <f t="shared" si="18"/>
        <v>0</v>
      </c>
      <c r="M129" s="147"/>
      <c r="N129" s="148">
        <f>L129-M129</f>
        <v>0</v>
      </c>
      <c r="O129" s="149" t="e">
        <f t="shared" si="25"/>
        <v>#DIV/0!</v>
      </c>
    </row>
    <row r="130" spans="1:15" ht="33.75" customHeight="1">
      <c r="A130" s="131" t="s">
        <v>256</v>
      </c>
      <c r="B130" s="170" t="s">
        <v>258</v>
      </c>
      <c r="C130" s="142">
        <v>2307.7</v>
      </c>
      <c r="D130" s="144">
        <v>34</v>
      </c>
      <c r="E130" s="143">
        <f t="shared" si="10"/>
        <v>1.4733284222385927</v>
      </c>
      <c r="F130" s="144"/>
      <c r="G130" s="144"/>
      <c r="H130" s="145"/>
      <c r="I130" s="146">
        <f t="shared" si="21"/>
        <v>2307.7</v>
      </c>
      <c r="J130" s="147"/>
      <c r="K130" s="148">
        <f t="shared" si="23"/>
        <v>2307.7</v>
      </c>
      <c r="L130" s="146">
        <f t="shared" si="18"/>
        <v>34</v>
      </c>
      <c r="M130" s="147"/>
      <c r="N130" s="148">
        <f t="shared" si="19"/>
        <v>34</v>
      </c>
      <c r="O130" s="149">
        <f t="shared" si="25"/>
        <v>1.4733284222385927</v>
      </c>
    </row>
    <row r="131" spans="1:15" ht="19.5" customHeight="1">
      <c r="A131" s="135">
        <v>10</v>
      </c>
      <c r="B131" s="136" t="s">
        <v>259</v>
      </c>
      <c r="C131" s="137">
        <f>SUM(C132:C141)</f>
        <v>168185.19999999998</v>
      </c>
      <c r="D131" s="137">
        <f>SUM(D132:D141)</f>
        <v>66056.8</v>
      </c>
      <c r="E131" s="137">
        <f>D131/C131*100</f>
        <v>39.27622644560878</v>
      </c>
      <c r="F131" s="137">
        <f>SUM(F132:F141)</f>
        <v>780</v>
      </c>
      <c r="G131" s="137">
        <f>SUM(G132:G141)</f>
        <v>340</v>
      </c>
      <c r="H131" s="138">
        <f>G131/F131*100</f>
        <v>43.58974358974359</v>
      </c>
      <c r="I131" s="137">
        <f>SUM(I132:I141)</f>
        <v>168965.19999999998</v>
      </c>
      <c r="J131" s="137">
        <f>SUM(J132:J141)</f>
        <v>0</v>
      </c>
      <c r="K131" s="137">
        <f>SUM(K132:K141)</f>
        <v>168965.19999999998</v>
      </c>
      <c r="L131" s="137">
        <f>SUM(L132:L141)</f>
        <v>66396.8</v>
      </c>
      <c r="M131" s="137">
        <f>SUM(M132:M141)</f>
        <v>0</v>
      </c>
      <c r="N131" s="137">
        <f>SUM(N132:N141)</f>
        <v>66396.8</v>
      </c>
      <c r="O131" s="139">
        <f t="shared" si="25"/>
        <v>39.29613908662849</v>
      </c>
    </row>
    <row r="132" spans="1:15" ht="22.5" customHeight="1">
      <c r="A132" s="131">
        <v>1001</v>
      </c>
      <c r="B132" s="141" t="s">
        <v>260</v>
      </c>
      <c r="C132" s="142">
        <v>4925.5</v>
      </c>
      <c r="D132" s="142">
        <v>2329.6</v>
      </c>
      <c r="E132" s="143">
        <f t="shared" si="10"/>
        <v>47.29672114506142</v>
      </c>
      <c r="F132" s="144">
        <v>780</v>
      </c>
      <c r="G132" s="144">
        <v>340</v>
      </c>
      <c r="H132" s="145">
        <f>G132/F132*100</f>
        <v>43.58974358974359</v>
      </c>
      <c r="I132" s="146">
        <f t="shared" si="21"/>
        <v>5705.5</v>
      </c>
      <c r="J132" s="147"/>
      <c r="K132" s="148">
        <f t="shared" si="23"/>
        <v>5705.5</v>
      </c>
      <c r="L132" s="146">
        <f t="shared" si="18"/>
        <v>2669.6</v>
      </c>
      <c r="M132" s="147"/>
      <c r="N132" s="148">
        <f t="shared" si="19"/>
        <v>2669.6</v>
      </c>
      <c r="O132" s="149">
        <f t="shared" si="25"/>
        <v>46.789939532030495</v>
      </c>
    </row>
    <row r="133" spans="1:15" ht="60.75" customHeight="1">
      <c r="A133" s="131">
        <v>1003</v>
      </c>
      <c r="B133" s="170" t="s">
        <v>261</v>
      </c>
      <c r="C133" s="142">
        <v>3091</v>
      </c>
      <c r="D133" s="142"/>
      <c r="E133" s="143">
        <f t="shared" si="10"/>
        <v>0</v>
      </c>
      <c r="F133" s="144">
        <v>0</v>
      </c>
      <c r="G133" s="144">
        <v>0</v>
      </c>
      <c r="H133" s="145"/>
      <c r="I133" s="146">
        <f t="shared" si="21"/>
        <v>3091</v>
      </c>
      <c r="J133" s="147"/>
      <c r="K133" s="148">
        <f t="shared" si="23"/>
        <v>3091</v>
      </c>
      <c r="L133" s="146">
        <f t="shared" si="18"/>
        <v>0</v>
      </c>
      <c r="M133" s="147"/>
      <c r="N133" s="148">
        <f t="shared" si="19"/>
        <v>0</v>
      </c>
      <c r="O133" s="149">
        <f t="shared" si="25"/>
        <v>0</v>
      </c>
    </row>
    <row r="134" spans="1:15" ht="289.5" hidden="1">
      <c r="A134" s="131" t="s">
        <v>262</v>
      </c>
      <c r="B134" s="170" t="s">
        <v>263</v>
      </c>
      <c r="C134" s="142"/>
      <c r="D134" s="142"/>
      <c r="E134" s="143" t="e">
        <f t="shared" si="10"/>
        <v>#DIV/0!</v>
      </c>
      <c r="F134" s="144"/>
      <c r="G134" s="144"/>
      <c r="H134" s="145"/>
      <c r="I134" s="146">
        <f t="shared" si="21"/>
        <v>0</v>
      </c>
      <c r="J134" s="147"/>
      <c r="K134" s="148">
        <f t="shared" si="23"/>
        <v>0</v>
      </c>
      <c r="L134" s="146">
        <f t="shared" si="18"/>
        <v>0</v>
      </c>
      <c r="M134" s="147"/>
      <c r="N134" s="148">
        <f t="shared" si="19"/>
        <v>0</v>
      </c>
      <c r="O134" s="149" t="e">
        <f t="shared" si="25"/>
        <v>#DIV/0!</v>
      </c>
    </row>
    <row r="135" spans="1:15" ht="54.75" hidden="1">
      <c r="A135" s="131" t="s">
        <v>262</v>
      </c>
      <c r="B135" s="141" t="s">
        <v>264</v>
      </c>
      <c r="C135" s="142"/>
      <c r="D135" s="142"/>
      <c r="E135" s="143"/>
      <c r="F135" s="144"/>
      <c r="G135" s="144"/>
      <c r="H135" s="145"/>
      <c r="I135" s="146">
        <f t="shared" si="21"/>
        <v>0</v>
      </c>
      <c r="J135" s="147"/>
      <c r="K135" s="148">
        <f t="shared" si="23"/>
        <v>0</v>
      </c>
      <c r="L135" s="146">
        <f t="shared" si="18"/>
        <v>0</v>
      </c>
      <c r="M135" s="147"/>
      <c r="N135" s="148">
        <f t="shared" si="19"/>
        <v>0</v>
      </c>
      <c r="O135" s="149"/>
    </row>
    <row r="136" spans="1:15" ht="82.5">
      <c r="A136" s="157">
        <v>1004</v>
      </c>
      <c r="B136" s="141" t="s">
        <v>265</v>
      </c>
      <c r="C136" s="142">
        <v>15709</v>
      </c>
      <c r="D136" s="142">
        <v>6226.4</v>
      </c>
      <c r="E136" s="143">
        <f t="shared" si="10"/>
        <v>39.63587752243936</v>
      </c>
      <c r="F136" s="144">
        <v>0</v>
      </c>
      <c r="G136" s="144">
        <v>0</v>
      </c>
      <c r="H136" s="145"/>
      <c r="I136" s="146">
        <f t="shared" si="21"/>
        <v>15709</v>
      </c>
      <c r="J136" s="147"/>
      <c r="K136" s="148">
        <f t="shared" si="23"/>
        <v>15709</v>
      </c>
      <c r="L136" s="146">
        <f t="shared" si="18"/>
        <v>6226.4</v>
      </c>
      <c r="M136" s="147"/>
      <c r="N136" s="148">
        <f t="shared" si="19"/>
        <v>6226.4</v>
      </c>
      <c r="O136" s="149">
        <f t="shared" si="25"/>
        <v>39.63587752243936</v>
      </c>
    </row>
    <row r="137" spans="1:15" ht="135" customHeight="1">
      <c r="A137" s="131">
        <v>1004</v>
      </c>
      <c r="B137" s="141" t="s">
        <v>266</v>
      </c>
      <c r="C137" s="142">
        <v>81607.3</v>
      </c>
      <c r="D137" s="142">
        <v>29122.4</v>
      </c>
      <c r="E137" s="143">
        <f aca="true" t="shared" si="27" ref="E137:E154">D137/C137*100</f>
        <v>35.6860231866512</v>
      </c>
      <c r="F137" s="144">
        <v>0</v>
      </c>
      <c r="G137" s="144">
        <v>0</v>
      </c>
      <c r="H137" s="145"/>
      <c r="I137" s="146">
        <f t="shared" si="21"/>
        <v>81607.3</v>
      </c>
      <c r="J137" s="147"/>
      <c r="K137" s="148">
        <f t="shared" si="23"/>
        <v>81607.3</v>
      </c>
      <c r="L137" s="146">
        <f t="shared" si="18"/>
        <v>29122.4</v>
      </c>
      <c r="M137" s="147"/>
      <c r="N137" s="148">
        <f t="shared" si="19"/>
        <v>29122.4</v>
      </c>
      <c r="O137" s="149">
        <f t="shared" si="25"/>
        <v>35.6860231866512</v>
      </c>
    </row>
    <row r="138" spans="1:15" ht="123.75" customHeight="1">
      <c r="A138" s="131" t="s">
        <v>267</v>
      </c>
      <c r="B138" s="141" t="s">
        <v>268</v>
      </c>
      <c r="C138" s="142">
        <v>40354.5</v>
      </c>
      <c r="D138" s="142">
        <v>19162.5</v>
      </c>
      <c r="E138" s="143">
        <f>D138/C138*100</f>
        <v>47.4854105490094</v>
      </c>
      <c r="F138" s="144">
        <v>0</v>
      </c>
      <c r="G138" s="144">
        <v>0</v>
      </c>
      <c r="H138" s="145"/>
      <c r="I138" s="146">
        <f t="shared" si="21"/>
        <v>40354.5</v>
      </c>
      <c r="J138" s="147"/>
      <c r="K138" s="148">
        <f t="shared" si="23"/>
        <v>40354.5</v>
      </c>
      <c r="L138" s="146">
        <f t="shared" si="18"/>
        <v>19162.5</v>
      </c>
      <c r="M138" s="147"/>
      <c r="N138" s="148">
        <f t="shared" si="19"/>
        <v>19162.5</v>
      </c>
      <c r="O138" s="149">
        <f>N138/K138*100</f>
        <v>47.4854105490094</v>
      </c>
    </row>
    <row r="139" spans="1:15" ht="45.75" customHeight="1">
      <c r="A139" s="131" t="s">
        <v>267</v>
      </c>
      <c r="B139" s="141" t="s">
        <v>269</v>
      </c>
      <c r="C139" s="142">
        <v>2158.9</v>
      </c>
      <c r="D139" s="142">
        <v>1442.4</v>
      </c>
      <c r="E139" s="143">
        <f>D139/C139*100</f>
        <v>66.81180230673029</v>
      </c>
      <c r="F139" s="144"/>
      <c r="G139" s="144"/>
      <c r="H139" s="145"/>
      <c r="I139" s="146">
        <f t="shared" si="21"/>
        <v>2158.9</v>
      </c>
      <c r="J139" s="147"/>
      <c r="K139" s="148">
        <f t="shared" si="23"/>
        <v>2158.9</v>
      </c>
      <c r="L139" s="146">
        <f t="shared" si="18"/>
        <v>1442.4</v>
      </c>
      <c r="M139" s="147"/>
      <c r="N139" s="148">
        <f t="shared" si="19"/>
        <v>1442.4</v>
      </c>
      <c r="O139" s="149">
        <f>N139/K139*100</f>
        <v>66.81180230673029</v>
      </c>
    </row>
    <row r="140" spans="1:15" ht="54" customHeight="1">
      <c r="A140" s="131" t="s">
        <v>270</v>
      </c>
      <c r="B140" s="141" t="s">
        <v>271</v>
      </c>
      <c r="C140" s="142"/>
      <c r="D140" s="142"/>
      <c r="E140" s="143"/>
      <c r="F140" s="144"/>
      <c r="G140" s="144"/>
      <c r="H140" s="145" t="e">
        <f>G140/F140*100</f>
        <v>#DIV/0!</v>
      </c>
      <c r="I140" s="146">
        <f t="shared" si="21"/>
        <v>0</v>
      </c>
      <c r="J140" s="147"/>
      <c r="K140" s="148">
        <f t="shared" si="23"/>
        <v>0</v>
      </c>
      <c r="L140" s="146">
        <f t="shared" si="18"/>
        <v>0</v>
      </c>
      <c r="M140" s="147"/>
      <c r="N140" s="148">
        <f t="shared" si="19"/>
        <v>0</v>
      </c>
      <c r="O140" s="149" t="e">
        <f>N140/K140*100</f>
        <v>#DIV/0!</v>
      </c>
    </row>
    <row r="141" spans="1:15" ht="36" customHeight="1">
      <c r="A141" s="131">
        <v>1006</v>
      </c>
      <c r="B141" s="141" t="s">
        <v>272</v>
      </c>
      <c r="C141" s="142">
        <v>20339</v>
      </c>
      <c r="D141" s="142">
        <v>7773.5</v>
      </c>
      <c r="E141" s="143">
        <f t="shared" si="27"/>
        <v>38.21967648360293</v>
      </c>
      <c r="F141" s="144">
        <v>0</v>
      </c>
      <c r="G141" s="144">
        <v>0</v>
      </c>
      <c r="H141" s="145"/>
      <c r="I141" s="146">
        <f t="shared" si="21"/>
        <v>20339</v>
      </c>
      <c r="J141" s="147"/>
      <c r="K141" s="148">
        <f t="shared" si="23"/>
        <v>20339</v>
      </c>
      <c r="L141" s="146">
        <f t="shared" si="18"/>
        <v>7773.5</v>
      </c>
      <c r="M141" s="147"/>
      <c r="N141" s="148">
        <f t="shared" si="19"/>
        <v>7773.5</v>
      </c>
      <c r="O141" s="149">
        <f t="shared" si="25"/>
        <v>38.21967648360293</v>
      </c>
    </row>
    <row r="142" spans="1:15" ht="24.75" customHeight="1">
      <c r="A142" s="173">
        <v>1100</v>
      </c>
      <c r="B142" s="136" t="s">
        <v>273</v>
      </c>
      <c r="C142" s="137">
        <f>SUM(C143:C145)</f>
        <v>125522.4</v>
      </c>
      <c r="D142" s="137">
        <f>SUM(D143:D145)</f>
        <v>67678</v>
      </c>
      <c r="E142" s="137">
        <f>D142/C142*100</f>
        <v>53.91706978196721</v>
      </c>
      <c r="F142" s="160">
        <f>F143+F144</f>
        <v>40490.3</v>
      </c>
      <c r="G142" s="160">
        <f>G143+G144</f>
        <v>13475.5</v>
      </c>
      <c r="H142" s="138">
        <f>G142/F142*100</f>
        <v>33.28081046571648</v>
      </c>
      <c r="I142" s="160">
        <f aca="true" t="shared" si="28" ref="I142:N142">I143+I144+I145</f>
        <v>166012.69999999998</v>
      </c>
      <c r="J142" s="160">
        <f t="shared" si="28"/>
        <v>207</v>
      </c>
      <c r="K142" s="160">
        <f t="shared" si="28"/>
        <v>165805.69999999998</v>
      </c>
      <c r="L142" s="160">
        <f t="shared" si="28"/>
        <v>81153.5</v>
      </c>
      <c r="M142" s="160">
        <f t="shared" si="28"/>
        <v>177</v>
      </c>
      <c r="N142" s="160">
        <f t="shared" si="28"/>
        <v>80976.5</v>
      </c>
      <c r="O142" s="139">
        <f t="shared" si="25"/>
        <v>48.838188313188276</v>
      </c>
    </row>
    <row r="143" spans="1:15" ht="23.25" customHeight="1">
      <c r="A143" s="131">
        <v>1101</v>
      </c>
      <c r="B143" s="141" t="s">
        <v>274</v>
      </c>
      <c r="C143" s="142">
        <v>124723.5</v>
      </c>
      <c r="D143" s="142">
        <v>67034.1</v>
      </c>
      <c r="E143" s="143">
        <f t="shared" si="27"/>
        <v>53.74616652034301</v>
      </c>
      <c r="F143" s="144">
        <v>40490.3</v>
      </c>
      <c r="G143" s="144">
        <v>13475.5</v>
      </c>
      <c r="H143" s="145">
        <f>G143/F143*100</f>
        <v>33.28081046571648</v>
      </c>
      <c r="I143" s="146">
        <f t="shared" si="21"/>
        <v>165213.8</v>
      </c>
      <c r="J143" s="147">
        <v>207</v>
      </c>
      <c r="K143" s="148">
        <f>I143-J143</f>
        <v>165006.8</v>
      </c>
      <c r="L143" s="146">
        <f t="shared" si="18"/>
        <v>80509.6</v>
      </c>
      <c r="M143" s="147">
        <v>177</v>
      </c>
      <c r="N143" s="148">
        <f t="shared" si="19"/>
        <v>80332.6</v>
      </c>
      <c r="O143" s="149">
        <f t="shared" si="25"/>
        <v>48.6844178542945</v>
      </c>
    </row>
    <row r="144" spans="1:15" ht="18" customHeight="1">
      <c r="A144" s="131">
        <v>1102</v>
      </c>
      <c r="B144" s="141" t="s">
        <v>275</v>
      </c>
      <c r="C144" s="142">
        <v>165</v>
      </c>
      <c r="D144" s="142">
        <v>10</v>
      </c>
      <c r="E144" s="143">
        <f t="shared" si="27"/>
        <v>6.0606060606060606</v>
      </c>
      <c r="F144" s="144"/>
      <c r="G144" s="144">
        <v>0</v>
      </c>
      <c r="H144" s="145"/>
      <c r="I144" s="146">
        <f t="shared" si="21"/>
        <v>165</v>
      </c>
      <c r="J144" s="147"/>
      <c r="K144" s="148">
        <f t="shared" si="23"/>
        <v>165</v>
      </c>
      <c r="L144" s="146">
        <f t="shared" si="18"/>
        <v>10</v>
      </c>
      <c r="M144" s="147"/>
      <c r="N144" s="148">
        <f t="shared" si="19"/>
        <v>10</v>
      </c>
      <c r="O144" s="149">
        <f t="shared" si="25"/>
        <v>6.0606060606060606</v>
      </c>
    </row>
    <row r="145" spans="1:15" ht="18.75" customHeight="1">
      <c r="A145" s="131" t="s">
        <v>276</v>
      </c>
      <c r="B145" s="141" t="s">
        <v>277</v>
      </c>
      <c r="C145" s="142">
        <v>633.9</v>
      </c>
      <c r="D145" s="142">
        <v>633.9</v>
      </c>
      <c r="E145" s="143">
        <f t="shared" si="27"/>
        <v>100</v>
      </c>
      <c r="F145" s="144"/>
      <c r="G145" s="144"/>
      <c r="H145" s="145"/>
      <c r="I145" s="146">
        <f t="shared" si="21"/>
        <v>633.9</v>
      </c>
      <c r="J145" s="147"/>
      <c r="K145" s="148">
        <f t="shared" si="23"/>
        <v>633.9</v>
      </c>
      <c r="L145" s="146">
        <f t="shared" si="18"/>
        <v>633.9</v>
      </c>
      <c r="M145" s="147"/>
      <c r="N145" s="148">
        <f t="shared" si="19"/>
        <v>633.9</v>
      </c>
      <c r="O145" s="149">
        <f t="shared" si="25"/>
        <v>100</v>
      </c>
    </row>
    <row r="146" spans="1:15" ht="25.5" customHeight="1">
      <c r="A146" s="173">
        <v>1200</v>
      </c>
      <c r="B146" s="136" t="s">
        <v>278</v>
      </c>
      <c r="C146" s="137">
        <f>SUM(C147:C148)</f>
        <v>40068.2</v>
      </c>
      <c r="D146" s="137">
        <f>SUM(D147:D148)</f>
        <v>5470.5</v>
      </c>
      <c r="E146" s="151">
        <f>D146/C146*100</f>
        <v>13.652971683280008</v>
      </c>
      <c r="F146" s="137"/>
      <c r="G146" s="137"/>
      <c r="H146" s="138"/>
      <c r="I146" s="137">
        <f aca="true" t="shared" si="29" ref="I146:N146">I147</f>
        <v>14473.8</v>
      </c>
      <c r="J146" s="137">
        <f>J147+J148</f>
        <v>25594.4</v>
      </c>
      <c r="K146" s="137">
        <f>K147</f>
        <v>14473.8</v>
      </c>
      <c r="L146" s="137">
        <f t="shared" si="29"/>
        <v>5470.5</v>
      </c>
      <c r="M146" s="137">
        <f t="shared" si="29"/>
        <v>0</v>
      </c>
      <c r="N146" s="137">
        <f t="shared" si="29"/>
        <v>5470.5</v>
      </c>
      <c r="O146" s="152">
        <f t="shared" si="25"/>
        <v>37.795879451146206</v>
      </c>
    </row>
    <row r="147" spans="1:15" ht="21" customHeight="1">
      <c r="A147" s="131" t="s">
        <v>279</v>
      </c>
      <c r="B147" s="141" t="s">
        <v>280</v>
      </c>
      <c r="C147" s="142">
        <v>14473.8</v>
      </c>
      <c r="D147" s="142">
        <v>5470.5</v>
      </c>
      <c r="E147" s="143">
        <f>D147/C147*100</f>
        <v>37.795879451146206</v>
      </c>
      <c r="F147" s="144"/>
      <c r="G147" s="144"/>
      <c r="H147" s="145"/>
      <c r="I147" s="146">
        <f>C147+F147</f>
        <v>14473.8</v>
      </c>
      <c r="J147" s="147">
        <v>0</v>
      </c>
      <c r="K147" s="148">
        <f>I147-J147</f>
        <v>14473.8</v>
      </c>
      <c r="L147" s="146">
        <f t="shared" si="18"/>
        <v>5470.5</v>
      </c>
      <c r="M147" s="147"/>
      <c r="N147" s="148">
        <f t="shared" si="19"/>
        <v>5470.5</v>
      </c>
      <c r="O147" s="149">
        <f>N147/K147*100</f>
        <v>37.795879451146206</v>
      </c>
    </row>
    <row r="148" spans="1:15" ht="30" customHeight="1">
      <c r="A148" s="131" t="s">
        <v>281</v>
      </c>
      <c r="B148" s="141" t="s">
        <v>282</v>
      </c>
      <c r="C148" s="142">
        <v>25594.4</v>
      </c>
      <c r="D148" s="142"/>
      <c r="E148" s="143">
        <f>D148/C148*100</f>
        <v>0</v>
      </c>
      <c r="F148" s="144"/>
      <c r="G148" s="144"/>
      <c r="H148" s="145"/>
      <c r="I148" s="146">
        <f>C148+F148</f>
        <v>25594.4</v>
      </c>
      <c r="J148" s="147">
        <v>25594.4</v>
      </c>
      <c r="K148" s="148"/>
      <c r="L148" s="146"/>
      <c r="M148" s="147"/>
      <c r="N148" s="148">
        <f t="shared" si="19"/>
        <v>0</v>
      </c>
      <c r="O148" s="149" t="e">
        <f>N148/K148*100</f>
        <v>#DIV/0!</v>
      </c>
    </row>
    <row r="149" spans="1:15" ht="31.5" customHeight="1">
      <c r="A149" s="173">
        <v>1300</v>
      </c>
      <c r="B149" s="136" t="s">
        <v>283</v>
      </c>
      <c r="C149" s="137">
        <f aca="true" t="shared" si="30" ref="C149:N149">C150</f>
        <v>23.8</v>
      </c>
      <c r="D149" s="137">
        <f t="shared" si="30"/>
        <v>7.8</v>
      </c>
      <c r="E149" s="137">
        <f t="shared" si="30"/>
        <v>32.773109243697476</v>
      </c>
      <c r="F149" s="137">
        <f t="shared" si="30"/>
        <v>0</v>
      </c>
      <c r="G149" s="137">
        <f t="shared" si="30"/>
        <v>0</v>
      </c>
      <c r="H149" s="151">
        <f t="shared" si="30"/>
        <v>0</v>
      </c>
      <c r="I149" s="137">
        <f t="shared" si="30"/>
        <v>23.8</v>
      </c>
      <c r="J149" s="137">
        <f t="shared" si="30"/>
        <v>0</v>
      </c>
      <c r="K149" s="137">
        <f t="shared" si="30"/>
        <v>23.8</v>
      </c>
      <c r="L149" s="137">
        <f t="shared" si="30"/>
        <v>7.8</v>
      </c>
      <c r="M149" s="137">
        <f t="shared" si="30"/>
        <v>0</v>
      </c>
      <c r="N149" s="137">
        <f t="shared" si="30"/>
        <v>7.8</v>
      </c>
      <c r="O149" s="152">
        <f t="shared" si="25"/>
        <v>32.773109243697476</v>
      </c>
    </row>
    <row r="150" spans="1:15" ht="30" customHeight="1">
      <c r="A150" s="131">
        <v>1301</v>
      </c>
      <c r="B150" s="141" t="s">
        <v>284</v>
      </c>
      <c r="C150" s="142">
        <v>23.8</v>
      </c>
      <c r="D150" s="142">
        <v>7.8</v>
      </c>
      <c r="E150" s="143">
        <f t="shared" si="27"/>
        <v>32.773109243697476</v>
      </c>
      <c r="F150" s="144"/>
      <c r="G150" s="144">
        <v>0</v>
      </c>
      <c r="H150" s="145">
        <v>0</v>
      </c>
      <c r="I150" s="146">
        <f t="shared" si="21"/>
        <v>23.8</v>
      </c>
      <c r="J150" s="147"/>
      <c r="K150" s="148">
        <f t="shared" si="23"/>
        <v>23.8</v>
      </c>
      <c r="L150" s="146">
        <f t="shared" si="18"/>
        <v>7.8</v>
      </c>
      <c r="M150" s="179"/>
      <c r="N150" s="148">
        <f t="shared" si="19"/>
        <v>7.8</v>
      </c>
      <c r="O150" s="149">
        <f t="shared" si="25"/>
        <v>32.773109243697476</v>
      </c>
    </row>
    <row r="151" spans="1:15" ht="21" customHeight="1">
      <c r="A151" s="173">
        <v>1400</v>
      </c>
      <c r="B151" s="136" t="s">
        <v>285</v>
      </c>
      <c r="C151" s="137">
        <f>SUM(C152:C154)</f>
        <v>337732.9</v>
      </c>
      <c r="D151" s="137">
        <f>SUM(D152:D154)</f>
        <v>196613.8</v>
      </c>
      <c r="E151" s="137">
        <f>D151/C151*100</f>
        <v>58.215767548852945</v>
      </c>
      <c r="F151" s="160">
        <f>F152+F153+F154</f>
        <v>0</v>
      </c>
      <c r="G151" s="160">
        <f>SUM(G152:G154)</f>
        <v>0</v>
      </c>
      <c r="H151" s="160"/>
      <c r="I151" s="160">
        <f aca="true" t="shared" si="31" ref="I151:N151">I152+I153+I154</f>
        <v>337732.9</v>
      </c>
      <c r="J151" s="160">
        <f t="shared" si="31"/>
        <v>337732.9</v>
      </c>
      <c r="K151" s="160">
        <f t="shared" si="31"/>
        <v>0</v>
      </c>
      <c r="L151" s="160">
        <f t="shared" si="31"/>
        <v>196613.8</v>
      </c>
      <c r="M151" s="160">
        <f t="shared" si="31"/>
        <v>196613.8</v>
      </c>
      <c r="N151" s="160">
        <f t="shared" si="31"/>
        <v>0</v>
      </c>
      <c r="O151" s="139">
        <v>0</v>
      </c>
    </row>
    <row r="152" spans="1:15" ht="42" customHeight="1">
      <c r="A152" s="131">
        <v>1401</v>
      </c>
      <c r="B152" s="141" t="s">
        <v>286</v>
      </c>
      <c r="C152" s="142">
        <v>149882.1</v>
      </c>
      <c r="D152" s="142">
        <v>74941</v>
      </c>
      <c r="E152" s="143">
        <f t="shared" si="27"/>
        <v>49.999966640446054</v>
      </c>
      <c r="F152" s="144">
        <v>0</v>
      </c>
      <c r="G152" s="144">
        <v>0</v>
      </c>
      <c r="H152" s="145">
        <v>0</v>
      </c>
      <c r="I152" s="146">
        <f t="shared" si="21"/>
        <v>149882.1</v>
      </c>
      <c r="J152" s="147">
        <v>149882.1</v>
      </c>
      <c r="K152" s="148">
        <f>I152-J152</f>
        <v>0</v>
      </c>
      <c r="L152" s="146">
        <f t="shared" si="18"/>
        <v>74941</v>
      </c>
      <c r="M152" s="179">
        <v>74941</v>
      </c>
      <c r="N152" s="148">
        <f t="shared" si="19"/>
        <v>0</v>
      </c>
      <c r="O152" s="149">
        <v>0</v>
      </c>
    </row>
    <row r="153" spans="1:15" ht="19.5" customHeight="1" hidden="1">
      <c r="A153" s="131">
        <v>1402</v>
      </c>
      <c r="B153" s="141" t="s">
        <v>287</v>
      </c>
      <c r="C153" s="142"/>
      <c r="D153" s="142"/>
      <c r="E153" s="143" t="e">
        <f t="shared" si="27"/>
        <v>#DIV/0!</v>
      </c>
      <c r="F153" s="144">
        <v>0</v>
      </c>
      <c r="G153" s="144">
        <v>0</v>
      </c>
      <c r="H153" s="145">
        <v>0</v>
      </c>
      <c r="I153" s="146">
        <f t="shared" si="21"/>
        <v>0</v>
      </c>
      <c r="J153" s="147"/>
      <c r="K153" s="148">
        <f t="shared" si="23"/>
        <v>0</v>
      </c>
      <c r="L153" s="146">
        <f t="shared" si="18"/>
        <v>0</v>
      </c>
      <c r="M153" s="179"/>
      <c r="N153" s="148">
        <f t="shared" si="19"/>
        <v>0</v>
      </c>
      <c r="O153" s="149">
        <v>0</v>
      </c>
    </row>
    <row r="154" spans="1:15" ht="13.5">
      <c r="A154" s="131">
        <v>1403</v>
      </c>
      <c r="B154" s="141" t="s">
        <v>288</v>
      </c>
      <c r="C154" s="142">
        <v>187850.8</v>
      </c>
      <c r="D154" s="142">
        <v>121672.8</v>
      </c>
      <c r="E154" s="143">
        <f t="shared" si="27"/>
        <v>64.77097781856665</v>
      </c>
      <c r="F154" s="144">
        <v>0</v>
      </c>
      <c r="G154" s="144">
        <v>0</v>
      </c>
      <c r="H154" s="145">
        <v>0</v>
      </c>
      <c r="I154" s="146">
        <f t="shared" si="21"/>
        <v>187850.8</v>
      </c>
      <c r="J154" s="147">
        <v>187850.8</v>
      </c>
      <c r="K154" s="148">
        <f t="shared" si="23"/>
        <v>0</v>
      </c>
      <c r="L154" s="146">
        <f t="shared" si="18"/>
        <v>121672.8</v>
      </c>
      <c r="M154" s="147">
        <v>121672.8</v>
      </c>
      <c r="N154" s="148">
        <f t="shared" si="19"/>
        <v>0</v>
      </c>
      <c r="O154" s="149">
        <v>0</v>
      </c>
    </row>
    <row r="155" spans="1:15" ht="14.25" thickBot="1">
      <c r="A155" s="180" t="s">
        <v>289</v>
      </c>
      <c r="B155" s="181"/>
      <c r="C155" s="182">
        <f>C10+C19+C21+C26+C59+C109+C111+C122+C127+C131+C142+C146+C149+C151</f>
        <v>4677223.200000001</v>
      </c>
      <c r="D155" s="182">
        <f>D151+D149+D146+D142+D131+D127+D122+D111+D109+D59+D26+D21+D19+D10</f>
        <v>2151718.5</v>
      </c>
      <c r="E155" s="182">
        <f>D155/C155*100</f>
        <v>46.00418684316796</v>
      </c>
      <c r="F155" s="182">
        <f>F10+F19+F21+F26+F59+F109+F111+F122+F127+F131+F142+F146+F149+F151</f>
        <v>742150.1000000001</v>
      </c>
      <c r="G155" s="182">
        <f>G10+G19+G21+G26+G59+G109+G111+G122+G127+G131+G142+G146+G149+G151</f>
        <v>317834.8</v>
      </c>
      <c r="H155" s="183">
        <f>G155/F155*100</f>
        <v>42.826215343769405</v>
      </c>
      <c r="I155" s="182"/>
      <c r="J155" s="182">
        <f>J10+J19+J21+J26+J59+J109+J111+J122+J127+J131+J142+J146+J149+J151</f>
        <v>515306.30000000005</v>
      </c>
      <c r="K155" s="182">
        <f>K151+K149+K146+K142+K131+K127+K122+K111+K109+K59+K26+K21+K19+K10</f>
        <v>4904067</v>
      </c>
      <c r="L155" s="184"/>
      <c r="M155" s="182">
        <f>M10+M19+M21+M26+M59+M109+M111+M122+M127+M131+M142+M146+M149+M151</f>
        <v>246322</v>
      </c>
      <c r="N155" s="182">
        <f>N151+N149+N146+N142+N131+N127+N122+N111+N109+N59+N26+N21+N19+N10</f>
        <v>2223231.3</v>
      </c>
      <c r="O155" s="185">
        <f t="shared" si="25"/>
        <v>45.334439761936366</v>
      </c>
    </row>
    <row r="156" spans="1:15" ht="12.75" hidden="1">
      <c r="A156" s="101"/>
      <c r="B156" s="102"/>
      <c r="C156" s="186"/>
      <c r="D156" s="104"/>
      <c r="E156" s="187"/>
      <c r="F156" s="106"/>
      <c r="G156" s="106"/>
      <c r="H156" s="107"/>
      <c r="I156" s="107"/>
      <c r="J156" s="107"/>
      <c r="K156" s="109"/>
      <c r="L156" s="106"/>
      <c r="M156" s="109"/>
      <c r="N156" s="109"/>
      <c r="O156" s="108"/>
    </row>
    <row r="157" spans="1:15" ht="12.75" hidden="1">
      <c r="A157" s="188"/>
      <c r="B157" s="189"/>
      <c r="C157" s="190">
        <v>4677223.2</v>
      </c>
      <c r="D157" s="190">
        <v>2151718.5</v>
      </c>
      <c r="E157" s="190"/>
      <c r="F157" s="190">
        <v>742150.1</v>
      </c>
      <c r="G157" s="190">
        <v>317834.8</v>
      </c>
      <c r="H157" s="190"/>
      <c r="I157" s="190"/>
      <c r="J157" s="190">
        <v>515306.3</v>
      </c>
      <c r="K157" s="191">
        <v>4904067</v>
      </c>
      <c r="L157" s="190"/>
      <c r="M157" s="190">
        <v>246322</v>
      </c>
      <c r="N157" s="190">
        <v>2223231.3</v>
      </c>
      <c r="O157" s="190"/>
    </row>
    <row r="158" spans="1:15" ht="12.75" hidden="1">
      <c r="A158" s="188"/>
      <c r="B158" s="189"/>
      <c r="C158" s="192">
        <f>C157-C155</f>
        <v>0</v>
      </c>
      <c r="D158" s="192">
        <f>D157-D155</f>
        <v>0</v>
      </c>
      <c r="E158" s="193"/>
      <c r="F158" s="192">
        <f>F155-F157</f>
        <v>0</v>
      </c>
      <c r="G158" s="194">
        <f>G155-G157</f>
        <v>0</v>
      </c>
      <c r="H158" s="194"/>
      <c r="I158" s="194"/>
      <c r="J158" s="195">
        <f>J155-J157</f>
        <v>0</v>
      </c>
      <c r="K158" s="195">
        <f>K155-K157</f>
        <v>0</v>
      </c>
      <c r="L158" s="195">
        <f>L155-L157</f>
        <v>0</v>
      </c>
      <c r="M158" s="195">
        <f>M155-M157</f>
        <v>0</v>
      </c>
      <c r="N158" s="195">
        <f>N155-N157</f>
        <v>0</v>
      </c>
      <c r="O158" s="195"/>
    </row>
    <row r="159" spans="1:15" ht="12.75">
      <c r="A159" s="196" t="s">
        <v>290</v>
      </c>
      <c r="B159" s="196"/>
      <c r="C159" s="196"/>
      <c r="D159" s="197"/>
      <c r="E159" s="198"/>
      <c r="F159" s="197"/>
      <c r="G159" s="106"/>
      <c r="H159" s="107"/>
      <c r="I159" s="107"/>
      <c r="J159" s="107"/>
      <c r="K159" s="108"/>
      <c r="L159" s="107"/>
      <c r="M159" s="108"/>
      <c r="N159" s="109"/>
      <c r="O159" s="108"/>
    </row>
    <row r="160" spans="1:15" ht="12.75">
      <c r="A160" s="196" t="s">
        <v>291</v>
      </c>
      <c r="B160" s="196"/>
      <c r="C160" s="196"/>
      <c r="D160" s="199"/>
      <c r="E160" s="200" t="s">
        <v>292</v>
      </c>
      <c r="F160" s="200"/>
      <c r="G160" s="106"/>
      <c r="H160" s="107"/>
      <c r="I160" s="107"/>
      <c r="J160" s="107"/>
      <c r="K160" s="108"/>
      <c r="L160" s="107"/>
      <c r="M160" s="108"/>
      <c r="N160" s="109"/>
      <c r="O160" s="108"/>
    </row>
    <row r="161" spans="1:15" ht="12.75">
      <c r="A161" s="201"/>
      <c r="B161" s="202"/>
      <c r="C161" s="203"/>
      <c r="D161" s="204"/>
      <c r="E161" s="205"/>
      <c r="F161" s="206"/>
      <c r="G161" s="106"/>
      <c r="H161" s="107"/>
      <c r="I161" s="107"/>
      <c r="J161" s="107"/>
      <c r="K161" s="108"/>
      <c r="L161" s="107"/>
      <c r="M161" s="108"/>
      <c r="N161" s="109"/>
      <c r="O161" s="108"/>
    </row>
    <row r="162" spans="1:15" ht="12.75">
      <c r="A162" s="196" t="s">
        <v>293</v>
      </c>
      <c r="B162" s="196"/>
      <c r="C162" s="196"/>
      <c r="D162" s="207"/>
      <c r="E162" s="200" t="s">
        <v>294</v>
      </c>
      <c r="F162" s="200"/>
      <c r="G162" s="106"/>
      <c r="H162" s="107"/>
      <c r="I162" s="107"/>
      <c r="J162" s="107"/>
      <c r="K162" s="108"/>
      <c r="L162" s="107"/>
      <c r="M162" s="108"/>
      <c r="N162" s="109"/>
      <c r="O162" s="108"/>
    </row>
    <row r="163" spans="1:15" ht="12.75">
      <c r="A163" s="201"/>
      <c r="B163" s="208"/>
      <c r="C163" s="209"/>
      <c r="D163" s="197"/>
      <c r="E163" s="205"/>
      <c r="F163" s="206"/>
      <c r="G163" s="106"/>
      <c r="H163" s="107"/>
      <c r="I163" s="107"/>
      <c r="J163" s="107"/>
      <c r="K163" s="108"/>
      <c r="L163" s="107"/>
      <c r="M163" s="108"/>
      <c r="N163" s="109"/>
      <c r="O163" s="108"/>
    </row>
    <row r="164" spans="1:15" ht="12.75">
      <c r="A164" s="196" t="s">
        <v>295</v>
      </c>
      <c r="B164" s="196"/>
      <c r="C164" s="196"/>
      <c r="D164" s="207"/>
      <c r="E164" s="200" t="s">
        <v>296</v>
      </c>
      <c r="F164" s="200"/>
      <c r="G164" s="106"/>
      <c r="H164" s="107"/>
      <c r="I164" s="107"/>
      <c r="J164" s="107"/>
      <c r="K164" s="108"/>
      <c r="L164" s="107"/>
      <c r="M164" s="108"/>
      <c r="N164" s="109"/>
      <c r="O164" s="108"/>
    </row>
    <row r="165" spans="1:15" ht="12.75">
      <c r="A165" s="210"/>
      <c r="B165" s="211"/>
      <c r="C165" s="209"/>
      <c r="D165" s="197"/>
      <c r="E165" s="198"/>
      <c r="F165" s="197"/>
      <c r="G165" s="106"/>
      <c r="H165" s="107"/>
      <c r="I165" s="107"/>
      <c r="J165" s="107"/>
      <c r="K165" s="108"/>
      <c r="L165" s="107"/>
      <c r="M165" s="108"/>
      <c r="N165" s="109" t="s">
        <v>39</v>
      </c>
      <c r="O165" s="108"/>
    </row>
    <row r="166" spans="1:14" ht="12.75">
      <c r="A166" s="212"/>
      <c r="B166" s="212"/>
      <c r="C166" s="213" t="s">
        <v>297</v>
      </c>
      <c r="D166" s="214"/>
      <c r="E166" s="215" t="s">
        <v>298</v>
      </c>
      <c r="F166" s="216"/>
      <c r="G166" s="217"/>
      <c r="K166" t="s">
        <v>299</v>
      </c>
      <c r="N166" s="217"/>
    </row>
  </sheetData>
  <sheetProtection/>
  <mergeCells count="28">
    <mergeCell ref="A160:C160"/>
    <mergeCell ref="E160:F160"/>
    <mergeCell ref="A162:C162"/>
    <mergeCell ref="E162:F162"/>
    <mergeCell ref="A164:C164"/>
    <mergeCell ref="E164:F164"/>
    <mergeCell ref="M4:M5"/>
    <mergeCell ref="N4:N5"/>
    <mergeCell ref="O4:O5"/>
    <mergeCell ref="B6:O8"/>
    <mergeCell ref="A155:B155"/>
    <mergeCell ref="A159:C159"/>
    <mergeCell ref="G4:G5"/>
    <mergeCell ref="H4:H5"/>
    <mergeCell ref="I4:I5"/>
    <mergeCell ref="J4:J5"/>
    <mergeCell ref="K4:K5"/>
    <mergeCell ref="L4:L5"/>
    <mergeCell ref="A1:O1"/>
    <mergeCell ref="A3:A8"/>
    <mergeCell ref="B3:B5"/>
    <mergeCell ref="C3:E3"/>
    <mergeCell ref="F3:H3"/>
    <mergeCell ref="I3:O3"/>
    <mergeCell ref="C4:C5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Миниярова</cp:lastModifiedBy>
  <cp:lastPrinted>2022-05-06T09:40:53Z</cp:lastPrinted>
  <dcterms:created xsi:type="dcterms:W3CDTF">2006-05-12T06:58:42Z</dcterms:created>
  <dcterms:modified xsi:type="dcterms:W3CDTF">2022-07-15T04:17:51Z</dcterms:modified>
  <cp:category/>
  <cp:version/>
  <cp:contentType/>
  <cp:contentStatus/>
</cp:coreProperties>
</file>