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60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<sst xmlns="http://schemas.openxmlformats.org/spreadsheetml/2006/main" count="748" uniqueCount="300">
  <si>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</si>
  <si>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</si>
  <si>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</si>
  <si>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</si>
  <si>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</si>
  <si>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</si>
  <si>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</si>
  <si>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</si>
  <si>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</si>
  <si>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</si>
  <si>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</si>
  <si>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</si>
  <si>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</si>
  <si>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</si>
  <si>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</si>
  <si>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</si>
  <si>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</si>
  <si>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</si>
  <si>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</si>
  <si>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</si>
  <si>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</si>
  <si>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</si>
  <si>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</si>
  <si>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</si>
  <si>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</si>
  <si>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</si>
  <si>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</si>
  <si>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</si>
  <si>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</si>
  <si>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</si>
  <si>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</si>
  <si>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</si>
  <si>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</si>
  <si>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</si>
  <si>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</si>
  <si>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</si>
  <si>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</si>
  <si>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</si>
  <si>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</si>
  <si>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</si>
  <si>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</si>
  <si>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</si>
  <si>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</si>
  <si>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</si>
  <si>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</si>
  <si>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</si>
  <si>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</si>
  <si>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</si>
  <si>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</si>
  <si>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</si>
  <si>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</si>
  <si>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</si>
  <si>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</si>
  <si>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</si>
  <si>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</si>
  <si>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</si>
  <si>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</si>
  <si>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</si>
  <si>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</si>
  <si>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</si>
  <si>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</si>
  <si>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</si>
  <si>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</si>
  <si>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</si>
  <si>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</si>
  <si>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</si>
  <si>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</si>
  <si>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</si>
  <si>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</si>
  <si>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</si>
  <si>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</si>
  <si>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</si>
  <si>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</si>
  <si>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</si>
  <si>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</si>
  <si>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</si>
  <si>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План                 на 1 квартал 2022 года</t>
  </si>
  <si>
    <t xml:space="preserve">% исп-ия к плану за 1 квартал 2022 года </t>
  </si>
  <si>
    <t>Первонач. план на 2022 год</t>
  </si>
  <si>
    <t>Уточн. план на 2022 год</t>
  </si>
  <si>
    <t xml:space="preserve">% исп-ия к уточн. плану на 2022 год </t>
  </si>
  <si>
    <t xml:space="preserve">% исп-ия к первонач. плану на 2022 год </t>
  </si>
  <si>
    <t>Отчет об исполнении консолидированного бюджета Октябрьского района по состоянию на 01.04.2022</t>
  </si>
  <si>
    <t>Исполнение на 01.04.2022</t>
  </si>
  <si>
    <t>00020300000000000000</t>
  </si>
  <si>
    <t xml:space="preserve">Безвозмездные поступления от государственных (муниципальных) организаций </t>
  </si>
  <si>
    <t>Отчет  об  исполнении  консолидированного  бюджета  района  по  расходам на 1 апреля 2022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</si>
  <si>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</si>
  <si>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</si>
  <si>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</si>
  <si>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</si>
  <si>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</si>
  <si>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</si>
  <si>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01.04.2022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</si>
  <si>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</si>
  <si>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</si>
  <si>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</si>
  <si>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</si>
  <si>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01.04.2022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</si>
  <si>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</si>
  <si>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</si>
  <si>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</si>
  <si>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</si>
  <si>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</si>
  <si>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</si>
  <si>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</si>
  <si>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</si>
  <si>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</si>
  <si>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</si>
  <si>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</si>
  <si>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</si>
  <si>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</si>
  <si>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</si>
  <si>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</si>
  <si>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 xml:space="preserve">  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</si>
  <si>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</si>
  <si>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</si>
  <si>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</si>
  <si>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</si>
  <si>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</si>
  <si>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</si>
  <si>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</si>
  <si>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</si>
  <si>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</si>
  <si>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</si>
  <si>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</si>
  <si>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</si>
  <si>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</si>
  <si>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</si>
  <si>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</si>
  <si>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</si>
  <si>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</si>
  <si>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</si>
  <si>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</si>
  <si>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</si>
  <si>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</si>
  <si>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</si>
  <si>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</si>
  <si>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</si>
  <si>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</si>
  <si>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</si>
  <si>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****99990 -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</si>
  <si>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</si>
  <si>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</si>
  <si>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</si>
  <si>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</si>
  <si>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</si>
  <si>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</si>
  <si>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</si>
  <si>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</si>
  <si>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</si>
  <si>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</si>
  <si>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</si>
  <si>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</si>
  <si>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</si>
  <si>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</si>
  <si>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</si>
  <si>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</si>
  <si>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</si>
  <si>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</si>
  <si>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</si>
  <si>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</si>
  <si>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</si>
  <si>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</si>
  <si>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</si>
  <si>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</si>
  <si>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</si>
  <si>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</si>
  <si>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</si>
  <si>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</si>
  <si>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</si>
  <si>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</si>
  <si>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</si>
  <si>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</si>
  <si>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</si>
  <si>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</si>
  <si>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</si>
  <si>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</si>
  <si>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</si>
  <si>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</si>
  <si>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</si>
  <si>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</si>
  <si>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</si>
  <si>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</si>
  <si>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</t>
  </si>
  <si>
    <t>Основное мероприятие "Повышение эффективности управления и содержания муниципального жилого фонда" (0230199990,0240199990)</t>
  </si>
  <si>
    <t>0502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</si>
  <si>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</si>
  <si>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</si>
  <si>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</si>
  <si>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</si>
  <si>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</si>
  <si>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10101S2591)(4060082591,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</si>
  <si>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</si>
  <si>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</si>
  <si>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</si>
  <si>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</si>
  <si>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Строительство и реконструкция объектов муниципальной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</si>
  <si>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</si>
  <si>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</si>
  <si>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</si>
  <si>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</si>
  <si>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</si>
  <si>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</si>
  <si>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 xml:space="preserve">Расходы на конкурсный отбор инициативных проектов 2200389010
</t>
  </si>
  <si>
    <t xml:space="preserve">Иные межбюджетные трансферты на благоустройство территорий муниципальных образований 1050189106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</si>
  <si>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</si>
  <si>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</si>
  <si>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</si>
  <si>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</si>
  <si>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</si>
  <si>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</si>
  <si>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</si>
  <si>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</si>
  <si>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</si>
  <si>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</si>
  <si>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</si>
  <si>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</si>
  <si>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</si>
  <si>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</si>
  <si>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</si>
  <si>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</si>
  <si>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</si>
  <si>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</si>
  <si>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</si>
  <si>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</si>
  <si>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</si>
  <si>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</si>
  <si>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</si>
  <si>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</si>
  <si>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</si>
  <si>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</si>
  <si>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</si>
  <si>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</si>
  <si>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</si>
  <si>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</si>
  <si>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</si>
  <si>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</si>
  <si>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</si>
  <si>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</si>
  <si>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</si>
  <si>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</si>
  <si>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</si>
  <si>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</si>
  <si>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</si>
  <si>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</si>
  <si>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</si>
  <si>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</si>
  <si>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</si>
  <si>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</si>
  <si>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</si>
  <si>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</si>
  <si>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</si>
  <si>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</si>
  <si>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</si>
  <si>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</si>
  <si>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</si>
  <si>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</si>
  <si>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</si>
  <si>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</si>
  <si>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</si>
  <si>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</si>
  <si>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</si>
  <si>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</si>
  <si>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</si>
  <si>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</si>
  <si>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</si>
  <si>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</si>
  <si>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</si>
  <si>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</si>
  <si>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</si>
  <si>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</si>
  <si>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</si>
  <si>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</si>
  <si>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</si>
  <si>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</si>
  <si>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</si>
  <si>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</si>
  <si>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</si>
  <si>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</si>
  <si>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</si>
  <si>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</si>
  <si>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</si>
  <si>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</si>
  <si>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</si>
  <si>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</si>
  <si>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</si>
  <si>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</si>
  <si>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</si>
  <si>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</si>
  <si>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</si>
  <si>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</si>
  <si>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</si>
  <si>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</si>
  <si>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t>Капитальный ремонт жилого фонда 1030189102, , 1030199990 , 1800199990(4060099990,4060089102, 4010089102, 4010099990  средства поселений)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</si>
  <si>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 1020184340,1020182830, 10201S2830 )  (0220161100, 4060061100,  поселения)</t>
  </si>
  <si>
    <t>Иные межбюджетные трансферты на аварийно-технический запас(1010189101, 1010199990) (0210189101, 4060089101,0210199990 , 4060099990 поселения)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</si>
  <si>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т.с.01.04(4110089020 поселения)</t>
  </si>
  <si>
    <t>Основное мероприятие "Расходы на реализацию мероприятий по строительству и реконструкции (модернизации)объектов питьевого водоснабжения"(101F5S2140, 101F582140)</t>
  </si>
  <si>
    <t>Реализация  мероприятий по содействию трудоустройству граждан 4060089108, 0250189108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</si>
</sst>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_-* #,##0.0\ _₽_-;\-* #,##0.0\ _₽_-;_-* &quot;-&quot;?\ _₽_-;_-@_-"/>
    <numFmt numFmtId="183" formatCode="#,##0.00_ ;\-#,##0.00\ "/>
  </numFmts>
  <fonts count="73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NumberFormat="1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Border="1" applyAlignment="1">
      <alignment horizontal="center" vertical="center" wrapText="1"/>
      <protection/>
    </xf>
    <xf numFmtId="181" fontId="10" fillId="0" borderId="0" xfId="54" applyNumberFormat="1" applyFont="1" applyFill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Fill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49" fontId="12" fillId="0" borderId="18" xfId="54" applyNumberFormat="1" applyFont="1" applyBorder="1" applyAlignment="1">
      <alignment horizontal="center" vertical="center" wrapText="1"/>
      <protection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34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NumberFormat="1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Fill="1" applyBorder="1" applyAlignment="1" quotePrefix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4" fillId="0" borderId="19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49" fontId="12" fillId="0" borderId="18" xfId="54" applyNumberFormat="1" applyFont="1" applyFill="1" applyBorder="1" applyAlignment="1">
      <alignment horizontal="center" vertical="center" wrapText="1"/>
      <protection/>
    </xf>
    <xf numFmtId="181" fontId="70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9" xfId="54" applyNumberFormat="1" applyFont="1" applyFill="1" applyBorder="1" applyAlignment="1">
      <alignment horizontal="center" vertical="center" wrapText="1"/>
      <protection/>
    </xf>
    <xf numFmtId="49" fontId="12" fillId="33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8" xfId="54" applyNumberFormat="1" applyFont="1" applyFill="1" applyBorder="1" applyAlignment="1">
      <alignment horizontal="center" vertical="center" wrapText="1"/>
      <protection/>
    </xf>
    <xf numFmtId="0" fontId="12" fillId="36" borderId="13" xfId="54" applyNumberFormat="1" applyFont="1" applyFill="1" applyBorder="1" applyAlignment="1">
      <alignment horizontal="left" vertical="center" wrapText="1"/>
      <protection/>
    </xf>
    <xf numFmtId="0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24" fillId="0" borderId="13" xfId="54" applyNumberFormat="1" applyFont="1" applyFill="1" applyBorder="1" applyAlignment="1">
      <alignment horizontal="left" vertical="center" wrapText="1"/>
      <protection/>
    </xf>
    <xf numFmtId="0" fontId="13" fillId="33" borderId="13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3" xfId="53" applyNumberFormat="1" applyFont="1" applyFill="1" applyBorder="1" applyAlignment="1" applyProtection="1">
      <alignment horizontal="left" vertical="top" wrapText="1"/>
      <protection hidden="1"/>
    </xf>
    <xf numFmtId="2" fontId="14" fillId="0" borderId="19" xfId="0" applyNumberFormat="1" applyFont="1" applyFill="1" applyBorder="1" applyAlignment="1">
      <alignment horizontal="center" vertical="center" wrapText="1"/>
    </xf>
    <xf numFmtId="0" fontId="12" fillId="0" borderId="13" xfId="54" applyNumberFormat="1" applyFont="1" applyFill="1" applyBorder="1" applyAlignment="1">
      <alignment horizontal="left" vertical="top" wrapText="1"/>
      <protection/>
    </xf>
    <xf numFmtId="49" fontId="13" fillId="0" borderId="18" xfId="54" applyNumberFormat="1" applyFont="1" applyFill="1" applyBorder="1" applyAlignment="1">
      <alignment horizontal="center" vertical="center" wrapText="1"/>
      <protection/>
    </xf>
    <xf numFmtId="0" fontId="13" fillId="0" borderId="13" xfId="54" applyNumberFormat="1" applyFont="1" applyFill="1" applyBorder="1" applyAlignment="1">
      <alignment horizontal="left" vertical="center" wrapText="1"/>
      <protection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33" borderId="13" xfId="54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19" xfId="0" applyNumberFormat="1" applyFont="1" applyFill="1" applyBorder="1" applyAlignment="1">
      <alignment horizontal="center" vertical="center" wrapText="1"/>
    </xf>
    <xf numFmtId="49" fontId="20" fillId="34" borderId="18" xfId="54" applyNumberFormat="1" applyFont="1" applyFill="1" applyBorder="1" applyAlignment="1">
      <alignment horizontal="center" vertical="center" wrapText="1"/>
      <protection/>
    </xf>
    <xf numFmtId="0" fontId="20" fillId="34" borderId="13" xfId="0" applyNumberFormat="1" applyFont="1" applyFill="1" applyBorder="1" applyAlignment="1">
      <alignment horizontal="left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181" fontId="14" fillId="33" borderId="19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0" xfId="0" applyNumberFormat="1" applyFont="1" applyFill="1" applyBorder="1" applyAlignment="1">
      <alignment horizontal="center" vertical="center" wrapText="1"/>
    </xf>
    <xf numFmtId="181" fontId="13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left" vertical="center" wrapText="1"/>
      <protection/>
    </xf>
    <xf numFmtId="183" fontId="69" fillId="33" borderId="0" xfId="54" applyNumberFormat="1" applyFont="1" applyFill="1" applyBorder="1" applyAlignment="1">
      <alignment horizontal="center" vertical="center" wrapText="1"/>
      <protection/>
    </xf>
    <xf numFmtId="181" fontId="11" fillId="0" borderId="0" xfId="54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81" fontId="69" fillId="5" borderId="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/>
    </xf>
    <xf numFmtId="181" fontId="10" fillId="5" borderId="0" xfId="0" applyNumberFormat="1" applyFont="1" applyFill="1" applyBorder="1" applyAlignment="1">
      <alignment horizontal="center" vertical="center" wrapText="1"/>
    </xf>
    <xf numFmtId="181" fontId="11" fillId="5" borderId="0" xfId="54" applyNumberFormat="1" applyFont="1" applyFill="1" applyBorder="1" applyAlignment="1">
      <alignment horizontal="center" vertical="center" wrapText="1"/>
      <protection/>
    </xf>
    <xf numFmtId="181" fontId="10" fillId="5" borderId="0" xfId="0" applyNumberFormat="1" applyFont="1" applyFill="1" applyAlignment="1">
      <alignment horizontal="center" vertical="center" wrapText="1"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54" applyNumberFormat="1" applyFont="1" applyFill="1" applyBorder="1" applyAlignment="1">
      <alignment horizontal="left" vertical="center" wrapText="1"/>
      <protection/>
    </xf>
    <xf numFmtId="181" fontId="72" fillId="33" borderId="0" xfId="54" applyNumberFormat="1" applyFont="1" applyFill="1" applyBorder="1" applyAlignment="1">
      <alignment horizontal="center" vertical="center" wrapText="1"/>
      <protection/>
    </xf>
    <xf numFmtId="181" fontId="26" fillId="33" borderId="0" xfId="54" applyNumberFormat="1" applyFont="1" applyFill="1" applyBorder="1" applyAlignment="1">
      <alignment horizontal="center" vertical="center" wrapText="1"/>
      <protection/>
    </xf>
    <xf numFmtId="181" fontId="26" fillId="0" borderId="0" xfId="0" applyNumberFormat="1" applyFont="1" applyFill="1" applyBorder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181" fontId="72" fillId="33" borderId="0" xfId="0" applyNumberFormat="1" applyFont="1" applyFill="1" applyBorder="1" applyAlignment="1">
      <alignment horizontal="center" vertical="center" wrapText="1"/>
    </xf>
    <xf numFmtId="181" fontId="26" fillId="33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81" fontId="72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2" fontId="2" fillId="0" borderId="14" xfId="43" applyFont="1" applyFill="1" applyBorder="1" applyAlignment="1">
      <alignment horizontal="center" vertical="top" wrapText="1"/>
    </xf>
    <xf numFmtId="172" fontId="2" fillId="0" borderId="22" xfId="43" applyFont="1" applyFill="1" applyBorder="1" applyAlignment="1">
      <alignment horizontal="center" vertical="top" wrapText="1"/>
    </xf>
    <xf numFmtId="0" fontId="8" fillId="0" borderId="0" xfId="54" applyNumberFormat="1" applyFont="1" applyAlignment="1">
      <alignment horizontal="center" vertical="center" wrapText="1"/>
      <protection/>
    </xf>
    <xf numFmtId="49" fontId="12" fillId="0" borderId="24" xfId="54" applyNumberFormat="1" applyFont="1" applyBorder="1" applyAlignment="1">
      <alignment horizontal="center" vertical="center" wrapText="1"/>
      <protection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25" xfId="54" applyNumberFormat="1" applyFont="1" applyBorder="1" applyAlignment="1">
      <alignment horizontal="center" vertical="center" wrapText="1"/>
      <protection/>
    </xf>
    <xf numFmtId="0" fontId="12" fillId="0" borderId="13" xfId="54" applyNumberFormat="1" applyFont="1" applyBorder="1" applyAlignment="1">
      <alignment horizontal="center" vertical="center" wrapText="1"/>
      <protection/>
    </xf>
    <xf numFmtId="181" fontId="13" fillId="0" borderId="25" xfId="54" applyNumberFormat="1" applyFont="1" applyFill="1" applyBorder="1" applyAlignment="1">
      <alignment horizontal="center" vertical="center" wrapText="1"/>
      <protection/>
    </xf>
    <xf numFmtId="181" fontId="13" fillId="0" borderId="25" xfId="0" applyNumberFormat="1" applyFont="1" applyBorder="1" applyAlignment="1">
      <alignment horizontal="center" vertical="center" wrapText="1"/>
    </xf>
    <xf numFmtId="181" fontId="14" fillId="0" borderId="26" xfId="0" applyNumberFormat="1" applyFont="1" applyFill="1" applyBorder="1" applyAlignment="1">
      <alignment horizontal="center" vertical="center" wrapText="1"/>
    </xf>
    <xf numFmtId="181" fontId="14" fillId="0" borderId="27" xfId="0" applyNumberFormat="1" applyFont="1" applyFill="1" applyBorder="1" applyAlignment="1">
      <alignment horizontal="center" vertical="center" wrapText="1"/>
    </xf>
    <xf numFmtId="181" fontId="14" fillId="0" borderId="28" xfId="0" applyNumberFormat="1" applyFont="1" applyFill="1" applyBorder="1" applyAlignment="1">
      <alignment horizontal="center" vertical="center" wrapText="1"/>
    </xf>
    <xf numFmtId="181" fontId="15" fillId="5" borderId="13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19" xfId="54" applyNumberFormat="1" applyFont="1" applyBorder="1" applyAlignment="1">
      <alignment horizontal="center" vertical="center" wrapText="1"/>
      <protection/>
    </xf>
    <xf numFmtId="181" fontId="1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181" fontId="19" fillId="0" borderId="13" xfId="0" applyNumberFormat="1" applyFont="1" applyBorder="1" applyAlignment="1">
      <alignment horizontal="center" vertical="center"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4" fillId="0" borderId="13" xfId="54" applyNumberFormat="1" applyFont="1" applyFill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0" fontId="25" fillId="34" borderId="29" xfId="54" applyNumberFormat="1" applyFont="1" applyFill="1" applyBorder="1" applyAlignment="1">
      <alignment horizontal="center" vertical="center" wrapText="1"/>
      <protection/>
    </xf>
    <xf numFmtId="0" fontId="25" fillId="34" borderId="20" xfId="54" applyNumberFormat="1" applyFont="1" applyFill="1" applyBorder="1" applyAlignment="1">
      <alignment horizontal="center" vertical="center" wrapText="1"/>
      <protection/>
    </xf>
    <xf numFmtId="0" fontId="24" fillId="0" borderId="0" xfId="54" applyNumberFormat="1" applyFont="1" applyFill="1" applyBorder="1" applyAlignment="1">
      <alignment horizontal="right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5" fillId="5" borderId="11" xfId="0" applyNumberFormat="1" applyFont="1" applyFill="1" applyBorder="1" applyAlignment="1">
      <alignment horizontal="center" vertical="center" wrapText="1"/>
    </xf>
    <xf numFmtId="181" fontId="15" fillId="5" borderId="10" xfId="0" applyNumberFormat="1" applyFont="1" applyFill="1" applyBorder="1" applyAlignment="1">
      <alignment horizontal="center" vertical="center" wrapText="1"/>
    </xf>
    <xf numFmtId="181" fontId="26" fillId="0" borderId="0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21" sqref="Q21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6.625" style="1" customWidth="1"/>
    <col min="4" max="4" width="11.125" style="1" customWidth="1"/>
    <col min="5" max="5" width="11.00390625" style="1" customWidth="1"/>
    <col min="6" max="6" width="11.625" style="1" customWidth="1"/>
    <col min="7" max="7" width="11.625" style="1" hidden="1" customWidth="1"/>
    <col min="8" max="9" width="11.25390625" style="1" hidden="1" customWidth="1"/>
    <col min="10" max="10" width="11.00390625" style="1" hidden="1" customWidth="1" outlineLevel="1"/>
    <col min="11" max="11" width="11.00390625" style="1" customWidth="1" collapsed="1"/>
    <col min="12" max="12" width="8.625" style="1" customWidth="1"/>
    <col min="13" max="13" width="9.75390625" style="1" customWidth="1"/>
    <col min="14" max="14" width="10.375" style="1" customWidth="1"/>
    <col min="15" max="16384" width="9.125" style="1" customWidth="1"/>
  </cols>
  <sheetData>
    <row r="1" spans="1:14" ht="12.75">
      <c r="A1" s="199" t="s">
        <v>82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1" ht="9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4.25" customHeight="1">
      <c r="A3" s="47"/>
      <c r="B3" s="47"/>
      <c r="C3" s="48"/>
      <c r="D3" s="48"/>
      <c r="E3" s="48"/>
      <c r="F3" s="48"/>
      <c r="G3" s="48"/>
      <c r="H3" s="48"/>
      <c r="I3" s="49"/>
      <c r="J3" s="49"/>
      <c r="K3" s="50" t="s">
        <v>65</v>
      </c>
    </row>
    <row r="4" spans="1:14" ht="12.75" customHeight="1">
      <c r="A4" s="51" t="s">
        <v>39</v>
      </c>
      <c r="B4" s="51"/>
      <c r="C4" s="52"/>
      <c r="D4" s="194" t="s">
        <v>78</v>
      </c>
      <c r="E4" s="194" t="s">
        <v>79</v>
      </c>
      <c r="F4" s="194" t="s">
        <v>76</v>
      </c>
      <c r="G4" s="201" t="s">
        <v>66</v>
      </c>
      <c r="H4" s="201" t="s">
        <v>67</v>
      </c>
      <c r="I4" s="201" t="s">
        <v>68</v>
      </c>
      <c r="J4" s="201" t="s">
        <v>69</v>
      </c>
      <c r="K4" s="194" t="s">
        <v>83</v>
      </c>
      <c r="L4" s="194" t="s">
        <v>77</v>
      </c>
      <c r="M4" s="194" t="s">
        <v>80</v>
      </c>
      <c r="N4" s="194" t="s">
        <v>81</v>
      </c>
    </row>
    <row r="5" spans="1:14" ht="27.75" customHeight="1">
      <c r="A5" s="53" t="s">
        <v>44</v>
      </c>
      <c r="B5" s="53"/>
      <c r="C5" s="54" t="s">
        <v>16</v>
      </c>
      <c r="D5" s="195"/>
      <c r="E5" s="195"/>
      <c r="F5" s="195"/>
      <c r="G5" s="202"/>
      <c r="H5" s="202"/>
      <c r="I5" s="202"/>
      <c r="J5" s="202"/>
      <c r="K5" s="195"/>
      <c r="L5" s="195"/>
      <c r="M5" s="195"/>
      <c r="N5" s="195"/>
    </row>
    <row r="6" spans="1:14" ht="39.75" customHeight="1">
      <c r="A6" s="53"/>
      <c r="B6" s="53"/>
      <c r="C6" s="54"/>
      <c r="D6" s="196"/>
      <c r="E6" s="196"/>
      <c r="F6" s="196"/>
      <c r="G6" s="203"/>
      <c r="H6" s="203"/>
      <c r="I6" s="203"/>
      <c r="J6" s="203"/>
      <c r="K6" s="196"/>
      <c r="L6" s="196"/>
      <c r="M6" s="196"/>
      <c r="N6" s="196"/>
    </row>
    <row r="7" spans="1:14" ht="12.75">
      <c r="A7" s="197" t="s">
        <v>22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</row>
    <row r="8" spans="1:14" ht="12.75">
      <c r="A8" s="65" t="s">
        <v>3</v>
      </c>
      <c r="B8" s="65"/>
      <c r="C8" s="71" t="s">
        <v>64</v>
      </c>
      <c r="D8" s="64">
        <f aca="true" t="shared" si="0" ref="D8:J8">D9+D11+D12+D13+D15+D16+D18+D20+D14+D21+D17+D19+D10</f>
        <v>810292.5000000001</v>
      </c>
      <c r="E8" s="64">
        <f t="shared" si="0"/>
        <v>810292.5000000001</v>
      </c>
      <c r="F8" s="64">
        <f>F9+F11+F12+F13+F15+F16+F18+F20+F14+F21+F17+F19+F10</f>
        <v>189630.3</v>
      </c>
      <c r="G8" s="64">
        <f t="shared" si="0"/>
        <v>189630.3</v>
      </c>
      <c r="H8" s="64">
        <f t="shared" si="0"/>
        <v>222054.50000000003</v>
      </c>
      <c r="I8" s="64">
        <f t="shared" si="0"/>
        <v>185044.40000000002</v>
      </c>
      <c r="J8" s="64">
        <f t="shared" si="0"/>
        <v>213563.29999999996</v>
      </c>
      <c r="K8" s="64">
        <f>K9+K11+K12+K13+K15+K16+K18+K20+K14+K21+K17+K19+K10</f>
        <v>213653.3</v>
      </c>
      <c r="L8" s="64">
        <f aca="true" t="shared" si="1" ref="L8:L13">K8*100/F8</f>
        <v>112.66833412170946</v>
      </c>
      <c r="M8" s="24">
        <f aca="true" t="shared" si="2" ref="M8:M13">K8*100/E8</f>
        <v>26.367429045684116</v>
      </c>
      <c r="N8" s="24">
        <f aca="true" t="shared" si="3" ref="N8:N21">K8*100/D8</f>
        <v>26.367429045684116</v>
      </c>
    </row>
    <row r="9" spans="1:14" ht="12.75">
      <c r="A9" s="12" t="s">
        <v>74</v>
      </c>
      <c r="B9" s="12"/>
      <c r="C9" s="55" t="s">
        <v>75</v>
      </c>
      <c r="D9" s="46">
        <v>602385.5</v>
      </c>
      <c r="E9" s="46">
        <f>G9+H9+I9+J9</f>
        <v>602385.5</v>
      </c>
      <c r="F9" s="46">
        <f>G9</f>
        <v>147767</v>
      </c>
      <c r="G9" s="46">
        <v>147767</v>
      </c>
      <c r="H9" s="46">
        <v>156690.8</v>
      </c>
      <c r="I9" s="20">
        <v>137881.1</v>
      </c>
      <c r="J9" s="72">
        <v>160046.6</v>
      </c>
      <c r="K9" s="72">
        <v>161804.2</v>
      </c>
      <c r="L9" s="20">
        <f t="shared" si="1"/>
        <v>109.49954996717807</v>
      </c>
      <c r="M9" s="72">
        <f t="shared" si="2"/>
        <v>26.860573503180277</v>
      </c>
      <c r="N9" s="18">
        <f t="shared" si="3"/>
        <v>26.860573503180277</v>
      </c>
    </row>
    <row r="10" spans="1:14" ht="25.5" customHeight="1">
      <c r="A10" s="12" t="s">
        <v>73</v>
      </c>
      <c r="B10" s="12"/>
      <c r="C10" s="28" t="s">
        <v>72</v>
      </c>
      <c r="D10" s="60">
        <v>3868.9</v>
      </c>
      <c r="E10" s="60">
        <f aca="true" t="shared" si="4" ref="E10:E26">G10+H10+I10+J10</f>
        <v>3868.9000000000005</v>
      </c>
      <c r="F10" s="46">
        <f aca="true" t="shared" si="5" ref="F10:F26">G10</f>
        <v>967.2</v>
      </c>
      <c r="G10" s="60">
        <v>967.2</v>
      </c>
      <c r="H10" s="60">
        <v>967.2</v>
      </c>
      <c r="I10" s="17">
        <v>967.2</v>
      </c>
      <c r="J10" s="18">
        <v>967.3</v>
      </c>
      <c r="K10" s="18">
        <v>1080</v>
      </c>
      <c r="L10" s="20">
        <f t="shared" si="1"/>
        <v>111.66253101736972</v>
      </c>
      <c r="M10" s="18">
        <f t="shared" si="2"/>
        <v>27.91491121507405</v>
      </c>
      <c r="N10" s="18">
        <f t="shared" si="3"/>
        <v>27.914911215074053</v>
      </c>
    </row>
    <row r="11" spans="1:14" ht="12.75">
      <c r="A11" s="12" t="s">
        <v>8</v>
      </c>
      <c r="B11" s="12"/>
      <c r="C11" s="28" t="s">
        <v>5</v>
      </c>
      <c r="D11" s="60">
        <v>53331.5</v>
      </c>
      <c r="E11" s="60">
        <f t="shared" si="4"/>
        <v>53331.5</v>
      </c>
      <c r="F11" s="46">
        <f t="shared" si="5"/>
        <v>12598.8</v>
      </c>
      <c r="G11" s="60">
        <v>12598.8</v>
      </c>
      <c r="H11" s="60">
        <v>25947.9</v>
      </c>
      <c r="I11" s="17">
        <v>7981</v>
      </c>
      <c r="J11" s="18">
        <v>6803.8</v>
      </c>
      <c r="K11" s="18">
        <v>13473.3</v>
      </c>
      <c r="L11" s="20">
        <f t="shared" si="1"/>
        <v>106.94113725116678</v>
      </c>
      <c r="M11" s="18">
        <f t="shared" si="2"/>
        <v>25.26330592614121</v>
      </c>
      <c r="N11" s="18">
        <f t="shared" si="3"/>
        <v>25.26330592614121</v>
      </c>
    </row>
    <row r="12" spans="1:14" ht="12.75">
      <c r="A12" s="12" t="s">
        <v>9</v>
      </c>
      <c r="B12" s="12"/>
      <c r="C12" s="28" t="s">
        <v>6</v>
      </c>
      <c r="D12" s="60">
        <v>8680</v>
      </c>
      <c r="E12" s="60">
        <f t="shared" si="4"/>
        <v>8680</v>
      </c>
      <c r="F12" s="46">
        <f t="shared" si="5"/>
        <v>1630</v>
      </c>
      <c r="G12" s="60">
        <v>1630</v>
      </c>
      <c r="H12" s="60">
        <v>1700</v>
      </c>
      <c r="I12" s="17">
        <v>1595</v>
      </c>
      <c r="J12" s="18">
        <v>3755</v>
      </c>
      <c r="K12" s="18">
        <v>2014.5</v>
      </c>
      <c r="L12" s="20">
        <f t="shared" si="1"/>
        <v>123.58895705521472</v>
      </c>
      <c r="M12" s="18">
        <f t="shared" si="2"/>
        <v>23.20852534562212</v>
      </c>
      <c r="N12" s="18">
        <f t="shared" si="3"/>
        <v>23.20852534562212</v>
      </c>
    </row>
    <row r="13" spans="1:14" ht="12.75">
      <c r="A13" s="12" t="s">
        <v>10</v>
      </c>
      <c r="B13" s="12"/>
      <c r="C13" s="28" t="s">
        <v>21</v>
      </c>
      <c r="D13" s="60">
        <v>3802</v>
      </c>
      <c r="E13" s="60">
        <f t="shared" si="4"/>
        <v>3802</v>
      </c>
      <c r="F13" s="46">
        <f t="shared" si="5"/>
        <v>850</v>
      </c>
      <c r="G13" s="60">
        <v>850</v>
      </c>
      <c r="H13" s="60">
        <v>1000</v>
      </c>
      <c r="I13" s="17">
        <v>1000</v>
      </c>
      <c r="J13" s="18">
        <v>952</v>
      </c>
      <c r="K13" s="18">
        <v>1169.4</v>
      </c>
      <c r="L13" s="20">
        <f t="shared" si="1"/>
        <v>137.5764705882353</v>
      </c>
      <c r="M13" s="18">
        <f t="shared" si="2"/>
        <v>30.757496054708053</v>
      </c>
      <c r="N13" s="18">
        <f t="shared" si="3"/>
        <v>30.757496054708053</v>
      </c>
    </row>
    <row r="14" spans="1:14" ht="21.75" customHeight="1" hidden="1">
      <c r="A14" s="12" t="s">
        <v>35</v>
      </c>
      <c r="B14" s="12"/>
      <c r="C14" s="28" t="s">
        <v>36</v>
      </c>
      <c r="D14" s="60"/>
      <c r="E14" s="60">
        <f t="shared" si="4"/>
        <v>0</v>
      </c>
      <c r="F14" s="46">
        <f t="shared" si="5"/>
        <v>0</v>
      </c>
      <c r="G14" s="60"/>
      <c r="H14" s="60"/>
      <c r="I14" s="17"/>
      <c r="J14" s="18"/>
      <c r="K14" s="18"/>
      <c r="L14" s="20"/>
      <c r="M14" s="18"/>
      <c r="N14" s="18" t="e">
        <f t="shared" si="3"/>
        <v>#DIV/0!</v>
      </c>
    </row>
    <row r="15" spans="1:14" ht="24">
      <c r="A15" s="13" t="s">
        <v>11</v>
      </c>
      <c r="B15" s="13"/>
      <c r="C15" s="28" t="s">
        <v>17</v>
      </c>
      <c r="D15" s="60">
        <v>106610.9</v>
      </c>
      <c r="E15" s="60">
        <f t="shared" si="4"/>
        <v>106610.9</v>
      </c>
      <c r="F15" s="46">
        <f t="shared" si="5"/>
        <v>18575</v>
      </c>
      <c r="G15" s="60">
        <v>18575</v>
      </c>
      <c r="H15" s="60">
        <v>28215.2</v>
      </c>
      <c r="I15" s="17">
        <v>26102.5</v>
      </c>
      <c r="J15" s="18">
        <v>33718.2</v>
      </c>
      <c r="K15" s="18">
        <v>20500.3</v>
      </c>
      <c r="L15" s="20">
        <f aca="true" t="shared" si="6" ref="L15:L20">K15*100/F15</f>
        <v>110.3650067294751</v>
      </c>
      <c r="M15" s="18">
        <f aca="true" t="shared" si="7" ref="M15:M20">K15*100/E15</f>
        <v>19.229084455717004</v>
      </c>
      <c r="N15" s="18">
        <f t="shared" si="3"/>
        <v>19.229084455717004</v>
      </c>
    </row>
    <row r="16" spans="1:14" ht="12.75">
      <c r="A16" s="29" t="s">
        <v>14</v>
      </c>
      <c r="B16" s="29"/>
      <c r="C16" s="28" t="s">
        <v>13</v>
      </c>
      <c r="D16" s="60">
        <v>18177.1</v>
      </c>
      <c r="E16" s="60">
        <f t="shared" si="4"/>
        <v>18177.1</v>
      </c>
      <c r="F16" s="46">
        <f t="shared" si="5"/>
        <v>4544.4</v>
      </c>
      <c r="G16" s="60">
        <v>4544.4</v>
      </c>
      <c r="H16" s="60">
        <v>4544.5</v>
      </c>
      <c r="I16" s="17">
        <v>4544.5</v>
      </c>
      <c r="J16" s="18">
        <v>4543.7</v>
      </c>
      <c r="K16" s="18">
        <v>4412.8</v>
      </c>
      <c r="L16" s="20">
        <f t="shared" si="6"/>
        <v>97.1041281577326</v>
      </c>
      <c r="M16" s="18">
        <f t="shared" si="7"/>
        <v>24.276699803599037</v>
      </c>
      <c r="N16" s="18">
        <f t="shared" si="3"/>
        <v>24.276699803599037</v>
      </c>
    </row>
    <row r="17" spans="1:14" ht="24">
      <c r="A17" s="30" t="s">
        <v>40</v>
      </c>
      <c r="B17" s="30"/>
      <c r="C17" s="28" t="s">
        <v>41</v>
      </c>
      <c r="D17" s="60">
        <v>740.3</v>
      </c>
      <c r="E17" s="60">
        <f t="shared" si="4"/>
        <v>785.3</v>
      </c>
      <c r="F17" s="46">
        <f t="shared" si="5"/>
        <v>47.4</v>
      </c>
      <c r="G17" s="60">
        <v>47.4</v>
      </c>
      <c r="H17" s="60">
        <v>328.6</v>
      </c>
      <c r="I17" s="17">
        <v>320.8</v>
      </c>
      <c r="J17" s="18">
        <f>43.5+45</f>
        <v>88.5</v>
      </c>
      <c r="K17" s="18">
        <v>1237</v>
      </c>
      <c r="L17" s="20">
        <f t="shared" si="6"/>
        <v>2609.704641350211</v>
      </c>
      <c r="M17" s="18">
        <f t="shared" si="7"/>
        <v>157.5194193301923</v>
      </c>
      <c r="N17" s="18">
        <f t="shared" si="3"/>
        <v>167.09442118060247</v>
      </c>
    </row>
    <row r="18" spans="1:14" ht="24">
      <c r="A18" s="30" t="s">
        <v>18</v>
      </c>
      <c r="B18" s="30"/>
      <c r="C18" s="28" t="s">
        <v>15</v>
      </c>
      <c r="D18" s="60">
        <v>8611.5</v>
      </c>
      <c r="E18" s="60">
        <f t="shared" si="4"/>
        <v>8611.5</v>
      </c>
      <c r="F18" s="46">
        <f t="shared" si="5"/>
        <v>1652.7</v>
      </c>
      <c r="G18" s="60">
        <v>1652.7</v>
      </c>
      <c r="H18" s="60">
        <v>1652.7</v>
      </c>
      <c r="I18" s="17">
        <v>3652.7</v>
      </c>
      <c r="J18" s="18">
        <v>1653.4</v>
      </c>
      <c r="K18" s="18">
        <v>4414.7</v>
      </c>
      <c r="L18" s="20">
        <f t="shared" si="6"/>
        <v>267.12046953470076</v>
      </c>
      <c r="M18" s="18">
        <f t="shared" si="7"/>
        <v>51.26516866980201</v>
      </c>
      <c r="N18" s="18">
        <f t="shared" si="3"/>
        <v>51.26516866980201</v>
      </c>
    </row>
    <row r="19" spans="1:14" ht="12.75">
      <c r="A19" s="30" t="s">
        <v>57</v>
      </c>
      <c r="B19" s="30"/>
      <c r="C19" s="28" t="s">
        <v>58</v>
      </c>
      <c r="D19" s="60">
        <v>11</v>
      </c>
      <c r="E19" s="60">
        <f t="shared" si="4"/>
        <v>11</v>
      </c>
      <c r="F19" s="46">
        <f t="shared" si="5"/>
        <v>2</v>
      </c>
      <c r="G19" s="60">
        <v>2</v>
      </c>
      <c r="H19" s="60">
        <v>2</v>
      </c>
      <c r="I19" s="17">
        <v>2</v>
      </c>
      <c r="J19" s="18">
        <v>5</v>
      </c>
      <c r="K19" s="18">
        <v>16</v>
      </c>
      <c r="L19" s="20">
        <f t="shared" si="6"/>
        <v>800</v>
      </c>
      <c r="M19" s="18">
        <f t="shared" si="7"/>
        <v>145.45454545454547</v>
      </c>
      <c r="N19" s="18">
        <f t="shared" si="3"/>
        <v>145.45454545454547</v>
      </c>
    </row>
    <row r="20" spans="1:14" ht="12.75">
      <c r="A20" s="21" t="s">
        <v>12</v>
      </c>
      <c r="B20" s="21"/>
      <c r="C20" s="28" t="s">
        <v>7</v>
      </c>
      <c r="D20" s="60">
        <v>4028.8</v>
      </c>
      <c r="E20" s="60">
        <f t="shared" si="4"/>
        <v>4028.8</v>
      </c>
      <c r="F20" s="46">
        <f t="shared" si="5"/>
        <v>995.8</v>
      </c>
      <c r="G20" s="60">
        <v>995.8</v>
      </c>
      <c r="H20" s="60">
        <v>1005.6</v>
      </c>
      <c r="I20" s="17">
        <v>997.6</v>
      </c>
      <c r="J20" s="18">
        <v>1029.8</v>
      </c>
      <c r="K20" s="18">
        <v>3227.5</v>
      </c>
      <c r="L20" s="20">
        <f t="shared" si="6"/>
        <v>324.11126732275557</v>
      </c>
      <c r="M20" s="18">
        <f t="shared" si="7"/>
        <v>80.11070293884035</v>
      </c>
      <c r="N20" s="18">
        <f t="shared" si="3"/>
        <v>80.11070293884035</v>
      </c>
    </row>
    <row r="21" spans="1:14" ht="12.75">
      <c r="A21" s="31" t="s">
        <v>37</v>
      </c>
      <c r="B21" s="63"/>
      <c r="C21" s="16" t="s">
        <v>38</v>
      </c>
      <c r="D21" s="60">
        <v>45</v>
      </c>
      <c r="E21" s="60">
        <f t="shared" si="4"/>
        <v>0</v>
      </c>
      <c r="F21" s="46">
        <f t="shared" si="5"/>
        <v>0</v>
      </c>
      <c r="G21" s="60"/>
      <c r="H21" s="60"/>
      <c r="I21" s="17"/>
      <c r="J21" s="18"/>
      <c r="K21" s="18">
        <v>303.6</v>
      </c>
      <c r="L21" s="20"/>
      <c r="M21" s="18"/>
      <c r="N21" s="18">
        <f t="shared" si="3"/>
        <v>674.6666666666667</v>
      </c>
    </row>
    <row r="22" spans="1:14" ht="12.75">
      <c r="A22" s="25" t="s">
        <v>1</v>
      </c>
      <c r="B22" s="25"/>
      <c r="C22" s="32" t="s">
        <v>0</v>
      </c>
      <c r="D22" s="33">
        <f aca="true" t="shared" si="8" ref="D22:J22">D23+D24+D26+D25</f>
        <v>3698820.7</v>
      </c>
      <c r="E22" s="33">
        <f>E23+E24+E26+E25</f>
        <v>3704277.7</v>
      </c>
      <c r="F22" s="33">
        <f t="shared" si="8"/>
        <v>678504.7999999999</v>
      </c>
      <c r="G22" s="33">
        <f t="shared" si="8"/>
        <v>678504.7999999999</v>
      </c>
      <c r="H22" s="33">
        <f t="shared" si="8"/>
        <v>1033025.9</v>
      </c>
      <c r="I22" s="33">
        <f t="shared" si="8"/>
        <v>672081</v>
      </c>
      <c r="J22" s="33">
        <f t="shared" si="8"/>
        <v>1320666</v>
      </c>
      <c r="K22" s="33">
        <f>K23+K24+K26+K25</f>
        <v>661086</v>
      </c>
      <c r="L22" s="27">
        <f aca="true" t="shared" si="9" ref="L22:L27">K22*100/F22</f>
        <v>97.43276687209878</v>
      </c>
      <c r="M22" s="24">
        <f aca="true" t="shared" si="10" ref="M22:M27">K22*100/E22</f>
        <v>17.8465561585731</v>
      </c>
      <c r="N22" s="24">
        <f>K22*100/D22</f>
        <v>17.87288580925266</v>
      </c>
    </row>
    <row r="23" spans="1:14" ht="24">
      <c r="A23" s="83" t="s">
        <v>63</v>
      </c>
      <c r="B23" s="12"/>
      <c r="C23" s="34" t="s">
        <v>20</v>
      </c>
      <c r="D23" s="59">
        <v>3698820.7</v>
      </c>
      <c r="E23" s="60">
        <f t="shared" si="4"/>
        <v>3700356.5</v>
      </c>
      <c r="F23" s="46">
        <f t="shared" si="5"/>
        <v>684883.6</v>
      </c>
      <c r="G23" s="60">
        <v>684883.6</v>
      </c>
      <c r="H23" s="60">
        <v>1033025.9</v>
      </c>
      <c r="I23" s="18">
        <v>667081</v>
      </c>
      <c r="J23" s="18">
        <v>1315366</v>
      </c>
      <c r="K23" s="18">
        <v>661830.8</v>
      </c>
      <c r="L23" s="20">
        <f t="shared" si="9"/>
        <v>96.63405577239696</v>
      </c>
      <c r="M23" s="18">
        <f t="shared" si="10"/>
        <v>17.88559561761144</v>
      </c>
      <c r="N23" s="18">
        <f>K23*100/D23</f>
        <v>17.893021956971314</v>
      </c>
    </row>
    <row r="24" spans="1:14" ht="18.75" customHeight="1">
      <c r="A24" s="83" t="s">
        <v>71</v>
      </c>
      <c r="B24" s="14"/>
      <c r="C24" s="35" t="s">
        <v>19</v>
      </c>
      <c r="D24" s="67"/>
      <c r="E24" s="60">
        <f t="shared" si="4"/>
        <v>10300</v>
      </c>
      <c r="F24" s="46">
        <f t="shared" si="5"/>
        <v>0</v>
      </c>
      <c r="G24" s="67"/>
      <c r="H24" s="67"/>
      <c r="I24" s="18">
        <v>5000</v>
      </c>
      <c r="J24" s="18">
        <v>5300</v>
      </c>
      <c r="K24" s="18">
        <v>7300</v>
      </c>
      <c r="L24" s="20"/>
      <c r="M24" s="18">
        <f t="shared" si="10"/>
        <v>70.87378640776699</v>
      </c>
      <c r="N24" s="18"/>
    </row>
    <row r="25" spans="1:14" ht="61.5" customHeight="1" hidden="1">
      <c r="A25" s="83" t="s">
        <v>70</v>
      </c>
      <c r="B25" s="15" t="s">
        <v>61</v>
      </c>
      <c r="C25" s="16" t="s">
        <v>61</v>
      </c>
      <c r="D25" s="60"/>
      <c r="E25" s="60">
        <f t="shared" si="4"/>
        <v>0</v>
      </c>
      <c r="F25" s="46">
        <f t="shared" si="5"/>
        <v>0</v>
      </c>
      <c r="G25" s="60"/>
      <c r="H25" s="60"/>
      <c r="I25" s="18"/>
      <c r="J25" s="18"/>
      <c r="K25" s="18"/>
      <c r="L25" s="20"/>
      <c r="M25" s="18" t="e">
        <f t="shared" si="10"/>
        <v>#DIV/0!</v>
      </c>
      <c r="N25" s="18"/>
    </row>
    <row r="26" spans="1:14" ht="39" customHeight="1">
      <c r="A26" s="83" t="s">
        <v>62</v>
      </c>
      <c r="B26" s="68"/>
      <c r="C26" s="19" t="s">
        <v>60</v>
      </c>
      <c r="D26" s="73"/>
      <c r="E26" s="60">
        <f t="shared" si="4"/>
        <v>-6378.8</v>
      </c>
      <c r="F26" s="46">
        <f t="shared" si="5"/>
        <v>-6378.8</v>
      </c>
      <c r="G26" s="73">
        <v>-6378.8</v>
      </c>
      <c r="H26" s="73"/>
      <c r="I26" s="18"/>
      <c r="J26" s="18"/>
      <c r="K26" s="18">
        <v>-8044.8</v>
      </c>
      <c r="L26" s="20"/>
      <c r="M26" s="18">
        <f t="shared" si="10"/>
        <v>126.11776509688342</v>
      </c>
      <c r="N26" s="18"/>
    </row>
    <row r="27" spans="1:14" ht="12.75">
      <c r="A27" s="21"/>
      <c r="B27" s="22"/>
      <c r="C27" s="23" t="s">
        <v>4</v>
      </c>
      <c r="D27" s="24">
        <f aca="true" t="shared" si="11" ref="D27:J27">D22+D8</f>
        <v>4509113.2</v>
      </c>
      <c r="E27" s="24">
        <f t="shared" si="11"/>
        <v>4514570.2</v>
      </c>
      <c r="F27" s="24">
        <f t="shared" si="11"/>
        <v>868135.0999999999</v>
      </c>
      <c r="G27" s="24">
        <f t="shared" si="11"/>
        <v>868135.0999999999</v>
      </c>
      <c r="H27" s="24">
        <f t="shared" si="11"/>
        <v>1255080.4000000001</v>
      </c>
      <c r="I27" s="24">
        <f t="shared" si="11"/>
        <v>857125.4</v>
      </c>
      <c r="J27" s="24">
        <f t="shared" si="11"/>
        <v>1534229.3</v>
      </c>
      <c r="K27" s="24">
        <f>K22+K8</f>
        <v>874739.3</v>
      </c>
      <c r="L27" s="27">
        <f t="shared" si="9"/>
        <v>100.76073412997587</v>
      </c>
      <c r="M27" s="24">
        <f t="shared" si="10"/>
        <v>19.3759153418414</v>
      </c>
      <c r="N27" s="24">
        <f>K27*100/D27</f>
        <v>19.39936438056157</v>
      </c>
    </row>
    <row r="28" spans="1:14" ht="12.75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27"/>
      <c r="M28" s="24"/>
      <c r="N28" s="18"/>
    </row>
    <row r="29" spans="1:14" ht="12.75">
      <c r="A29" s="197" t="s">
        <v>23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</row>
    <row r="30" spans="1:14" ht="12.75">
      <c r="A30" s="25" t="s">
        <v>3</v>
      </c>
      <c r="B30" s="25"/>
      <c r="C30" s="26" t="s">
        <v>64</v>
      </c>
      <c r="D30" s="27">
        <f aca="true" t="shared" si="12" ref="D30:J30">D31+D33+D35+D37+D34+D36+D39+D32</f>
        <v>19719.7</v>
      </c>
      <c r="E30" s="27">
        <f t="shared" si="12"/>
        <v>19925.6</v>
      </c>
      <c r="F30" s="27">
        <f t="shared" si="12"/>
        <v>4576.9</v>
      </c>
      <c r="G30" s="27">
        <f t="shared" si="12"/>
        <v>4576.9</v>
      </c>
      <c r="H30" s="27">
        <f t="shared" si="12"/>
        <v>5613.7</v>
      </c>
      <c r="I30" s="27">
        <f t="shared" si="12"/>
        <v>4525.400000000001</v>
      </c>
      <c r="J30" s="27">
        <f t="shared" si="12"/>
        <v>5209.6</v>
      </c>
      <c r="K30" s="27">
        <f>K31+K33+K35+K37+K34+K36+K39+K32+K38</f>
        <v>5055.5</v>
      </c>
      <c r="L30" s="27">
        <f aca="true" t="shared" si="13" ref="L30:L36">K30*100/F30</f>
        <v>110.45685944635017</v>
      </c>
      <c r="M30" s="24">
        <f aca="true" t="shared" si="14" ref="M30:M35">K30*100/E30</f>
        <v>25.37188340627133</v>
      </c>
      <c r="N30" s="24">
        <f aca="true" t="shared" si="15" ref="N30:N36">K30*100/D30</f>
        <v>25.636799748474875</v>
      </c>
    </row>
    <row r="31" spans="1:18" ht="12.75">
      <c r="A31" s="12" t="s">
        <v>74</v>
      </c>
      <c r="B31" s="12"/>
      <c r="C31" s="55" t="s">
        <v>75</v>
      </c>
      <c r="D31" s="46">
        <v>16000</v>
      </c>
      <c r="E31" s="60">
        <f aca="true" t="shared" si="16" ref="E31:E37">G31+H31+I31+J31</f>
        <v>16000</v>
      </c>
      <c r="F31" s="46">
        <f aca="true" t="shared" si="17" ref="F31:F42">G31</f>
        <v>3704.1</v>
      </c>
      <c r="G31" s="46">
        <v>3704.1</v>
      </c>
      <c r="H31" s="46">
        <v>4981.4</v>
      </c>
      <c r="I31" s="17">
        <v>3757.6</v>
      </c>
      <c r="J31" s="18">
        <v>3556.9</v>
      </c>
      <c r="K31" s="72">
        <v>4252.5</v>
      </c>
      <c r="L31" s="20">
        <f t="shared" si="13"/>
        <v>114.80521584190492</v>
      </c>
      <c r="M31" s="18">
        <f t="shared" si="14"/>
        <v>26.578125</v>
      </c>
      <c r="N31" s="18">
        <f t="shared" si="15"/>
        <v>26.578125</v>
      </c>
      <c r="R31" s="2"/>
    </row>
    <row r="32" spans="1:14" ht="25.5" customHeight="1">
      <c r="A32" s="12" t="s">
        <v>73</v>
      </c>
      <c r="B32" s="12"/>
      <c r="C32" s="28" t="s">
        <v>72</v>
      </c>
      <c r="D32" s="60">
        <v>1802.4</v>
      </c>
      <c r="E32" s="60">
        <f t="shared" si="16"/>
        <v>1950.8</v>
      </c>
      <c r="F32" s="46">
        <f>G32</f>
        <v>598.7</v>
      </c>
      <c r="G32" s="46">
        <v>598.7</v>
      </c>
      <c r="H32" s="46">
        <v>450.3</v>
      </c>
      <c r="I32" s="17">
        <v>450.6</v>
      </c>
      <c r="J32" s="18">
        <v>451.2</v>
      </c>
      <c r="K32" s="72">
        <v>503.1</v>
      </c>
      <c r="L32" s="20">
        <f t="shared" si="13"/>
        <v>84.03206948388174</v>
      </c>
      <c r="M32" s="18">
        <f t="shared" si="14"/>
        <v>25.789419725240926</v>
      </c>
      <c r="N32" s="18">
        <f t="shared" si="15"/>
        <v>27.91278295605859</v>
      </c>
    </row>
    <row r="33" spans="1:14" ht="12.75">
      <c r="A33" s="12" t="s">
        <v>9</v>
      </c>
      <c r="B33" s="12"/>
      <c r="C33" s="28" t="s">
        <v>6</v>
      </c>
      <c r="D33" s="60">
        <v>1250</v>
      </c>
      <c r="E33" s="60">
        <f t="shared" si="16"/>
        <v>1250</v>
      </c>
      <c r="F33" s="46">
        <f t="shared" si="17"/>
        <v>66.2</v>
      </c>
      <c r="G33" s="60">
        <v>66.2</v>
      </c>
      <c r="H33" s="60">
        <v>38.6</v>
      </c>
      <c r="I33" s="17">
        <v>229.8</v>
      </c>
      <c r="J33" s="18">
        <v>915.4</v>
      </c>
      <c r="K33" s="18">
        <v>42.1</v>
      </c>
      <c r="L33" s="20">
        <f t="shared" si="13"/>
        <v>63.59516616314199</v>
      </c>
      <c r="M33" s="18">
        <f t="shared" si="14"/>
        <v>3.368</v>
      </c>
      <c r="N33" s="18">
        <f t="shared" si="15"/>
        <v>3.368</v>
      </c>
    </row>
    <row r="34" spans="1:14" ht="12.75">
      <c r="A34" s="12" t="s">
        <v>10</v>
      </c>
      <c r="B34" s="12"/>
      <c r="C34" s="28" t="s">
        <v>21</v>
      </c>
      <c r="D34" s="60">
        <v>12.3</v>
      </c>
      <c r="E34" s="60">
        <f t="shared" si="16"/>
        <v>12.3</v>
      </c>
      <c r="F34" s="46">
        <f t="shared" si="17"/>
        <v>3</v>
      </c>
      <c r="G34" s="60">
        <v>3</v>
      </c>
      <c r="H34" s="60">
        <v>3</v>
      </c>
      <c r="I34" s="17">
        <v>3</v>
      </c>
      <c r="J34" s="18">
        <v>3.3</v>
      </c>
      <c r="K34" s="18">
        <v>0.9</v>
      </c>
      <c r="L34" s="20">
        <f t="shared" si="13"/>
        <v>30</v>
      </c>
      <c r="M34" s="18">
        <f t="shared" si="14"/>
        <v>7.317073170731707</v>
      </c>
      <c r="N34" s="18">
        <f t="shared" si="15"/>
        <v>7.317073170731707</v>
      </c>
    </row>
    <row r="35" spans="1:14" ht="24">
      <c r="A35" s="13" t="s">
        <v>11</v>
      </c>
      <c r="B35" s="13"/>
      <c r="C35" s="28" t="s">
        <v>17</v>
      </c>
      <c r="D35" s="60">
        <v>505</v>
      </c>
      <c r="E35" s="60">
        <f t="shared" si="16"/>
        <v>505</v>
      </c>
      <c r="F35" s="46">
        <f t="shared" si="17"/>
        <v>122.5</v>
      </c>
      <c r="G35" s="60">
        <v>122.5</v>
      </c>
      <c r="H35" s="60">
        <v>115.5</v>
      </c>
      <c r="I35" s="17">
        <v>59.5</v>
      </c>
      <c r="J35" s="18">
        <v>207.5</v>
      </c>
      <c r="K35" s="18">
        <v>153.4</v>
      </c>
      <c r="L35" s="20">
        <f t="shared" si="13"/>
        <v>125.22448979591837</v>
      </c>
      <c r="M35" s="18">
        <f t="shared" si="14"/>
        <v>30.376237623762375</v>
      </c>
      <c r="N35" s="18">
        <f t="shared" si="15"/>
        <v>30.376237623762375</v>
      </c>
    </row>
    <row r="36" spans="1:14" ht="24" customHeight="1">
      <c r="A36" s="30" t="s">
        <v>40</v>
      </c>
      <c r="B36" s="30"/>
      <c r="C36" s="28" t="s">
        <v>41</v>
      </c>
      <c r="D36" s="60">
        <v>50</v>
      </c>
      <c r="E36" s="60">
        <f t="shared" si="16"/>
        <v>107.5</v>
      </c>
      <c r="F36" s="46">
        <f t="shared" si="17"/>
        <v>57.5</v>
      </c>
      <c r="G36" s="60">
        <v>57.5</v>
      </c>
      <c r="H36" s="60"/>
      <c r="I36" s="17"/>
      <c r="J36" s="18">
        <v>50</v>
      </c>
      <c r="K36" s="18">
        <v>108.4</v>
      </c>
      <c r="L36" s="20">
        <f t="shared" si="13"/>
        <v>188.52173913043478</v>
      </c>
      <c r="M36" s="18">
        <f>K36*100/E36</f>
        <v>100.83720930232558</v>
      </c>
      <c r="N36" s="18">
        <f t="shared" si="15"/>
        <v>216.8</v>
      </c>
    </row>
    <row r="37" spans="1:14" ht="13.5" customHeight="1">
      <c r="A37" s="29" t="s">
        <v>18</v>
      </c>
      <c r="B37" s="29"/>
      <c r="C37" s="28" t="s">
        <v>15</v>
      </c>
      <c r="D37" s="60">
        <v>100</v>
      </c>
      <c r="E37" s="60">
        <f t="shared" si="16"/>
        <v>99.99999999999999</v>
      </c>
      <c r="F37" s="46">
        <f t="shared" si="17"/>
        <v>24.9</v>
      </c>
      <c r="G37" s="60">
        <v>24.9</v>
      </c>
      <c r="H37" s="60">
        <v>24.9</v>
      </c>
      <c r="I37" s="17">
        <v>24.9</v>
      </c>
      <c r="J37" s="18">
        <v>25.3</v>
      </c>
      <c r="K37" s="18"/>
      <c r="L37" s="20">
        <f>K37*100/F37</f>
        <v>0</v>
      </c>
      <c r="M37" s="18">
        <f>K37*100/E37</f>
        <v>0</v>
      </c>
      <c r="N37" s="18">
        <f>K37*100/D37</f>
        <v>0</v>
      </c>
    </row>
    <row r="38" spans="1:14" ht="14.25" customHeight="1" hidden="1">
      <c r="A38" s="21" t="s">
        <v>12</v>
      </c>
      <c r="B38" s="61"/>
      <c r="C38" s="28" t="s">
        <v>7</v>
      </c>
      <c r="D38" s="74"/>
      <c r="E38" s="60"/>
      <c r="F38" s="46">
        <f t="shared" si="17"/>
        <v>0</v>
      </c>
      <c r="G38" s="60"/>
      <c r="H38" s="60"/>
      <c r="I38" s="17"/>
      <c r="J38" s="18"/>
      <c r="K38" s="18"/>
      <c r="L38" s="20"/>
      <c r="M38" s="18"/>
      <c r="N38" s="18"/>
    </row>
    <row r="39" spans="1:14" ht="15.75" customHeight="1">
      <c r="A39" s="31" t="s">
        <v>37</v>
      </c>
      <c r="B39" s="63"/>
      <c r="C39" s="16" t="s">
        <v>38</v>
      </c>
      <c r="D39" s="60"/>
      <c r="E39" s="28"/>
      <c r="F39" s="46">
        <f t="shared" si="17"/>
        <v>0</v>
      </c>
      <c r="G39" s="60"/>
      <c r="H39" s="60"/>
      <c r="I39" s="17"/>
      <c r="J39" s="18"/>
      <c r="K39" s="18">
        <v>-4.9</v>
      </c>
      <c r="L39" s="27"/>
      <c r="M39" s="24"/>
      <c r="N39" s="18"/>
    </row>
    <row r="40" spans="1:14" ht="12.75">
      <c r="A40" s="25" t="s">
        <v>1</v>
      </c>
      <c r="B40" s="25"/>
      <c r="C40" s="32" t="s">
        <v>0</v>
      </c>
      <c r="D40" s="33">
        <f aca="true" t="shared" si="18" ref="D40:J40">D41+D42</f>
        <v>6852.5</v>
      </c>
      <c r="E40" s="33">
        <f t="shared" si="18"/>
        <v>7052.499999999999</v>
      </c>
      <c r="F40" s="33">
        <f t="shared" si="18"/>
        <v>1912.8</v>
      </c>
      <c r="G40" s="33">
        <f t="shared" si="18"/>
        <v>1912.8</v>
      </c>
      <c r="H40" s="33">
        <f t="shared" si="18"/>
        <v>1712.9</v>
      </c>
      <c r="I40" s="33">
        <f t="shared" si="18"/>
        <v>1713.1</v>
      </c>
      <c r="J40" s="33">
        <f t="shared" si="18"/>
        <v>1713.7</v>
      </c>
      <c r="K40" s="33">
        <f>K41+K42</f>
        <v>1188.5</v>
      </c>
      <c r="L40" s="27">
        <f>K40*100/F40</f>
        <v>62.1340443329151</v>
      </c>
      <c r="M40" s="24">
        <f>K40*100/E40</f>
        <v>16.85218007798653</v>
      </c>
      <c r="N40" s="24">
        <f>K40*100/D40</f>
        <v>17.344035023713975</v>
      </c>
    </row>
    <row r="41" spans="1:14" ht="23.25" customHeight="1">
      <c r="A41" s="14" t="s">
        <v>63</v>
      </c>
      <c r="B41" s="12"/>
      <c r="C41" s="34" t="s">
        <v>20</v>
      </c>
      <c r="D41" s="59">
        <v>6852.5</v>
      </c>
      <c r="E41" s="60">
        <f>G41+H41+I41+J41</f>
        <v>7052.499999999999</v>
      </c>
      <c r="F41" s="46">
        <f t="shared" si="17"/>
        <v>1912.8</v>
      </c>
      <c r="G41" s="59">
        <v>1912.8</v>
      </c>
      <c r="H41" s="59">
        <v>1712.9</v>
      </c>
      <c r="I41" s="17">
        <v>1713.1</v>
      </c>
      <c r="J41" s="59">
        <v>1713.7</v>
      </c>
      <c r="K41" s="18">
        <v>1188.5</v>
      </c>
      <c r="L41" s="20">
        <f>K41*100/F41</f>
        <v>62.1340443329151</v>
      </c>
      <c r="M41" s="18">
        <f>K41*100/E41</f>
        <v>16.85218007798653</v>
      </c>
      <c r="N41" s="18">
        <f>K41*100/D41</f>
        <v>17.344035023713975</v>
      </c>
    </row>
    <row r="42" spans="1:14" ht="37.5" customHeight="1" hidden="1">
      <c r="A42" s="14" t="s">
        <v>62</v>
      </c>
      <c r="B42" s="68"/>
      <c r="C42" s="19" t="s">
        <v>60</v>
      </c>
      <c r="D42" s="73"/>
      <c r="E42" s="60">
        <f>G42+H42+I42+J42</f>
        <v>0</v>
      </c>
      <c r="F42" s="46">
        <f t="shared" si="17"/>
        <v>0</v>
      </c>
      <c r="G42" s="59"/>
      <c r="H42" s="59"/>
      <c r="I42" s="17"/>
      <c r="J42" s="59"/>
      <c r="K42" s="18"/>
      <c r="L42" s="20"/>
      <c r="M42" s="18"/>
      <c r="N42" s="18"/>
    </row>
    <row r="43" spans="1:14" ht="12.75">
      <c r="A43" s="21"/>
      <c r="B43" s="22"/>
      <c r="C43" s="23" t="s">
        <v>4</v>
      </c>
      <c r="D43" s="24">
        <f aca="true" t="shared" si="19" ref="D43:J43">D40+D30</f>
        <v>26572.2</v>
      </c>
      <c r="E43" s="24">
        <f t="shared" si="19"/>
        <v>26978.1</v>
      </c>
      <c r="F43" s="24">
        <f t="shared" si="19"/>
        <v>6489.7</v>
      </c>
      <c r="G43" s="24">
        <f t="shared" si="19"/>
        <v>6489.7</v>
      </c>
      <c r="H43" s="24">
        <f t="shared" si="19"/>
        <v>7326.6</v>
      </c>
      <c r="I43" s="24">
        <f t="shared" si="19"/>
        <v>6238.5</v>
      </c>
      <c r="J43" s="24">
        <f t="shared" si="19"/>
        <v>6923.3</v>
      </c>
      <c r="K43" s="24">
        <f>K40+K30</f>
        <v>6244</v>
      </c>
      <c r="L43" s="27">
        <f>K43*100/F43</f>
        <v>96.21400064717938</v>
      </c>
      <c r="M43" s="24">
        <f>K43*100/E43</f>
        <v>23.144698848325124</v>
      </c>
      <c r="N43" s="24">
        <f>K43*100/D43</f>
        <v>23.498242524141773</v>
      </c>
    </row>
    <row r="44" spans="1:14" ht="12.75">
      <c r="A44" s="56"/>
      <c r="B44" s="57"/>
      <c r="C44" s="193"/>
      <c r="D44" s="193"/>
      <c r="E44" s="193"/>
      <c r="F44" s="193"/>
      <c r="G44" s="193"/>
      <c r="H44" s="193"/>
      <c r="I44" s="193"/>
      <c r="J44" s="193"/>
      <c r="K44" s="193"/>
      <c r="L44" s="27"/>
      <c r="M44" s="24"/>
      <c r="N44" s="18"/>
    </row>
    <row r="45" spans="1:14" ht="12.75">
      <c r="A45" s="197" t="s">
        <v>24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</row>
    <row r="46" spans="1:14" ht="12.75">
      <c r="A46" s="25" t="s">
        <v>3</v>
      </c>
      <c r="B46" s="25"/>
      <c r="C46" s="26" t="s">
        <v>64</v>
      </c>
      <c r="D46" s="27">
        <f aca="true" t="shared" si="20" ref="D46:J46">D47+D50+D52+D54+D55+D56+D51+D49+D48+D53</f>
        <v>22750.7</v>
      </c>
      <c r="E46" s="27">
        <f t="shared" si="20"/>
        <v>23103.300000000003</v>
      </c>
      <c r="F46" s="27">
        <f t="shared" si="20"/>
        <v>5616</v>
      </c>
      <c r="G46" s="27">
        <f t="shared" si="20"/>
        <v>5616</v>
      </c>
      <c r="H46" s="27">
        <f t="shared" si="20"/>
        <v>5564</v>
      </c>
      <c r="I46" s="27">
        <f t="shared" si="20"/>
        <v>5048.1</v>
      </c>
      <c r="J46" s="27">
        <f t="shared" si="20"/>
        <v>6875.2</v>
      </c>
      <c r="K46" s="27">
        <f>K47+K50+K52+K54+K55+K56+K51+K49+K48+K53+0.1</f>
        <v>4859</v>
      </c>
      <c r="L46" s="27">
        <f>K46*100/F46</f>
        <v>86.52065527065527</v>
      </c>
      <c r="M46" s="24">
        <f>K46*100/E46</f>
        <v>21.0316275164154</v>
      </c>
      <c r="N46" s="24">
        <f aca="true" t="shared" si="21" ref="N46:N52">K46*100/D46</f>
        <v>21.35758460179247</v>
      </c>
    </row>
    <row r="47" spans="1:18" ht="12.75">
      <c r="A47" s="12" t="s">
        <v>74</v>
      </c>
      <c r="B47" s="12"/>
      <c r="C47" s="55" t="s">
        <v>75</v>
      </c>
      <c r="D47" s="46">
        <v>14200</v>
      </c>
      <c r="E47" s="60">
        <f aca="true" t="shared" si="22" ref="E47:E60">G47+H47+I47+J47</f>
        <v>14200</v>
      </c>
      <c r="F47" s="46">
        <f aca="true" t="shared" si="23" ref="F47:F58">G47</f>
        <v>3128</v>
      </c>
      <c r="G47" s="60">
        <v>3128</v>
      </c>
      <c r="H47" s="60">
        <v>3932</v>
      </c>
      <c r="I47" s="17">
        <v>3434</v>
      </c>
      <c r="J47" s="18">
        <v>3706</v>
      </c>
      <c r="K47" s="72">
        <v>3057.5</v>
      </c>
      <c r="L47" s="20">
        <f>K47*100/F47</f>
        <v>97.74616368286445</v>
      </c>
      <c r="M47" s="18">
        <f>K47*100/E47</f>
        <v>21.531690140845072</v>
      </c>
      <c r="N47" s="18">
        <f t="shared" si="21"/>
        <v>21.531690140845072</v>
      </c>
      <c r="R47" s="2"/>
    </row>
    <row r="48" spans="1:14" ht="24" customHeight="1">
      <c r="A48" s="12" t="s">
        <v>73</v>
      </c>
      <c r="B48" s="12"/>
      <c r="C48" s="28" t="s">
        <v>72</v>
      </c>
      <c r="D48" s="60">
        <v>4245.2</v>
      </c>
      <c r="E48" s="60">
        <f t="shared" si="22"/>
        <v>4594.9</v>
      </c>
      <c r="F48" s="46">
        <f t="shared" si="23"/>
        <v>1409.6</v>
      </c>
      <c r="G48" s="60">
        <v>1409.6</v>
      </c>
      <c r="H48" s="60">
        <v>1061.1</v>
      </c>
      <c r="I48" s="17">
        <v>1061.2</v>
      </c>
      <c r="J48" s="18">
        <v>1063</v>
      </c>
      <c r="K48" s="72">
        <v>1185</v>
      </c>
      <c r="L48" s="20">
        <f>K48*100/F48</f>
        <v>84.06640181611806</v>
      </c>
      <c r="M48" s="18">
        <f>K48*100/E48</f>
        <v>25.789462229863545</v>
      </c>
      <c r="N48" s="18">
        <f t="shared" si="21"/>
        <v>27.913879204748895</v>
      </c>
    </row>
    <row r="49" spans="1:14" ht="12.75">
      <c r="A49" s="12" t="s">
        <v>8</v>
      </c>
      <c r="B49" s="12"/>
      <c r="C49" s="28" t="s">
        <v>5</v>
      </c>
      <c r="D49" s="60">
        <v>19</v>
      </c>
      <c r="E49" s="60">
        <f t="shared" si="22"/>
        <v>19</v>
      </c>
      <c r="F49" s="46">
        <f t="shared" si="23"/>
        <v>2</v>
      </c>
      <c r="G49" s="60">
        <v>2</v>
      </c>
      <c r="H49" s="60">
        <v>15</v>
      </c>
      <c r="I49" s="17">
        <v>2</v>
      </c>
      <c r="J49" s="18"/>
      <c r="K49" s="72">
        <v>23.9</v>
      </c>
      <c r="L49" s="20">
        <f>K49*100/F49</f>
        <v>1195</v>
      </c>
      <c r="M49" s="18">
        <f>K49*100/E49</f>
        <v>125.78947368421052</v>
      </c>
      <c r="N49" s="18">
        <f t="shared" si="21"/>
        <v>125.78947368421052</v>
      </c>
    </row>
    <row r="50" spans="1:14" ht="13.5" customHeight="1">
      <c r="A50" s="12" t="s">
        <v>9</v>
      </c>
      <c r="B50" s="12"/>
      <c r="C50" s="28" t="s">
        <v>6</v>
      </c>
      <c r="D50" s="60">
        <v>3510</v>
      </c>
      <c r="E50" s="60">
        <f t="shared" si="22"/>
        <v>3510</v>
      </c>
      <c r="F50" s="46">
        <f t="shared" si="23"/>
        <v>903</v>
      </c>
      <c r="G50" s="60">
        <v>903</v>
      </c>
      <c r="H50" s="60">
        <v>349</v>
      </c>
      <c r="I50" s="17">
        <v>362.5</v>
      </c>
      <c r="J50" s="18">
        <v>1895.5</v>
      </c>
      <c r="K50" s="18">
        <v>363.6</v>
      </c>
      <c r="L50" s="20">
        <f>K50*100/F50</f>
        <v>40.26578073089701</v>
      </c>
      <c r="M50" s="18">
        <f>K50*100/E50</f>
        <v>10.35897435897436</v>
      </c>
      <c r="N50" s="18">
        <f t="shared" si="21"/>
        <v>10.35897435897436</v>
      </c>
    </row>
    <row r="51" spans="1:14" ht="20.25" customHeight="1" hidden="1">
      <c r="A51" s="12" t="s">
        <v>10</v>
      </c>
      <c r="B51" s="12"/>
      <c r="C51" s="28" t="s">
        <v>21</v>
      </c>
      <c r="D51" s="60"/>
      <c r="E51" s="60">
        <f t="shared" si="22"/>
        <v>0</v>
      </c>
      <c r="F51" s="46">
        <f t="shared" si="23"/>
        <v>0</v>
      </c>
      <c r="G51" s="60"/>
      <c r="H51" s="60"/>
      <c r="I51" s="17"/>
      <c r="J51" s="18"/>
      <c r="K51" s="18"/>
      <c r="L51" s="20"/>
      <c r="M51" s="18"/>
      <c r="N51" s="18" t="e">
        <f t="shared" si="21"/>
        <v>#DIV/0!</v>
      </c>
    </row>
    <row r="52" spans="1:14" ht="24">
      <c r="A52" s="13" t="s">
        <v>11</v>
      </c>
      <c r="B52" s="13"/>
      <c r="C52" s="28" t="s">
        <v>17</v>
      </c>
      <c r="D52" s="60">
        <v>626.5</v>
      </c>
      <c r="E52" s="60">
        <f t="shared" si="22"/>
        <v>626.5</v>
      </c>
      <c r="F52" s="46">
        <f t="shared" si="23"/>
        <v>133</v>
      </c>
      <c r="G52" s="60">
        <v>133</v>
      </c>
      <c r="H52" s="60">
        <v>169.4</v>
      </c>
      <c r="I52" s="17">
        <v>150.9</v>
      </c>
      <c r="J52" s="18">
        <v>173.2</v>
      </c>
      <c r="K52" s="18">
        <v>202.6</v>
      </c>
      <c r="L52" s="20">
        <f>K52*100/F52</f>
        <v>152.33082706766916</v>
      </c>
      <c r="M52" s="18">
        <f>K52*100/E52</f>
        <v>32.33838786911413</v>
      </c>
      <c r="N52" s="18">
        <f t="shared" si="21"/>
        <v>32.33838786911413</v>
      </c>
    </row>
    <row r="53" spans="1:14" ht="24.75" customHeight="1" hidden="1">
      <c r="A53" s="30" t="s">
        <v>40</v>
      </c>
      <c r="B53" s="30"/>
      <c r="C53" s="28" t="s">
        <v>41</v>
      </c>
      <c r="D53" s="60">
        <v>0</v>
      </c>
      <c r="E53" s="60">
        <f t="shared" si="22"/>
        <v>0</v>
      </c>
      <c r="F53" s="46">
        <f t="shared" si="23"/>
        <v>0</v>
      </c>
      <c r="G53" s="60"/>
      <c r="H53" s="60"/>
      <c r="I53" s="17"/>
      <c r="J53" s="18"/>
      <c r="K53" s="18"/>
      <c r="L53" s="20" t="e">
        <f>K53*100/F53</f>
        <v>#DIV/0!</v>
      </c>
      <c r="M53" s="18" t="e">
        <f>K53*100/E53</f>
        <v>#DIV/0!</v>
      </c>
      <c r="N53" s="18"/>
    </row>
    <row r="54" spans="1:14" ht="24">
      <c r="A54" s="30" t="s">
        <v>18</v>
      </c>
      <c r="B54" s="30"/>
      <c r="C54" s="28" t="s">
        <v>15</v>
      </c>
      <c r="D54" s="60">
        <v>150</v>
      </c>
      <c r="E54" s="60">
        <f t="shared" si="22"/>
        <v>150</v>
      </c>
      <c r="F54" s="46">
        <f t="shared" si="23"/>
        <v>37.5</v>
      </c>
      <c r="G54" s="60">
        <v>37.5</v>
      </c>
      <c r="H54" s="60">
        <v>37.5</v>
      </c>
      <c r="I54" s="17">
        <v>37.5</v>
      </c>
      <c r="J54" s="18">
        <v>37.5</v>
      </c>
      <c r="K54" s="18">
        <v>23.4</v>
      </c>
      <c r="L54" s="20">
        <f>K54*100/F54</f>
        <v>62.4</v>
      </c>
      <c r="M54" s="18">
        <f>K54*100/E54</f>
        <v>15.6</v>
      </c>
      <c r="N54" s="18">
        <f>K54*100/D54</f>
        <v>15.6</v>
      </c>
    </row>
    <row r="55" spans="1:14" ht="21" customHeight="1">
      <c r="A55" s="21" t="s">
        <v>12</v>
      </c>
      <c r="B55" s="21"/>
      <c r="C55" s="28" t="s">
        <v>7</v>
      </c>
      <c r="D55" s="60"/>
      <c r="E55" s="60">
        <f t="shared" si="22"/>
        <v>2.9</v>
      </c>
      <c r="F55" s="46">
        <f t="shared" si="23"/>
        <v>2.9</v>
      </c>
      <c r="G55" s="60">
        <v>2.9</v>
      </c>
      <c r="H55" s="60"/>
      <c r="I55" s="17"/>
      <c r="J55" s="18"/>
      <c r="K55" s="18">
        <v>2.9</v>
      </c>
      <c r="L55" s="20">
        <f>K55*100/F55</f>
        <v>100</v>
      </c>
      <c r="M55" s="18">
        <f>K55*100/E55</f>
        <v>100</v>
      </c>
      <c r="N55" s="18"/>
    </row>
    <row r="56" spans="1:14" ht="14.25" customHeight="1">
      <c r="A56" s="62" t="s">
        <v>37</v>
      </c>
      <c r="B56" s="63"/>
      <c r="C56" s="16" t="s">
        <v>38</v>
      </c>
      <c r="D56" s="60"/>
      <c r="E56" s="60">
        <f t="shared" si="22"/>
        <v>0</v>
      </c>
      <c r="F56" s="46">
        <f t="shared" si="23"/>
        <v>0</v>
      </c>
      <c r="G56" s="60"/>
      <c r="H56" s="60"/>
      <c r="I56" s="17"/>
      <c r="J56" s="18"/>
      <c r="K56" s="18"/>
      <c r="L56" s="20"/>
      <c r="M56" s="18"/>
      <c r="N56" s="18"/>
    </row>
    <row r="57" spans="1:14" ht="12.75">
      <c r="A57" s="65" t="s">
        <v>1</v>
      </c>
      <c r="B57" s="65"/>
      <c r="C57" s="32" t="s">
        <v>0</v>
      </c>
      <c r="D57" s="33">
        <f>D58+D60+D59</f>
        <v>19897.1</v>
      </c>
      <c r="E57" s="33">
        <f>E58+E60+E59</f>
        <v>25147.1</v>
      </c>
      <c r="F57" s="33">
        <f aca="true" t="shared" si="24" ref="F57:K57">F58+F60+F59</f>
        <v>10223.7</v>
      </c>
      <c r="G57" s="33">
        <f t="shared" si="24"/>
        <v>10223.7</v>
      </c>
      <c r="H57" s="33">
        <f t="shared" si="24"/>
        <v>4973.7</v>
      </c>
      <c r="I57" s="33">
        <f t="shared" si="24"/>
        <v>4973.8</v>
      </c>
      <c r="J57" s="33">
        <f t="shared" si="24"/>
        <v>4975.9</v>
      </c>
      <c r="K57" s="33">
        <f t="shared" si="24"/>
        <v>2431.1</v>
      </c>
      <c r="L57" s="27">
        <f>K57*100/F57</f>
        <v>23.779062374678443</v>
      </c>
      <c r="M57" s="24">
        <f>K57*100/E57</f>
        <v>9.667516333891383</v>
      </c>
      <c r="N57" s="24">
        <f>K57*100/D57</f>
        <v>12.218363480105142</v>
      </c>
    </row>
    <row r="58" spans="1:14" ht="23.25" customHeight="1">
      <c r="A58" s="83" t="s">
        <v>63</v>
      </c>
      <c r="B58" s="12"/>
      <c r="C58" s="34" t="s">
        <v>20</v>
      </c>
      <c r="D58" s="59">
        <v>19897.1</v>
      </c>
      <c r="E58" s="60">
        <f>G58+H58+I58+J58</f>
        <v>25147.1</v>
      </c>
      <c r="F58" s="46">
        <f t="shared" si="23"/>
        <v>10223.7</v>
      </c>
      <c r="G58" s="59">
        <v>10223.7</v>
      </c>
      <c r="H58" s="59">
        <v>4973.7</v>
      </c>
      <c r="I58" s="17">
        <v>4973.8</v>
      </c>
      <c r="J58" s="17">
        <v>4975.9</v>
      </c>
      <c r="K58" s="18">
        <v>2431.1</v>
      </c>
      <c r="L58" s="20">
        <f>K58*100/F58</f>
        <v>23.779062374678443</v>
      </c>
      <c r="M58" s="18">
        <f>K58*100/E58</f>
        <v>9.667516333891383</v>
      </c>
      <c r="N58" s="18">
        <f>K58*100/D58</f>
        <v>12.218363480105142</v>
      </c>
    </row>
    <row r="59" spans="1:14" ht="51" customHeight="1" hidden="1">
      <c r="A59" s="14" t="s">
        <v>70</v>
      </c>
      <c r="B59" s="15" t="s">
        <v>61</v>
      </c>
      <c r="C59" s="16" t="s">
        <v>61</v>
      </c>
      <c r="D59" s="35"/>
      <c r="E59" s="60">
        <f>G59+H59+I59+J59</f>
        <v>0</v>
      </c>
      <c r="F59" s="46">
        <f>G59+H59+I59</f>
        <v>0</v>
      </c>
      <c r="G59" s="59"/>
      <c r="H59" s="59"/>
      <c r="I59" s="17"/>
      <c r="J59" s="75"/>
      <c r="K59" s="18"/>
      <c r="L59" s="20" t="e">
        <f>K59*100/F59</f>
        <v>#DIV/0!</v>
      </c>
      <c r="M59" s="18" t="e">
        <f>K59*100/E59</f>
        <v>#DIV/0!</v>
      </c>
      <c r="N59" s="18"/>
    </row>
    <row r="60" spans="1:14" ht="29.25" customHeight="1" hidden="1">
      <c r="A60" s="14" t="s">
        <v>62</v>
      </c>
      <c r="B60" s="68"/>
      <c r="C60" s="19" t="s">
        <v>60</v>
      </c>
      <c r="D60" s="19"/>
      <c r="E60" s="60">
        <f t="shared" si="22"/>
        <v>0</v>
      </c>
      <c r="F60" s="60">
        <f>G60</f>
        <v>0</v>
      </c>
      <c r="G60" s="76"/>
      <c r="H60" s="76"/>
      <c r="I60" s="17"/>
      <c r="J60" s="75"/>
      <c r="K60" s="18"/>
      <c r="L60" s="20"/>
      <c r="M60" s="18"/>
      <c r="N60" s="18" t="e">
        <f>K60*100/D60</f>
        <v>#DIV/0!</v>
      </c>
    </row>
    <row r="61" spans="1:14" ht="12.75">
      <c r="A61" s="13"/>
      <c r="B61" s="77"/>
      <c r="C61" s="78" t="s">
        <v>4</v>
      </c>
      <c r="D61" s="79">
        <f aca="true" t="shared" si="25" ref="D61:K61">D57+D46</f>
        <v>42647.8</v>
      </c>
      <c r="E61" s="79">
        <f t="shared" si="25"/>
        <v>48250.4</v>
      </c>
      <c r="F61" s="79">
        <f t="shared" si="25"/>
        <v>15839.7</v>
      </c>
      <c r="G61" s="79">
        <f t="shared" si="25"/>
        <v>15839.7</v>
      </c>
      <c r="H61" s="79">
        <f t="shared" si="25"/>
        <v>10537.7</v>
      </c>
      <c r="I61" s="79">
        <f t="shared" si="25"/>
        <v>10021.900000000001</v>
      </c>
      <c r="J61" s="79">
        <f t="shared" si="25"/>
        <v>11851.099999999999</v>
      </c>
      <c r="K61" s="79">
        <f t="shared" si="25"/>
        <v>7290.1</v>
      </c>
      <c r="L61" s="27">
        <f>K61*100/F61</f>
        <v>46.02423025688618</v>
      </c>
      <c r="M61" s="24">
        <f>K61*100/E61</f>
        <v>15.108890288992422</v>
      </c>
      <c r="N61" s="24">
        <f>K61*100/D61</f>
        <v>17.09373050895943</v>
      </c>
    </row>
    <row r="62" spans="1:14" ht="12.75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27"/>
      <c r="M62" s="24"/>
      <c r="N62" s="18"/>
    </row>
    <row r="63" spans="1:14" ht="12.75">
      <c r="A63" s="197" t="s">
        <v>25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</row>
    <row r="64" spans="1:14" ht="12.75">
      <c r="A64" s="65" t="s">
        <v>3</v>
      </c>
      <c r="B64" s="65"/>
      <c r="C64" s="71" t="s">
        <v>64</v>
      </c>
      <c r="D64" s="64">
        <f aca="true" t="shared" si="26" ref="D64:J64">D65+D68+D70+D72+D69+D74+D73+D67+D71+D66</f>
        <v>43589.5</v>
      </c>
      <c r="E64" s="64">
        <f t="shared" si="26"/>
        <v>45989.5</v>
      </c>
      <c r="F64" s="64">
        <f t="shared" si="26"/>
        <v>11825.300000000001</v>
      </c>
      <c r="G64" s="64">
        <f t="shared" si="26"/>
        <v>11825.300000000001</v>
      </c>
      <c r="H64" s="64">
        <f t="shared" si="26"/>
        <v>9295.300000000001</v>
      </c>
      <c r="I64" s="64">
        <f t="shared" si="26"/>
        <v>11305.2</v>
      </c>
      <c r="J64" s="64">
        <f t="shared" si="26"/>
        <v>13563.699999999999</v>
      </c>
      <c r="K64" s="64">
        <f>K65+K68+K70+K72+K69+K74+K73+K67+K71+K66+0.1</f>
        <v>14736.4</v>
      </c>
      <c r="L64" s="27">
        <f aca="true" t="shared" si="27" ref="L64:L72">K64*100/F64</f>
        <v>124.6175572712743</v>
      </c>
      <c r="M64" s="24">
        <f aca="true" t="shared" si="28" ref="M64:M70">K64*100/E64</f>
        <v>32.04296632927081</v>
      </c>
      <c r="N64" s="24">
        <f aca="true" t="shared" si="29" ref="N64:N70">K64*100/D64</f>
        <v>33.80722421684121</v>
      </c>
    </row>
    <row r="65" spans="1:18" ht="12.75">
      <c r="A65" s="12" t="s">
        <v>74</v>
      </c>
      <c r="B65" s="12"/>
      <c r="C65" s="55" t="s">
        <v>75</v>
      </c>
      <c r="D65" s="46">
        <v>22000</v>
      </c>
      <c r="E65" s="60">
        <f>G65+H65+I65+J65</f>
        <v>22000</v>
      </c>
      <c r="F65" s="46">
        <f aca="true" t="shared" si="30" ref="F65:F77">G65</f>
        <v>5302.5</v>
      </c>
      <c r="G65" s="80">
        <v>5302.5</v>
      </c>
      <c r="H65" s="80">
        <v>5532.5</v>
      </c>
      <c r="I65" s="20">
        <v>5732.5</v>
      </c>
      <c r="J65" s="20">
        <v>5432.5</v>
      </c>
      <c r="K65" s="20">
        <v>5949</v>
      </c>
      <c r="L65" s="20">
        <f t="shared" si="27"/>
        <v>112.19236209335219</v>
      </c>
      <c r="M65" s="18">
        <f t="shared" si="28"/>
        <v>27.04090909090909</v>
      </c>
      <c r="N65" s="18">
        <f t="shared" si="29"/>
        <v>27.04090909090909</v>
      </c>
      <c r="R65" s="2"/>
    </row>
    <row r="66" spans="1:14" ht="23.25" customHeight="1">
      <c r="A66" s="12" t="s">
        <v>73</v>
      </c>
      <c r="B66" s="12"/>
      <c r="C66" s="28" t="s">
        <v>72</v>
      </c>
      <c r="D66" s="60">
        <v>7209.5</v>
      </c>
      <c r="E66" s="60">
        <f>G66+H66+I66+J66</f>
        <v>7209.500000000001</v>
      </c>
      <c r="F66" s="46">
        <f t="shared" si="30"/>
        <v>1792.4</v>
      </c>
      <c r="G66" s="80">
        <v>1792.4</v>
      </c>
      <c r="H66" s="80">
        <v>1832.4</v>
      </c>
      <c r="I66" s="20">
        <v>1792.4</v>
      </c>
      <c r="J66" s="20">
        <v>1792.3</v>
      </c>
      <c r="K66" s="20">
        <v>2012.5</v>
      </c>
      <c r="L66" s="20">
        <f t="shared" si="27"/>
        <v>112.27962508368667</v>
      </c>
      <c r="M66" s="18">
        <f t="shared" si="28"/>
        <v>27.914557181496633</v>
      </c>
      <c r="N66" s="18">
        <f t="shared" si="29"/>
        <v>27.914557181496637</v>
      </c>
    </row>
    <row r="67" spans="1:14" ht="12.75">
      <c r="A67" s="12" t="s">
        <v>8</v>
      </c>
      <c r="B67" s="12"/>
      <c r="C67" s="28" t="s">
        <v>5</v>
      </c>
      <c r="D67" s="60">
        <v>45</v>
      </c>
      <c r="E67" s="60">
        <f aca="true" t="shared" si="31" ref="E67:E77">G67+H67+I67+J67</f>
        <v>45</v>
      </c>
      <c r="F67" s="46">
        <f t="shared" si="30"/>
        <v>11.2</v>
      </c>
      <c r="G67" s="59">
        <v>11.2</v>
      </c>
      <c r="H67" s="59">
        <v>11.3</v>
      </c>
      <c r="I67" s="17">
        <v>11.2</v>
      </c>
      <c r="J67" s="17">
        <v>11.3</v>
      </c>
      <c r="K67" s="17"/>
      <c r="L67" s="20">
        <f t="shared" si="27"/>
        <v>0</v>
      </c>
      <c r="M67" s="18">
        <f t="shared" si="28"/>
        <v>0</v>
      </c>
      <c r="N67" s="18">
        <f t="shared" si="29"/>
        <v>0</v>
      </c>
    </row>
    <row r="68" spans="1:14" ht="12.75">
      <c r="A68" s="12" t="s">
        <v>9</v>
      </c>
      <c r="B68" s="12"/>
      <c r="C68" s="28" t="s">
        <v>6</v>
      </c>
      <c r="D68" s="60">
        <v>8160</v>
      </c>
      <c r="E68" s="60">
        <f t="shared" si="31"/>
        <v>10560</v>
      </c>
      <c r="F68" s="46">
        <f t="shared" si="30"/>
        <v>3175</v>
      </c>
      <c r="G68" s="59">
        <v>3175</v>
      </c>
      <c r="H68" s="59">
        <v>375</v>
      </c>
      <c r="I68" s="17">
        <v>2225</v>
      </c>
      <c r="J68" s="17">
        <v>4785</v>
      </c>
      <c r="K68" s="17">
        <v>4541.4</v>
      </c>
      <c r="L68" s="20">
        <f t="shared" si="27"/>
        <v>143.03622047244093</v>
      </c>
      <c r="M68" s="18">
        <f t="shared" si="28"/>
        <v>43.00568181818181</v>
      </c>
      <c r="N68" s="18">
        <f t="shared" si="29"/>
        <v>55.65441176470588</v>
      </c>
    </row>
    <row r="69" spans="1:14" ht="18.75" customHeight="1">
      <c r="A69" s="12" t="s">
        <v>10</v>
      </c>
      <c r="B69" s="12"/>
      <c r="C69" s="28" t="s">
        <v>21</v>
      </c>
      <c r="D69" s="60">
        <v>56.4</v>
      </c>
      <c r="E69" s="60">
        <f t="shared" si="31"/>
        <v>56.4</v>
      </c>
      <c r="F69" s="46">
        <f t="shared" si="30"/>
        <v>14.1</v>
      </c>
      <c r="G69" s="59">
        <v>14.1</v>
      </c>
      <c r="H69" s="59">
        <v>14.1</v>
      </c>
      <c r="I69" s="17">
        <v>14.1</v>
      </c>
      <c r="J69" s="17">
        <v>14.1</v>
      </c>
      <c r="K69" s="17">
        <v>28.8</v>
      </c>
      <c r="L69" s="20">
        <f t="shared" si="27"/>
        <v>204.25531914893617</v>
      </c>
      <c r="M69" s="18">
        <f t="shared" si="28"/>
        <v>51.06382978723404</v>
      </c>
      <c r="N69" s="18">
        <f t="shared" si="29"/>
        <v>51.06382978723404</v>
      </c>
    </row>
    <row r="70" spans="1:14" ht="23.25" customHeight="1">
      <c r="A70" s="13" t="s">
        <v>11</v>
      </c>
      <c r="B70" s="13"/>
      <c r="C70" s="28" t="s">
        <v>17</v>
      </c>
      <c r="D70" s="60">
        <v>5938.6</v>
      </c>
      <c r="E70" s="60">
        <f t="shared" si="31"/>
        <v>5938.6</v>
      </c>
      <c r="F70" s="46">
        <f t="shared" si="30"/>
        <v>1485.1</v>
      </c>
      <c r="G70" s="59">
        <v>1485.1</v>
      </c>
      <c r="H70" s="59">
        <v>1485</v>
      </c>
      <c r="I70" s="17">
        <v>1485</v>
      </c>
      <c r="J70" s="17">
        <v>1483.5</v>
      </c>
      <c r="K70" s="17">
        <v>2198.6</v>
      </c>
      <c r="L70" s="20">
        <f t="shared" si="27"/>
        <v>148.0439027674904</v>
      </c>
      <c r="M70" s="18">
        <f t="shared" si="28"/>
        <v>37.022193783046504</v>
      </c>
      <c r="N70" s="18">
        <f t="shared" si="29"/>
        <v>37.022193783046504</v>
      </c>
    </row>
    <row r="71" spans="1:14" ht="14.25" customHeight="1" hidden="1">
      <c r="A71" s="30" t="s">
        <v>40</v>
      </c>
      <c r="B71" s="30"/>
      <c r="C71" s="28" t="s">
        <v>41</v>
      </c>
      <c r="D71" s="60"/>
      <c r="E71" s="60">
        <f t="shared" si="31"/>
        <v>0</v>
      </c>
      <c r="F71" s="46">
        <f t="shared" si="30"/>
        <v>0</v>
      </c>
      <c r="G71" s="59"/>
      <c r="H71" s="59"/>
      <c r="I71" s="17"/>
      <c r="J71" s="17"/>
      <c r="K71" s="17"/>
      <c r="L71" s="20" t="e">
        <f t="shared" si="27"/>
        <v>#DIV/0!</v>
      </c>
      <c r="M71" s="18"/>
      <c r="N71" s="18"/>
    </row>
    <row r="72" spans="1:14" ht="24">
      <c r="A72" s="29" t="s">
        <v>18</v>
      </c>
      <c r="B72" s="29"/>
      <c r="C72" s="28" t="s">
        <v>15</v>
      </c>
      <c r="D72" s="60">
        <v>180</v>
      </c>
      <c r="E72" s="60">
        <f t="shared" si="31"/>
        <v>180</v>
      </c>
      <c r="F72" s="46">
        <f t="shared" si="30"/>
        <v>45</v>
      </c>
      <c r="G72" s="59">
        <v>45</v>
      </c>
      <c r="H72" s="59">
        <v>45</v>
      </c>
      <c r="I72" s="17">
        <v>45</v>
      </c>
      <c r="J72" s="17">
        <v>45</v>
      </c>
      <c r="K72" s="17">
        <v>4.4</v>
      </c>
      <c r="L72" s="20">
        <f t="shared" si="27"/>
        <v>9.777777777777779</v>
      </c>
      <c r="M72" s="18">
        <f>K72*100/E72</f>
        <v>2.4444444444444446</v>
      </c>
      <c r="N72" s="18">
        <f>K72*100/D72</f>
        <v>2.4444444444444446</v>
      </c>
    </row>
    <row r="73" spans="1:14" ht="18" customHeight="1">
      <c r="A73" s="21" t="s">
        <v>12</v>
      </c>
      <c r="B73" s="21"/>
      <c r="C73" s="28" t="s">
        <v>7</v>
      </c>
      <c r="D73" s="60"/>
      <c r="E73" s="60">
        <f t="shared" si="31"/>
        <v>0</v>
      </c>
      <c r="F73" s="46">
        <f t="shared" si="30"/>
        <v>0</v>
      </c>
      <c r="G73" s="59"/>
      <c r="H73" s="59"/>
      <c r="I73" s="17"/>
      <c r="J73" s="17"/>
      <c r="K73" s="17">
        <v>1.6</v>
      </c>
      <c r="L73" s="20"/>
      <c r="M73" s="18"/>
      <c r="N73" s="18"/>
    </row>
    <row r="74" spans="1:14" ht="16.5" customHeight="1">
      <c r="A74" s="31" t="s">
        <v>37</v>
      </c>
      <c r="B74" s="63"/>
      <c r="C74" s="16" t="s">
        <v>38</v>
      </c>
      <c r="D74" s="60"/>
      <c r="E74" s="60">
        <f t="shared" si="31"/>
        <v>0</v>
      </c>
      <c r="F74" s="46">
        <f t="shared" si="30"/>
        <v>0</v>
      </c>
      <c r="G74" s="59"/>
      <c r="H74" s="59"/>
      <c r="I74" s="17"/>
      <c r="J74" s="17"/>
      <c r="K74" s="17"/>
      <c r="L74" s="20"/>
      <c r="M74" s="18"/>
      <c r="N74" s="18"/>
    </row>
    <row r="75" spans="1:14" ht="12.75">
      <c r="A75" s="25" t="s">
        <v>1</v>
      </c>
      <c r="B75" s="25"/>
      <c r="C75" s="32" t="s">
        <v>0</v>
      </c>
      <c r="D75" s="33">
        <f aca="true" t="shared" si="32" ref="D75:K75">D76+D77</f>
        <v>38231.5</v>
      </c>
      <c r="E75" s="33">
        <f t="shared" si="32"/>
        <v>39576.799999999996</v>
      </c>
      <c r="F75" s="33">
        <f t="shared" si="32"/>
        <v>9338.8</v>
      </c>
      <c r="G75" s="33">
        <f t="shared" si="32"/>
        <v>9338.8</v>
      </c>
      <c r="H75" s="33">
        <f t="shared" si="32"/>
        <v>10068.9</v>
      </c>
      <c r="I75" s="33">
        <f t="shared" si="32"/>
        <v>10072.8</v>
      </c>
      <c r="J75" s="33">
        <f t="shared" si="32"/>
        <v>10096.3</v>
      </c>
      <c r="K75" s="33">
        <f t="shared" si="32"/>
        <v>12484.3</v>
      </c>
      <c r="L75" s="27">
        <f>K75*100/F75</f>
        <v>133.68205765194674</v>
      </c>
      <c r="M75" s="24">
        <f>K75*100/E75</f>
        <v>31.54449071173011</v>
      </c>
      <c r="N75" s="24">
        <f>K75*100/D75</f>
        <v>32.654486483658765</v>
      </c>
    </row>
    <row r="76" spans="1:14" ht="24">
      <c r="A76" s="83" t="s">
        <v>63</v>
      </c>
      <c r="B76" s="12"/>
      <c r="C76" s="34" t="s">
        <v>20</v>
      </c>
      <c r="D76" s="59">
        <v>38231.5</v>
      </c>
      <c r="E76" s="60">
        <f t="shared" si="31"/>
        <v>39576.799999999996</v>
      </c>
      <c r="F76" s="46">
        <f t="shared" si="30"/>
        <v>9338.8</v>
      </c>
      <c r="G76" s="59">
        <v>9338.8</v>
      </c>
      <c r="H76" s="59">
        <v>10068.9</v>
      </c>
      <c r="I76" s="17">
        <v>10072.8</v>
      </c>
      <c r="J76" s="18">
        <v>10096.3</v>
      </c>
      <c r="K76" s="18">
        <v>12484.3</v>
      </c>
      <c r="L76" s="20">
        <f>K76*100/F76</f>
        <v>133.68205765194674</v>
      </c>
      <c r="M76" s="18">
        <f>K76*100/E76</f>
        <v>31.54449071173011</v>
      </c>
      <c r="N76" s="18">
        <f>K76*100/D76</f>
        <v>32.654486483658765</v>
      </c>
    </row>
    <row r="77" spans="1:14" ht="12.75" hidden="1">
      <c r="A77" s="83" t="s">
        <v>71</v>
      </c>
      <c r="B77" s="14"/>
      <c r="C77" s="35" t="s">
        <v>19</v>
      </c>
      <c r="D77" s="67"/>
      <c r="E77" s="60">
        <f t="shared" si="31"/>
        <v>0</v>
      </c>
      <c r="F77" s="46">
        <f t="shared" si="30"/>
        <v>0</v>
      </c>
      <c r="G77" s="76"/>
      <c r="H77" s="76"/>
      <c r="I77" s="17"/>
      <c r="J77" s="18"/>
      <c r="K77" s="18"/>
      <c r="L77" s="20" t="e">
        <f>K77*100/F77</f>
        <v>#DIV/0!</v>
      </c>
      <c r="M77" s="18" t="e">
        <f>K77*100/E77</f>
        <v>#DIV/0!</v>
      </c>
      <c r="N77" s="18"/>
    </row>
    <row r="78" spans="1:14" ht="12.75">
      <c r="A78" s="21"/>
      <c r="B78" s="22"/>
      <c r="C78" s="23" t="s">
        <v>4</v>
      </c>
      <c r="D78" s="24">
        <f aca="true" t="shared" si="33" ref="D78:K78">D75+D64</f>
        <v>81821</v>
      </c>
      <c r="E78" s="24">
        <f t="shared" si="33"/>
        <v>85566.29999999999</v>
      </c>
      <c r="F78" s="24">
        <f t="shared" si="33"/>
        <v>21164.1</v>
      </c>
      <c r="G78" s="24">
        <f t="shared" si="33"/>
        <v>21164.1</v>
      </c>
      <c r="H78" s="24">
        <f t="shared" si="33"/>
        <v>19364.2</v>
      </c>
      <c r="I78" s="24">
        <f t="shared" si="33"/>
        <v>21378</v>
      </c>
      <c r="J78" s="24">
        <f t="shared" si="33"/>
        <v>23660</v>
      </c>
      <c r="K78" s="24">
        <f t="shared" si="33"/>
        <v>27220.699999999997</v>
      </c>
      <c r="L78" s="27">
        <f>K78*100/F78</f>
        <v>128.6173284004517</v>
      </c>
      <c r="M78" s="24">
        <f>K78*100/E78</f>
        <v>31.812407454804053</v>
      </c>
      <c r="N78" s="24">
        <f>K78*100/D78</f>
        <v>33.268598526050766</v>
      </c>
    </row>
    <row r="79" spans="1:14" ht="12.75">
      <c r="A79" s="191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27"/>
      <c r="M79" s="24"/>
      <c r="N79" s="18"/>
    </row>
    <row r="80" spans="1:14" ht="12.75">
      <c r="A80" s="197" t="s">
        <v>26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</row>
    <row r="81" spans="1:14" ht="12.75">
      <c r="A81" s="25" t="s">
        <v>3</v>
      </c>
      <c r="B81" s="25"/>
      <c r="C81" s="26" t="s">
        <v>64</v>
      </c>
      <c r="D81" s="27">
        <f aca="true" t="shared" si="34" ref="D81:J81">D82+D84+D85+D86+D87+D88+D89+D90+D91+D83</f>
        <v>37495.899999999994</v>
      </c>
      <c r="E81" s="27">
        <f t="shared" si="34"/>
        <v>37877.7</v>
      </c>
      <c r="F81" s="27">
        <f t="shared" si="34"/>
        <v>10135.4</v>
      </c>
      <c r="G81" s="27">
        <f t="shared" si="34"/>
        <v>10135.4</v>
      </c>
      <c r="H81" s="27">
        <f t="shared" si="34"/>
        <v>9166.6</v>
      </c>
      <c r="I81" s="27">
        <f t="shared" si="34"/>
        <v>8590.5</v>
      </c>
      <c r="J81" s="27">
        <f t="shared" si="34"/>
        <v>9985.199999999999</v>
      </c>
      <c r="K81" s="27">
        <f>K82+K84+K85+K86+K87+K88+K89+K90+K91+K83</f>
        <v>8321</v>
      </c>
      <c r="L81" s="27">
        <f aca="true" t="shared" si="35" ref="L81:L87">K81*100/F81</f>
        <v>82.09838782879808</v>
      </c>
      <c r="M81" s="24">
        <f aca="true" t="shared" si="36" ref="M81:M87">K81*100/E81</f>
        <v>21.96807092299691</v>
      </c>
      <c r="N81" s="24">
        <f aca="true" t="shared" si="37" ref="N81:N87">K81*100/D81</f>
        <v>22.19175963238648</v>
      </c>
    </row>
    <row r="82" spans="1:18" ht="13.5" customHeight="1">
      <c r="A82" s="12" t="s">
        <v>74</v>
      </c>
      <c r="B82" s="12"/>
      <c r="C82" s="55" t="s">
        <v>75</v>
      </c>
      <c r="D82" s="60">
        <v>25000</v>
      </c>
      <c r="E82" s="60">
        <f>G82+H82+I82+J82</f>
        <v>25000</v>
      </c>
      <c r="F82" s="46">
        <f aca="true" t="shared" si="38" ref="F82:F91">G82</f>
        <v>8250</v>
      </c>
      <c r="G82" s="59">
        <v>8250</v>
      </c>
      <c r="H82" s="59">
        <v>5750</v>
      </c>
      <c r="I82" s="17">
        <v>5500</v>
      </c>
      <c r="J82" s="17">
        <v>5500</v>
      </c>
      <c r="K82" s="18">
        <v>4672.6</v>
      </c>
      <c r="L82" s="20">
        <f t="shared" si="35"/>
        <v>56.63757575757577</v>
      </c>
      <c r="M82" s="18">
        <f t="shared" si="36"/>
        <v>18.690400000000004</v>
      </c>
      <c r="N82" s="18">
        <f t="shared" si="37"/>
        <v>18.690400000000004</v>
      </c>
      <c r="R82" s="2"/>
    </row>
    <row r="83" spans="1:14" ht="24.75" customHeight="1">
      <c r="A83" s="12" t="s">
        <v>73</v>
      </c>
      <c r="B83" s="12"/>
      <c r="C83" s="28" t="s">
        <v>72</v>
      </c>
      <c r="D83" s="60">
        <v>4634.7</v>
      </c>
      <c r="E83" s="60">
        <f>G83+H83+I83+J83</f>
        <v>5016.5</v>
      </c>
      <c r="F83" s="46">
        <f t="shared" si="38"/>
        <v>1199</v>
      </c>
      <c r="G83" s="59">
        <v>1199</v>
      </c>
      <c r="H83" s="59">
        <v>1338.6</v>
      </c>
      <c r="I83" s="17">
        <v>1419.5</v>
      </c>
      <c r="J83" s="17">
        <v>1059.4</v>
      </c>
      <c r="K83" s="18">
        <v>1293.8</v>
      </c>
      <c r="L83" s="20">
        <f t="shared" si="35"/>
        <v>107.90658882402002</v>
      </c>
      <c r="M83" s="18">
        <f t="shared" si="36"/>
        <v>25.790890062792784</v>
      </c>
      <c r="N83" s="18">
        <f t="shared" si="37"/>
        <v>27.915506936802814</v>
      </c>
    </row>
    <row r="84" spans="1:14" ht="15" customHeight="1" hidden="1">
      <c r="A84" s="12" t="s">
        <v>8</v>
      </c>
      <c r="B84" s="12"/>
      <c r="C84" s="28" t="s">
        <v>5</v>
      </c>
      <c r="D84" s="60"/>
      <c r="E84" s="60">
        <f aca="true" t="shared" si="39" ref="E84:E91">G84+H84+I84+J84</f>
        <v>0</v>
      </c>
      <c r="F84" s="46">
        <f t="shared" si="38"/>
        <v>0</v>
      </c>
      <c r="G84" s="59"/>
      <c r="H84" s="59"/>
      <c r="I84" s="17"/>
      <c r="J84" s="17"/>
      <c r="K84" s="18"/>
      <c r="L84" s="20" t="e">
        <f t="shared" si="35"/>
        <v>#DIV/0!</v>
      </c>
      <c r="M84" s="18" t="e">
        <f t="shared" si="36"/>
        <v>#DIV/0!</v>
      </c>
      <c r="N84" s="18" t="e">
        <f t="shared" si="37"/>
        <v>#DIV/0!</v>
      </c>
    </row>
    <row r="85" spans="1:14" ht="12.75">
      <c r="A85" s="12" t="s">
        <v>9</v>
      </c>
      <c r="B85" s="12"/>
      <c r="C85" s="28" t="s">
        <v>6</v>
      </c>
      <c r="D85" s="60">
        <v>2670</v>
      </c>
      <c r="E85" s="60">
        <f t="shared" si="39"/>
        <v>2670</v>
      </c>
      <c r="F85" s="46">
        <f t="shared" si="38"/>
        <v>339</v>
      </c>
      <c r="G85" s="59">
        <v>339</v>
      </c>
      <c r="H85" s="59">
        <v>287</v>
      </c>
      <c r="I85" s="17">
        <v>482.5</v>
      </c>
      <c r="J85" s="17">
        <v>1561.5</v>
      </c>
      <c r="K85" s="18">
        <v>433.1</v>
      </c>
      <c r="L85" s="20">
        <f t="shared" si="35"/>
        <v>127.75811209439529</v>
      </c>
      <c r="M85" s="18">
        <f t="shared" si="36"/>
        <v>16.220973782771537</v>
      </c>
      <c r="N85" s="18">
        <f t="shared" si="37"/>
        <v>16.220973782771537</v>
      </c>
    </row>
    <row r="86" spans="1:14" ht="12.75" hidden="1">
      <c r="A86" s="12" t="s">
        <v>10</v>
      </c>
      <c r="B86" s="12"/>
      <c r="C86" s="28" t="s">
        <v>21</v>
      </c>
      <c r="D86" s="60"/>
      <c r="E86" s="60">
        <f t="shared" si="39"/>
        <v>0</v>
      </c>
      <c r="F86" s="46">
        <f t="shared" si="38"/>
        <v>0</v>
      </c>
      <c r="G86" s="59"/>
      <c r="H86" s="59"/>
      <c r="I86" s="17"/>
      <c r="J86" s="17"/>
      <c r="K86" s="18"/>
      <c r="L86" s="20" t="e">
        <f t="shared" si="35"/>
        <v>#DIV/0!</v>
      </c>
      <c r="M86" s="18" t="e">
        <f t="shared" si="36"/>
        <v>#DIV/0!</v>
      </c>
      <c r="N86" s="18" t="e">
        <f t="shared" si="37"/>
        <v>#DIV/0!</v>
      </c>
    </row>
    <row r="87" spans="1:14" ht="26.25" customHeight="1">
      <c r="A87" s="13" t="s">
        <v>11</v>
      </c>
      <c r="B87" s="13"/>
      <c r="C87" s="28" t="s">
        <v>17</v>
      </c>
      <c r="D87" s="60">
        <v>5159.7</v>
      </c>
      <c r="E87" s="60">
        <f t="shared" si="39"/>
        <v>5159.7</v>
      </c>
      <c r="F87" s="46">
        <f t="shared" si="38"/>
        <v>335.4</v>
      </c>
      <c r="G87" s="59">
        <v>335.4</v>
      </c>
      <c r="H87" s="59">
        <v>1780</v>
      </c>
      <c r="I87" s="17">
        <v>1180</v>
      </c>
      <c r="J87" s="17">
        <v>1864.3</v>
      </c>
      <c r="K87" s="18">
        <v>1639.6</v>
      </c>
      <c r="L87" s="20">
        <f t="shared" si="35"/>
        <v>488.8491353607633</v>
      </c>
      <c r="M87" s="18">
        <f t="shared" si="36"/>
        <v>31.777041300850826</v>
      </c>
      <c r="N87" s="18">
        <f t="shared" si="37"/>
        <v>31.777041300850826</v>
      </c>
    </row>
    <row r="88" spans="1:14" ht="23.25" customHeight="1">
      <c r="A88" s="30" t="s">
        <v>40</v>
      </c>
      <c r="B88" s="30"/>
      <c r="C88" s="28" t="s">
        <v>41</v>
      </c>
      <c r="D88" s="60"/>
      <c r="E88" s="60">
        <f t="shared" si="39"/>
        <v>0</v>
      </c>
      <c r="F88" s="46">
        <f t="shared" si="38"/>
        <v>0</v>
      </c>
      <c r="G88" s="59"/>
      <c r="H88" s="59"/>
      <c r="I88" s="17"/>
      <c r="J88" s="17"/>
      <c r="K88" s="18">
        <v>207.2</v>
      </c>
      <c r="L88" s="20"/>
      <c r="M88" s="18"/>
      <c r="N88" s="18"/>
    </row>
    <row r="89" spans="1:14" ht="24">
      <c r="A89" s="29" t="s">
        <v>18</v>
      </c>
      <c r="B89" s="29"/>
      <c r="C89" s="28" t="s">
        <v>15</v>
      </c>
      <c r="D89" s="60">
        <v>31.5</v>
      </c>
      <c r="E89" s="60">
        <f t="shared" si="39"/>
        <v>31.5</v>
      </c>
      <c r="F89" s="46">
        <f t="shared" si="38"/>
        <v>12</v>
      </c>
      <c r="G89" s="59">
        <v>12</v>
      </c>
      <c r="H89" s="59">
        <v>11</v>
      </c>
      <c r="I89" s="17">
        <v>8.5</v>
      </c>
      <c r="J89" s="17"/>
      <c r="K89" s="18">
        <v>70.4</v>
      </c>
      <c r="L89" s="20">
        <f>K89*100/F89</f>
        <v>586.6666666666667</v>
      </c>
      <c r="M89" s="18">
        <f>K89*100/E89</f>
        <v>223.49206349206352</v>
      </c>
      <c r="N89" s="18">
        <f>K89*100/D89</f>
        <v>223.49206349206352</v>
      </c>
    </row>
    <row r="90" spans="1:14" ht="15.75" customHeight="1">
      <c r="A90" s="21" t="s">
        <v>12</v>
      </c>
      <c r="B90" s="21"/>
      <c r="C90" s="28" t="s">
        <v>7</v>
      </c>
      <c r="D90" s="60"/>
      <c r="E90" s="60">
        <f t="shared" si="39"/>
        <v>0</v>
      </c>
      <c r="F90" s="46">
        <f t="shared" si="38"/>
        <v>0</v>
      </c>
      <c r="G90" s="59"/>
      <c r="H90" s="59"/>
      <c r="I90" s="17"/>
      <c r="J90" s="17"/>
      <c r="K90" s="18">
        <v>5</v>
      </c>
      <c r="L90" s="20"/>
      <c r="M90" s="18"/>
      <c r="N90" s="18"/>
    </row>
    <row r="91" spans="1:14" ht="12.75">
      <c r="A91" s="31" t="s">
        <v>37</v>
      </c>
      <c r="B91" s="63"/>
      <c r="C91" s="16" t="s">
        <v>38</v>
      </c>
      <c r="D91" s="60"/>
      <c r="E91" s="60">
        <f t="shared" si="39"/>
        <v>0</v>
      </c>
      <c r="F91" s="46">
        <f t="shared" si="38"/>
        <v>0</v>
      </c>
      <c r="G91" s="59"/>
      <c r="H91" s="59"/>
      <c r="I91" s="17"/>
      <c r="J91" s="17"/>
      <c r="K91" s="18">
        <v>-0.7</v>
      </c>
      <c r="L91" s="20"/>
      <c r="M91" s="18"/>
      <c r="N91" s="18"/>
    </row>
    <row r="92" spans="1:14" ht="12.75" hidden="1">
      <c r="A92" s="31" t="s">
        <v>42</v>
      </c>
      <c r="B92" s="63"/>
      <c r="C92" s="16" t="s">
        <v>43</v>
      </c>
      <c r="D92" s="74"/>
      <c r="E92" s="16"/>
      <c r="F92" s="46">
        <f>G92+H92</f>
        <v>0</v>
      </c>
      <c r="G92" s="59"/>
      <c r="H92" s="59"/>
      <c r="I92" s="17" t="e">
        <f>J92+#REF!+#REF!+#REF!</f>
        <v>#REF!</v>
      </c>
      <c r="J92" s="17"/>
      <c r="K92" s="18"/>
      <c r="L92" s="27" t="e">
        <f>K92*100/F92</f>
        <v>#DIV/0!</v>
      </c>
      <c r="M92" s="24" t="e">
        <f>K92*100/E92</f>
        <v>#DIV/0!</v>
      </c>
      <c r="N92" s="18" t="e">
        <f>K92*100/D92</f>
        <v>#DIV/0!</v>
      </c>
    </row>
    <row r="93" spans="1:14" ht="12.75">
      <c r="A93" s="25" t="s">
        <v>1</v>
      </c>
      <c r="B93" s="25"/>
      <c r="C93" s="32" t="s">
        <v>0</v>
      </c>
      <c r="D93" s="33">
        <f aca="true" t="shared" si="40" ref="D93:K93">D94+D95</f>
        <v>53397.2</v>
      </c>
      <c r="E93" s="33">
        <f t="shared" si="40"/>
        <v>69913.3</v>
      </c>
      <c r="F93" s="81">
        <f t="shared" si="40"/>
        <v>13451.1</v>
      </c>
      <c r="G93" s="33">
        <f t="shared" si="40"/>
        <v>13451.1</v>
      </c>
      <c r="H93" s="33">
        <f t="shared" si="40"/>
        <v>19797.5</v>
      </c>
      <c r="I93" s="33">
        <f t="shared" si="40"/>
        <v>26378.4</v>
      </c>
      <c r="J93" s="33">
        <f t="shared" si="40"/>
        <v>10286.3</v>
      </c>
      <c r="K93" s="33">
        <f t="shared" si="40"/>
        <v>14280.5</v>
      </c>
      <c r="L93" s="27">
        <f>K93*100/F93</f>
        <v>106.16603846525562</v>
      </c>
      <c r="M93" s="24">
        <f>K93*100/E93</f>
        <v>20.426013362264403</v>
      </c>
      <c r="N93" s="24">
        <f>K93*100/D93</f>
        <v>26.743911665780228</v>
      </c>
    </row>
    <row r="94" spans="1:14" ht="24">
      <c r="A94" s="83" t="s">
        <v>63</v>
      </c>
      <c r="B94" s="12"/>
      <c r="C94" s="34" t="s">
        <v>20</v>
      </c>
      <c r="D94" s="59">
        <v>53397.2</v>
      </c>
      <c r="E94" s="60">
        <f>G94+H94+I94+J94</f>
        <v>69913.3</v>
      </c>
      <c r="F94" s="46">
        <f>G94</f>
        <v>13451.1</v>
      </c>
      <c r="G94" s="59">
        <v>13451.1</v>
      </c>
      <c r="H94" s="59">
        <v>19797.5</v>
      </c>
      <c r="I94" s="17">
        <v>26378.4</v>
      </c>
      <c r="J94" s="17">
        <v>10286.3</v>
      </c>
      <c r="K94" s="18">
        <v>14280.5</v>
      </c>
      <c r="L94" s="20">
        <f>K94*100/F94</f>
        <v>106.16603846525562</v>
      </c>
      <c r="M94" s="18">
        <f>K94*100/E94</f>
        <v>20.426013362264403</v>
      </c>
      <c r="N94" s="18">
        <f>K94*100/D94</f>
        <v>26.743911665780228</v>
      </c>
    </row>
    <row r="95" spans="1:14" ht="12.75" hidden="1">
      <c r="A95" s="14" t="s">
        <v>71</v>
      </c>
      <c r="B95" s="14"/>
      <c r="C95" s="35" t="s">
        <v>19</v>
      </c>
      <c r="D95" s="67"/>
      <c r="E95" s="60">
        <f>G95+H95+I95+J95</f>
        <v>0</v>
      </c>
      <c r="F95" s="46">
        <f>G95</f>
        <v>0</v>
      </c>
      <c r="G95" s="70"/>
      <c r="H95" s="70"/>
      <c r="I95" s="17"/>
      <c r="J95" s="17"/>
      <c r="K95" s="18"/>
      <c r="L95" s="20" t="e">
        <f>K95*100/F95</f>
        <v>#DIV/0!</v>
      </c>
      <c r="M95" s="18" t="e">
        <f>K95*100/E95</f>
        <v>#DIV/0!</v>
      </c>
      <c r="N95" s="18"/>
    </row>
    <row r="96" spans="1:14" ht="12.75">
      <c r="A96" s="21"/>
      <c r="B96" s="22"/>
      <c r="C96" s="23" t="s">
        <v>4</v>
      </c>
      <c r="D96" s="24">
        <f aca="true" t="shared" si="41" ref="D96:K96">D93+D81</f>
        <v>90893.09999999999</v>
      </c>
      <c r="E96" s="24">
        <f t="shared" si="41"/>
        <v>107791</v>
      </c>
      <c r="F96" s="24">
        <f t="shared" si="41"/>
        <v>23586.5</v>
      </c>
      <c r="G96" s="24">
        <f t="shared" si="41"/>
        <v>23586.5</v>
      </c>
      <c r="H96" s="24">
        <f t="shared" si="41"/>
        <v>28964.1</v>
      </c>
      <c r="I96" s="24">
        <f t="shared" si="41"/>
        <v>34968.9</v>
      </c>
      <c r="J96" s="24">
        <f t="shared" si="41"/>
        <v>20271.5</v>
      </c>
      <c r="K96" s="24">
        <f t="shared" si="41"/>
        <v>22601.5</v>
      </c>
      <c r="L96" s="27">
        <f>K96*100/F96</f>
        <v>95.82388230555614</v>
      </c>
      <c r="M96" s="24">
        <f>K96*100/E96</f>
        <v>20.967891567941663</v>
      </c>
      <c r="N96" s="24">
        <f>K96*100/D96</f>
        <v>24.866023933609924</v>
      </c>
    </row>
    <row r="97" spans="1:14" ht="12.75">
      <c r="A97" s="191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27"/>
      <c r="M97" s="24"/>
      <c r="N97" s="18"/>
    </row>
    <row r="98" spans="1:14" ht="12.75">
      <c r="A98" s="197" t="s">
        <v>27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</row>
    <row r="99" spans="1:14" ht="12.75">
      <c r="A99" s="25" t="s">
        <v>3</v>
      </c>
      <c r="B99" s="25"/>
      <c r="C99" s="26" t="s">
        <v>64</v>
      </c>
      <c r="D99" s="27">
        <f aca="true" t="shared" si="42" ref="D99:J99">D100+D103+D107+D104+D105+D108+D106+D102+D101</f>
        <v>3174.8</v>
      </c>
      <c r="E99" s="27">
        <f t="shared" si="42"/>
        <v>3174.8</v>
      </c>
      <c r="F99" s="27">
        <f t="shared" si="42"/>
        <v>787.9000000000001</v>
      </c>
      <c r="G99" s="27">
        <f t="shared" si="42"/>
        <v>787.9000000000001</v>
      </c>
      <c r="H99" s="27">
        <f t="shared" si="42"/>
        <v>795.5</v>
      </c>
      <c r="I99" s="27">
        <f t="shared" si="42"/>
        <v>795.5999999999999</v>
      </c>
      <c r="J99" s="27">
        <f t="shared" si="42"/>
        <v>795.8</v>
      </c>
      <c r="K99" s="27">
        <f>K100+K103+K107+K104+K105+K108+K106+K102+K101</f>
        <v>799</v>
      </c>
      <c r="L99" s="27">
        <f aca="true" t="shared" si="43" ref="L99:L105">K99*100/F99</f>
        <v>101.40880822439395</v>
      </c>
      <c r="M99" s="24">
        <f aca="true" t="shared" si="44" ref="M99:M105">K99*100/E99</f>
        <v>25.166939649741714</v>
      </c>
      <c r="N99" s="24">
        <f aca="true" t="shared" si="45" ref="N99:N105">K99*100/D99</f>
        <v>25.166939649741714</v>
      </c>
    </row>
    <row r="100" spans="1:18" ht="12.75">
      <c r="A100" s="12" t="s">
        <v>74</v>
      </c>
      <c r="B100" s="12"/>
      <c r="C100" s="55" t="s">
        <v>75</v>
      </c>
      <c r="D100" s="60">
        <v>1400</v>
      </c>
      <c r="E100" s="60">
        <f>G100+H100+I100+J100</f>
        <v>1400</v>
      </c>
      <c r="F100" s="46">
        <f aca="true" t="shared" si="46" ref="F100:F111">G100</f>
        <v>350</v>
      </c>
      <c r="G100" s="59">
        <v>350</v>
      </c>
      <c r="H100" s="59">
        <v>350</v>
      </c>
      <c r="I100" s="17">
        <v>350</v>
      </c>
      <c r="J100" s="18">
        <v>350</v>
      </c>
      <c r="K100" s="18">
        <v>268.7</v>
      </c>
      <c r="L100" s="20">
        <f t="shared" si="43"/>
        <v>76.77142857142857</v>
      </c>
      <c r="M100" s="18">
        <f t="shared" si="44"/>
        <v>19.192857142857143</v>
      </c>
      <c r="N100" s="18">
        <f t="shared" si="45"/>
        <v>19.192857142857143</v>
      </c>
      <c r="R100" s="2"/>
    </row>
    <row r="101" spans="1:14" ht="25.5" customHeight="1">
      <c r="A101" s="12" t="s">
        <v>73</v>
      </c>
      <c r="B101" s="12"/>
      <c r="C101" s="28" t="s">
        <v>72</v>
      </c>
      <c r="D101" s="60">
        <v>1505.3</v>
      </c>
      <c r="E101" s="60">
        <f>G101+H101+I101+J101</f>
        <v>1505.3000000000002</v>
      </c>
      <c r="F101" s="46">
        <f t="shared" si="46"/>
        <v>376.3</v>
      </c>
      <c r="G101" s="59">
        <v>376.3</v>
      </c>
      <c r="H101" s="59">
        <v>376.3</v>
      </c>
      <c r="I101" s="17">
        <v>376.3</v>
      </c>
      <c r="J101" s="18">
        <v>376.4</v>
      </c>
      <c r="K101" s="18">
        <v>420.2</v>
      </c>
      <c r="L101" s="20">
        <f t="shared" si="43"/>
        <v>111.66622375764018</v>
      </c>
      <c r="M101" s="18">
        <f t="shared" si="44"/>
        <v>27.914701388427552</v>
      </c>
      <c r="N101" s="18">
        <f t="shared" si="45"/>
        <v>27.914701388427556</v>
      </c>
    </row>
    <row r="102" spans="1:14" ht="12.75" hidden="1">
      <c r="A102" s="12" t="s">
        <v>8</v>
      </c>
      <c r="B102" s="12"/>
      <c r="C102" s="28" t="s">
        <v>5</v>
      </c>
      <c r="D102" s="60"/>
      <c r="E102" s="60">
        <f>G102+H102+I102+J102</f>
        <v>0</v>
      </c>
      <c r="F102" s="46">
        <f t="shared" si="46"/>
        <v>0</v>
      </c>
      <c r="G102" s="59"/>
      <c r="H102" s="59"/>
      <c r="I102" s="17"/>
      <c r="J102" s="18"/>
      <c r="K102" s="18"/>
      <c r="L102" s="20" t="e">
        <f t="shared" si="43"/>
        <v>#DIV/0!</v>
      </c>
      <c r="M102" s="18" t="e">
        <f t="shared" si="44"/>
        <v>#DIV/0!</v>
      </c>
      <c r="N102" s="18" t="e">
        <f t="shared" si="45"/>
        <v>#DIV/0!</v>
      </c>
    </row>
    <row r="103" spans="1:14" ht="12.75">
      <c r="A103" s="12" t="s">
        <v>9</v>
      </c>
      <c r="B103" s="12"/>
      <c r="C103" s="28" t="s">
        <v>6</v>
      </c>
      <c r="D103" s="60">
        <v>228</v>
      </c>
      <c r="E103" s="60">
        <f aca="true" t="shared" si="47" ref="E103:E111">G103+H103+I103+J103</f>
        <v>228</v>
      </c>
      <c r="F103" s="46">
        <f t="shared" si="46"/>
        <v>51.5</v>
      </c>
      <c r="G103" s="59">
        <v>51.5</v>
      </c>
      <c r="H103" s="59">
        <v>58.7</v>
      </c>
      <c r="I103" s="17">
        <v>58.9</v>
      </c>
      <c r="J103" s="18">
        <v>58.9</v>
      </c>
      <c r="K103" s="18">
        <v>106.1</v>
      </c>
      <c r="L103" s="20">
        <f t="shared" si="43"/>
        <v>206.01941747572815</v>
      </c>
      <c r="M103" s="18">
        <f t="shared" si="44"/>
        <v>46.53508771929825</v>
      </c>
      <c r="N103" s="18">
        <f t="shared" si="45"/>
        <v>46.53508771929825</v>
      </c>
    </row>
    <row r="104" spans="1:14" ht="12.75">
      <c r="A104" s="12" t="s">
        <v>10</v>
      </c>
      <c r="B104" s="12"/>
      <c r="C104" s="28" t="s">
        <v>21</v>
      </c>
      <c r="D104" s="60">
        <v>1.5</v>
      </c>
      <c r="E104" s="60">
        <f t="shared" si="47"/>
        <v>1.5</v>
      </c>
      <c r="F104" s="46">
        <f t="shared" si="46"/>
        <v>0.1</v>
      </c>
      <c r="G104" s="59">
        <v>0.1</v>
      </c>
      <c r="H104" s="59">
        <v>0.5</v>
      </c>
      <c r="I104" s="17">
        <v>0.4</v>
      </c>
      <c r="J104" s="18">
        <v>0.5</v>
      </c>
      <c r="K104" s="18">
        <v>0.2</v>
      </c>
      <c r="L104" s="20">
        <f t="shared" si="43"/>
        <v>200</v>
      </c>
      <c r="M104" s="18">
        <f t="shared" si="44"/>
        <v>13.333333333333334</v>
      </c>
      <c r="N104" s="18">
        <f t="shared" si="45"/>
        <v>13.333333333333334</v>
      </c>
    </row>
    <row r="105" spans="1:14" ht="24">
      <c r="A105" s="13" t="s">
        <v>11</v>
      </c>
      <c r="B105" s="13"/>
      <c r="C105" s="28" t="s">
        <v>17</v>
      </c>
      <c r="D105" s="60">
        <v>40</v>
      </c>
      <c r="E105" s="60">
        <f t="shared" si="47"/>
        <v>40</v>
      </c>
      <c r="F105" s="46">
        <f t="shared" si="46"/>
        <v>10</v>
      </c>
      <c r="G105" s="59">
        <v>10</v>
      </c>
      <c r="H105" s="59">
        <v>10</v>
      </c>
      <c r="I105" s="17">
        <v>10</v>
      </c>
      <c r="J105" s="18">
        <v>10</v>
      </c>
      <c r="K105" s="18">
        <v>3.8</v>
      </c>
      <c r="L105" s="20">
        <f t="shared" si="43"/>
        <v>38</v>
      </c>
      <c r="M105" s="18">
        <f t="shared" si="44"/>
        <v>9.5</v>
      </c>
      <c r="N105" s="18">
        <f t="shared" si="45"/>
        <v>9.5</v>
      </c>
    </row>
    <row r="106" spans="1:14" ht="24" customHeight="1">
      <c r="A106" s="30" t="s">
        <v>40</v>
      </c>
      <c r="B106" s="30"/>
      <c r="C106" s="28" t="s">
        <v>41</v>
      </c>
      <c r="D106" s="60"/>
      <c r="E106" s="60">
        <f t="shared" si="47"/>
        <v>0</v>
      </c>
      <c r="F106" s="46">
        <f t="shared" si="46"/>
        <v>0</v>
      </c>
      <c r="G106" s="59"/>
      <c r="H106" s="59"/>
      <c r="I106" s="17"/>
      <c r="J106" s="18"/>
      <c r="K106" s="18">
        <v>5</v>
      </c>
      <c r="L106" s="20"/>
      <c r="M106" s="18"/>
      <c r="N106" s="18"/>
    </row>
    <row r="107" spans="1:14" ht="14.25" customHeight="1" hidden="1">
      <c r="A107" s="21" t="s">
        <v>12</v>
      </c>
      <c r="B107" s="21"/>
      <c r="C107" s="82" t="s">
        <v>7</v>
      </c>
      <c r="D107" s="60"/>
      <c r="E107" s="60">
        <f t="shared" si="47"/>
        <v>0</v>
      </c>
      <c r="F107" s="46">
        <f t="shared" si="46"/>
        <v>0</v>
      </c>
      <c r="G107" s="59"/>
      <c r="H107" s="59"/>
      <c r="I107" s="17"/>
      <c r="J107" s="18"/>
      <c r="K107" s="18"/>
      <c r="L107" s="20"/>
      <c r="M107" s="18"/>
      <c r="N107" s="18"/>
    </row>
    <row r="108" spans="1:14" ht="16.5" customHeight="1">
      <c r="A108" s="30" t="s">
        <v>37</v>
      </c>
      <c r="B108" s="69"/>
      <c r="C108" s="16" t="s">
        <v>38</v>
      </c>
      <c r="D108" s="60"/>
      <c r="E108" s="60">
        <f t="shared" si="47"/>
        <v>0</v>
      </c>
      <c r="F108" s="46">
        <f t="shared" si="46"/>
        <v>0</v>
      </c>
      <c r="G108" s="59"/>
      <c r="H108" s="59"/>
      <c r="I108" s="17"/>
      <c r="J108" s="18"/>
      <c r="K108" s="18">
        <v>-5</v>
      </c>
      <c r="L108" s="27"/>
      <c r="M108" s="24"/>
      <c r="N108" s="18"/>
    </row>
    <row r="109" spans="1:14" ht="12.75">
      <c r="A109" s="65" t="s">
        <v>1</v>
      </c>
      <c r="B109" s="65"/>
      <c r="C109" s="32" t="s">
        <v>0</v>
      </c>
      <c r="D109" s="33">
        <f aca="true" t="shared" si="48" ref="D109:K109">D110+D111</f>
        <v>25449.7</v>
      </c>
      <c r="E109" s="33">
        <f t="shared" si="48"/>
        <v>24841.300000000003</v>
      </c>
      <c r="F109" s="33">
        <f t="shared" si="48"/>
        <v>5747.3</v>
      </c>
      <c r="G109" s="33">
        <f t="shared" si="48"/>
        <v>5747.3</v>
      </c>
      <c r="H109" s="33">
        <f t="shared" si="48"/>
        <v>6364.7</v>
      </c>
      <c r="I109" s="33">
        <f t="shared" si="48"/>
        <v>6364.7</v>
      </c>
      <c r="J109" s="33">
        <f t="shared" si="48"/>
        <v>6364.6</v>
      </c>
      <c r="K109" s="33">
        <f t="shared" si="48"/>
        <v>6263</v>
      </c>
      <c r="L109" s="27">
        <f>K109*100/F109</f>
        <v>108.97290901814765</v>
      </c>
      <c r="M109" s="24">
        <f>K109*100/E109</f>
        <v>25.21204606844247</v>
      </c>
      <c r="N109" s="24">
        <f>K109*100/D109</f>
        <v>24.609327418397857</v>
      </c>
    </row>
    <row r="110" spans="1:14" ht="24">
      <c r="A110" s="14" t="s">
        <v>63</v>
      </c>
      <c r="B110" s="12"/>
      <c r="C110" s="34" t="s">
        <v>20</v>
      </c>
      <c r="D110" s="59">
        <v>25449.7</v>
      </c>
      <c r="E110" s="60">
        <f>G110+H110+I110+J110</f>
        <v>24841.300000000003</v>
      </c>
      <c r="F110" s="46">
        <f t="shared" si="46"/>
        <v>5747.3</v>
      </c>
      <c r="G110" s="59">
        <v>5747.3</v>
      </c>
      <c r="H110" s="59">
        <v>6364.7</v>
      </c>
      <c r="I110" s="17">
        <v>6364.7</v>
      </c>
      <c r="J110" s="18">
        <v>6364.6</v>
      </c>
      <c r="K110" s="18">
        <v>6263</v>
      </c>
      <c r="L110" s="20">
        <f>K110*100/F110</f>
        <v>108.97290901814765</v>
      </c>
      <c r="M110" s="18">
        <f>K110*100/E110</f>
        <v>25.21204606844247</v>
      </c>
      <c r="N110" s="18">
        <f>K110*100/D110</f>
        <v>24.609327418397857</v>
      </c>
    </row>
    <row r="111" spans="1:14" ht="24" customHeight="1" hidden="1">
      <c r="A111" s="83" t="s">
        <v>71</v>
      </c>
      <c r="B111" s="14"/>
      <c r="C111" s="35" t="s">
        <v>19</v>
      </c>
      <c r="D111" s="35"/>
      <c r="E111" s="60">
        <f t="shared" si="47"/>
        <v>0</v>
      </c>
      <c r="F111" s="46">
        <f t="shared" si="46"/>
        <v>0</v>
      </c>
      <c r="G111" s="70"/>
      <c r="H111" s="70"/>
      <c r="I111" s="17"/>
      <c r="J111" s="18"/>
      <c r="K111" s="18"/>
      <c r="L111" s="27"/>
      <c r="M111" s="24"/>
      <c r="N111" s="18"/>
    </row>
    <row r="112" spans="1:14" ht="12.75">
      <c r="A112" s="21"/>
      <c r="B112" s="22"/>
      <c r="C112" s="23" t="s">
        <v>4</v>
      </c>
      <c r="D112" s="24">
        <f aca="true" t="shared" si="49" ref="D112:K112">D109+D99</f>
        <v>28624.5</v>
      </c>
      <c r="E112" s="24">
        <f t="shared" si="49"/>
        <v>28016.100000000002</v>
      </c>
      <c r="F112" s="64">
        <f t="shared" si="49"/>
        <v>6535.200000000001</v>
      </c>
      <c r="G112" s="64">
        <f t="shared" si="49"/>
        <v>6535.200000000001</v>
      </c>
      <c r="H112" s="64">
        <f>H109+H99</f>
        <v>7160.2</v>
      </c>
      <c r="I112" s="24">
        <f t="shared" si="49"/>
        <v>7160.299999999999</v>
      </c>
      <c r="J112" s="24">
        <f t="shared" si="49"/>
        <v>7160.400000000001</v>
      </c>
      <c r="K112" s="24">
        <f t="shared" si="49"/>
        <v>7062</v>
      </c>
      <c r="L112" s="27">
        <f>K112*100/F112</f>
        <v>108.0609621740727</v>
      </c>
      <c r="M112" s="24">
        <f>K112*100/E112</f>
        <v>25.206934584042745</v>
      </c>
      <c r="N112" s="24">
        <f>K112*100/D112</f>
        <v>24.671173295603417</v>
      </c>
    </row>
    <row r="113" spans="1:14" ht="12.75">
      <c r="A113" s="191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27"/>
      <c r="M113" s="24"/>
      <c r="N113" s="18"/>
    </row>
    <row r="114" spans="1:14" ht="12.75">
      <c r="A114" s="197" t="s">
        <v>28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</row>
    <row r="115" spans="1:14" ht="12.75">
      <c r="A115" s="25" t="s">
        <v>3</v>
      </c>
      <c r="B115" s="25"/>
      <c r="C115" s="26" t="s">
        <v>64</v>
      </c>
      <c r="D115" s="27">
        <f>D116+D120+D124+D121+D122+D125+D123+D126+D117+D118+D119</f>
        <v>5481.3</v>
      </c>
      <c r="E115" s="27">
        <f aca="true" t="shared" si="50" ref="E115:J115">E116+E120+E124+E121+E122+E125+E123+E126+E117+E118+E119</f>
        <v>5481.3</v>
      </c>
      <c r="F115" s="27">
        <f t="shared" si="50"/>
        <v>1382.6</v>
      </c>
      <c r="G115" s="27">
        <f t="shared" si="50"/>
        <v>1382.6</v>
      </c>
      <c r="H115" s="27">
        <f t="shared" si="50"/>
        <v>1426.6</v>
      </c>
      <c r="I115" s="27">
        <f t="shared" si="50"/>
        <v>1379.1</v>
      </c>
      <c r="J115" s="27">
        <f t="shared" si="50"/>
        <v>1293</v>
      </c>
      <c r="K115" s="27">
        <f>K116+K120+K124+K121+K122+K125+K123+K126+K117+K118+K119</f>
        <v>1257.8</v>
      </c>
      <c r="L115" s="27">
        <f>K115*100/F115</f>
        <v>90.97352813539709</v>
      </c>
      <c r="M115" s="24">
        <f>K115*100/E115</f>
        <v>22.94711108678598</v>
      </c>
      <c r="N115" s="24">
        <f>K115*100/D115</f>
        <v>22.94711108678598</v>
      </c>
    </row>
    <row r="116" spans="1:18" ht="12.75">
      <c r="A116" s="12" t="s">
        <v>74</v>
      </c>
      <c r="B116" s="12"/>
      <c r="C116" s="55" t="s">
        <v>75</v>
      </c>
      <c r="D116" s="60">
        <v>1470</v>
      </c>
      <c r="E116" s="60">
        <f>G116+H116+I116+J116</f>
        <v>1470</v>
      </c>
      <c r="F116" s="46">
        <f aca="true" t="shared" si="51" ref="F116:F128">G116</f>
        <v>367.5</v>
      </c>
      <c r="G116" s="60">
        <v>367.5</v>
      </c>
      <c r="H116" s="60">
        <v>367.5</v>
      </c>
      <c r="I116" s="18">
        <v>367.5</v>
      </c>
      <c r="J116" s="18">
        <v>367.5</v>
      </c>
      <c r="K116" s="18">
        <v>213.8</v>
      </c>
      <c r="L116" s="20">
        <f>K116*100/F116</f>
        <v>58.17687074829932</v>
      </c>
      <c r="M116" s="18">
        <f>K116*100/E116</f>
        <v>14.54421768707483</v>
      </c>
      <c r="N116" s="18">
        <f>K116*100/D116</f>
        <v>14.54421768707483</v>
      </c>
      <c r="R116" s="2"/>
    </row>
    <row r="117" spans="1:14" ht="36" hidden="1">
      <c r="A117" s="12" t="s">
        <v>73</v>
      </c>
      <c r="B117" s="12"/>
      <c r="C117" s="28" t="s">
        <v>72</v>
      </c>
      <c r="D117" s="60"/>
      <c r="E117" s="60">
        <f>G117+H117+I117+J117</f>
        <v>0</v>
      </c>
      <c r="F117" s="46">
        <f t="shared" si="51"/>
        <v>0</v>
      </c>
      <c r="G117" s="60"/>
      <c r="H117" s="60"/>
      <c r="I117" s="18"/>
      <c r="J117" s="18"/>
      <c r="K117" s="18"/>
      <c r="L117" s="20" t="e">
        <f>K117*100/F117</f>
        <v>#DIV/0!</v>
      </c>
      <c r="M117" s="18" t="e">
        <f>K117*100/E117</f>
        <v>#DIV/0!</v>
      </c>
      <c r="N117" s="18" t="e">
        <f>K117*100/D117</f>
        <v>#DIV/0!</v>
      </c>
    </row>
    <row r="118" spans="1:14" ht="26.25" customHeight="1">
      <c r="A118" s="12" t="s">
        <v>73</v>
      </c>
      <c r="B118" s="12"/>
      <c r="C118" s="28" t="s">
        <v>72</v>
      </c>
      <c r="D118" s="60">
        <v>3261.5</v>
      </c>
      <c r="E118" s="60">
        <f>G118+H118+I118+J118</f>
        <v>3261.5</v>
      </c>
      <c r="F118" s="46">
        <f t="shared" si="51"/>
        <v>819.9</v>
      </c>
      <c r="G118" s="60">
        <v>819.9</v>
      </c>
      <c r="H118" s="60">
        <v>850.9</v>
      </c>
      <c r="I118" s="18">
        <v>850.9</v>
      </c>
      <c r="J118" s="18">
        <v>739.8</v>
      </c>
      <c r="K118" s="18">
        <v>910.4</v>
      </c>
      <c r="L118" s="20">
        <f>K118*100/F118</f>
        <v>111.0379314550555</v>
      </c>
      <c r="M118" s="18">
        <f>K118*100/E118</f>
        <v>27.913536716234862</v>
      </c>
      <c r="N118" s="18">
        <f>K118*100/D118</f>
        <v>27.913536716234862</v>
      </c>
    </row>
    <row r="119" spans="1:14" ht="16.5" customHeight="1">
      <c r="A119" s="12" t="s">
        <v>8</v>
      </c>
      <c r="B119" s="12"/>
      <c r="C119" s="28" t="s">
        <v>5</v>
      </c>
      <c r="D119" s="60">
        <v>10</v>
      </c>
      <c r="E119" s="60">
        <f>G119+H119+I119+J119</f>
        <v>10</v>
      </c>
      <c r="F119" s="46">
        <f t="shared" si="51"/>
        <v>10</v>
      </c>
      <c r="G119" s="60">
        <v>10</v>
      </c>
      <c r="H119" s="60"/>
      <c r="I119" s="18"/>
      <c r="J119" s="18"/>
      <c r="K119" s="18"/>
      <c r="L119" s="20"/>
      <c r="M119" s="18"/>
      <c r="N119" s="18"/>
    </row>
    <row r="120" spans="1:14" ht="12.75">
      <c r="A120" s="12" t="s">
        <v>9</v>
      </c>
      <c r="B120" s="12"/>
      <c r="C120" s="28" t="s">
        <v>6</v>
      </c>
      <c r="D120" s="60">
        <v>259</v>
      </c>
      <c r="E120" s="60">
        <f aca="true" t="shared" si="52" ref="E120:E128">G120+H120+I120+J120</f>
        <v>259</v>
      </c>
      <c r="F120" s="46">
        <f t="shared" si="51"/>
        <v>65</v>
      </c>
      <c r="G120" s="60">
        <v>65</v>
      </c>
      <c r="H120" s="60">
        <v>88</v>
      </c>
      <c r="I120" s="18">
        <v>40.5</v>
      </c>
      <c r="J120" s="18">
        <v>65.5</v>
      </c>
      <c r="K120" s="18">
        <v>16.8</v>
      </c>
      <c r="L120" s="20">
        <f>K120*100/F120</f>
        <v>25.846153846153847</v>
      </c>
      <c r="M120" s="18">
        <f>K120*100/E120</f>
        <v>6.486486486486487</v>
      </c>
      <c r="N120" s="18">
        <f>K120*100/D120</f>
        <v>6.486486486486487</v>
      </c>
    </row>
    <row r="121" spans="1:14" ht="12.75">
      <c r="A121" s="12" t="s">
        <v>10</v>
      </c>
      <c r="B121" s="12"/>
      <c r="C121" s="28" t="s">
        <v>21</v>
      </c>
      <c r="D121" s="60">
        <v>13.5</v>
      </c>
      <c r="E121" s="60">
        <f t="shared" si="52"/>
        <v>13.5</v>
      </c>
      <c r="F121" s="46">
        <f t="shared" si="51"/>
        <v>3.4</v>
      </c>
      <c r="G121" s="60">
        <v>3.4</v>
      </c>
      <c r="H121" s="60">
        <v>3.4</v>
      </c>
      <c r="I121" s="18">
        <v>3.4</v>
      </c>
      <c r="J121" s="18">
        <v>3.3</v>
      </c>
      <c r="K121" s="18">
        <v>2.5</v>
      </c>
      <c r="L121" s="20">
        <f>K121*100/F121</f>
        <v>73.52941176470588</v>
      </c>
      <c r="M121" s="18">
        <f>K121*100/E121</f>
        <v>18.51851851851852</v>
      </c>
      <c r="N121" s="18">
        <f>K121*100/D121</f>
        <v>18.51851851851852</v>
      </c>
    </row>
    <row r="122" spans="1:14" ht="23.25" customHeight="1">
      <c r="A122" s="13" t="s">
        <v>11</v>
      </c>
      <c r="B122" s="13"/>
      <c r="C122" s="28" t="s">
        <v>17</v>
      </c>
      <c r="D122" s="60">
        <v>467.3</v>
      </c>
      <c r="E122" s="60">
        <f t="shared" si="52"/>
        <v>467.29999999999995</v>
      </c>
      <c r="F122" s="46">
        <f t="shared" si="51"/>
        <v>116.8</v>
      </c>
      <c r="G122" s="60">
        <v>116.8</v>
      </c>
      <c r="H122" s="60">
        <v>116.8</v>
      </c>
      <c r="I122" s="18">
        <v>116.8</v>
      </c>
      <c r="J122" s="18">
        <v>116.9</v>
      </c>
      <c r="K122" s="18">
        <v>114.3</v>
      </c>
      <c r="L122" s="20">
        <f>K122*100/F122</f>
        <v>97.85958904109589</v>
      </c>
      <c r="M122" s="18">
        <f>K122*100/E122</f>
        <v>24.45966188743848</v>
      </c>
      <c r="N122" s="18">
        <f>K122*100/D122</f>
        <v>24.459661887438475</v>
      </c>
    </row>
    <row r="123" spans="1:14" ht="24.75" customHeight="1">
      <c r="A123" s="30" t="s">
        <v>40</v>
      </c>
      <c r="B123" s="30"/>
      <c r="C123" s="28" t="s">
        <v>41</v>
      </c>
      <c r="D123" s="60"/>
      <c r="E123" s="60">
        <f t="shared" si="52"/>
        <v>0</v>
      </c>
      <c r="F123" s="46">
        <f t="shared" si="51"/>
        <v>0</v>
      </c>
      <c r="G123" s="60"/>
      <c r="H123" s="60"/>
      <c r="I123" s="18"/>
      <c r="J123" s="18"/>
      <c r="K123" s="18"/>
      <c r="L123" s="20"/>
      <c r="M123" s="18"/>
      <c r="N123" s="18"/>
    </row>
    <row r="124" spans="1:14" ht="27" customHeight="1" hidden="1">
      <c r="A124" s="29" t="s">
        <v>18</v>
      </c>
      <c r="B124" s="29"/>
      <c r="C124" s="28" t="s">
        <v>15</v>
      </c>
      <c r="D124" s="60"/>
      <c r="E124" s="60">
        <f t="shared" si="52"/>
        <v>0</v>
      </c>
      <c r="F124" s="46">
        <f t="shared" si="51"/>
        <v>0</v>
      </c>
      <c r="G124" s="60"/>
      <c r="H124" s="60"/>
      <c r="I124" s="18"/>
      <c r="J124" s="18"/>
      <c r="K124" s="18"/>
      <c r="L124" s="20"/>
      <c r="M124" s="18"/>
      <c r="N124" s="18"/>
    </row>
    <row r="125" spans="1:14" ht="23.25" customHeight="1" hidden="1">
      <c r="A125" s="21" t="s">
        <v>12</v>
      </c>
      <c r="B125" s="21"/>
      <c r="C125" s="28" t="s">
        <v>7</v>
      </c>
      <c r="D125" s="60"/>
      <c r="E125" s="60">
        <f t="shared" si="52"/>
        <v>0</v>
      </c>
      <c r="F125" s="46">
        <f t="shared" si="51"/>
        <v>0</v>
      </c>
      <c r="G125" s="60"/>
      <c r="H125" s="60"/>
      <c r="I125" s="18"/>
      <c r="J125" s="18"/>
      <c r="K125" s="18"/>
      <c r="L125" s="27" t="e">
        <f>K125*100/F125</f>
        <v>#DIV/0!</v>
      </c>
      <c r="M125" s="24" t="e">
        <f>K125*100/E125</f>
        <v>#DIV/0!</v>
      </c>
      <c r="N125" s="18" t="e">
        <f>K125*100/D125</f>
        <v>#DIV/0!</v>
      </c>
    </row>
    <row r="126" spans="1:14" ht="14.25" customHeight="1">
      <c r="A126" s="29" t="s">
        <v>37</v>
      </c>
      <c r="B126" s="69"/>
      <c r="C126" s="16" t="s">
        <v>38</v>
      </c>
      <c r="D126" s="60"/>
      <c r="E126" s="60">
        <f t="shared" si="52"/>
        <v>0</v>
      </c>
      <c r="F126" s="46">
        <f t="shared" si="51"/>
        <v>0</v>
      </c>
      <c r="G126" s="60"/>
      <c r="H126" s="60"/>
      <c r="I126" s="18"/>
      <c r="J126" s="18"/>
      <c r="K126" s="18"/>
      <c r="L126" s="27"/>
      <c r="M126" s="24"/>
      <c r="N126" s="18"/>
    </row>
    <row r="127" spans="1:14" ht="12.75">
      <c r="A127" s="25" t="s">
        <v>1</v>
      </c>
      <c r="B127" s="25"/>
      <c r="C127" s="32" t="s">
        <v>0</v>
      </c>
      <c r="D127" s="33">
        <f aca="true" t="shared" si="53" ref="D127:K127">D128</f>
        <v>26468.9</v>
      </c>
      <c r="E127" s="33">
        <f t="shared" si="53"/>
        <v>29051.6</v>
      </c>
      <c r="F127" s="66">
        <f t="shared" si="53"/>
        <v>9204.9</v>
      </c>
      <c r="G127" s="66">
        <f t="shared" si="53"/>
        <v>9204.9</v>
      </c>
      <c r="H127" s="66">
        <f t="shared" si="53"/>
        <v>6622.2</v>
      </c>
      <c r="I127" s="66">
        <f t="shared" si="53"/>
        <v>6622.2</v>
      </c>
      <c r="J127" s="33">
        <f t="shared" si="53"/>
        <v>6602.3</v>
      </c>
      <c r="K127" s="33">
        <f t="shared" si="53"/>
        <v>9256.3</v>
      </c>
      <c r="L127" s="27">
        <f>K127*100/F127</f>
        <v>100.5583982444133</v>
      </c>
      <c r="M127" s="24">
        <f>K127*100/E127</f>
        <v>31.861584215671424</v>
      </c>
      <c r="N127" s="24">
        <f>K127*100/D127</f>
        <v>34.97047478361397</v>
      </c>
    </row>
    <row r="128" spans="1:14" ht="24">
      <c r="A128" s="83" t="s">
        <v>63</v>
      </c>
      <c r="B128" s="12"/>
      <c r="C128" s="34" t="s">
        <v>20</v>
      </c>
      <c r="D128" s="59">
        <v>26468.9</v>
      </c>
      <c r="E128" s="60">
        <f t="shared" si="52"/>
        <v>29051.6</v>
      </c>
      <c r="F128" s="46">
        <f t="shared" si="51"/>
        <v>9204.9</v>
      </c>
      <c r="G128" s="60">
        <v>9204.9</v>
      </c>
      <c r="H128" s="60">
        <v>6622.2</v>
      </c>
      <c r="I128" s="18">
        <v>6622.2</v>
      </c>
      <c r="J128" s="18">
        <v>6602.3</v>
      </c>
      <c r="K128" s="18">
        <v>9256.3</v>
      </c>
      <c r="L128" s="20">
        <f>K128*100/F128</f>
        <v>100.5583982444133</v>
      </c>
      <c r="M128" s="18">
        <f>K128*100/E128</f>
        <v>31.861584215671424</v>
      </c>
      <c r="N128" s="18">
        <f>K128*100/D128</f>
        <v>34.97047478361397</v>
      </c>
    </row>
    <row r="129" spans="1:14" ht="12.75">
      <c r="A129" s="21"/>
      <c r="B129" s="22"/>
      <c r="C129" s="23" t="s">
        <v>4</v>
      </c>
      <c r="D129" s="24">
        <f aca="true" t="shared" si="54" ref="D129:K129">D127+D115</f>
        <v>31950.2</v>
      </c>
      <c r="E129" s="24">
        <f t="shared" si="54"/>
        <v>34532.9</v>
      </c>
      <c r="F129" s="24">
        <f t="shared" si="54"/>
        <v>10587.5</v>
      </c>
      <c r="G129" s="24">
        <f t="shared" si="54"/>
        <v>10587.5</v>
      </c>
      <c r="H129" s="24">
        <f t="shared" si="54"/>
        <v>8048.799999999999</v>
      </c>
      <c r="I129" s="24">
        <f t="shared" si="54"/>
        <v>8001.299999999999</v>
      </c>
      <c r="J129" s="24">
        <f t="shared" si="54"/>
        <v>7895.3</v>
      </c>
      <c r="K129" s="24">
        <f t="shared" si="54"/>
        <v>10514.099999999999</v>
      </c>
      <c r="L129" s="27">
        <f>K129*100/F129</f>
        <v>99.30672963400234</v>
      </c>
      <c r="M129" s="24">
        <f>K129*100/E129</f>
        <v>30.44661757338653</v>
      </c>
      <c r="N129" s="24">
        <f>K129*100/D129</f>
        <v>32.9077752251942</v>
      </c>
    </row>
    <row r="130" spans="1:14" ht="12.75">
      <c r="A130" s="191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27"/>
      <c r="M130" s="24"/>
      <c r="N130" s="18"/>
    </row>
    <row r="131" spans="1:14" ht="12.75">
      <c r="A131" s="197" t="s">
        <v>29</v>
      </c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</row>
    <row r="132" spans="1:14" ht="12.75">
      <c r="A132" s="25" t="s">
        <v>3</v>
      </c>
      <c r="B132" s="25"/>
      <c r="C132" s="26" t="s">
        <v>64</v>
      </c>
      <c r="D132" s="27">
        <f aca="true" t="shared" si="55" ref="D132:J132">D133+D135+D136+D137+D139+D141+D138+D140+D134</f>
        <v>10865.7</v>
      </c>
      <c r="E132" s="27">
        <f t="shared" si="55"/>
        <v>10865.7</v>
      </c>
      <c r="F132" s="27">
        <f t="shared" si="55"/>
        <v>2861.5</v>
      </c>
      <c r="G132" s="27">
        <f t="shared" si="55"/>
        <v>2861.5</v>
      </c>
      <c r="H132" s="27">
        <f t="shared" si="55"/>
        <v>2814.8999999999996</v>
      </c>
      <c r="I132" s="27">
        <f t="shared" si="55"/>
        <v>2692.5</v>
      </c>
      <c r="J132" s="27">
        <f t="shared" si="55"/>
        <v>2496.8</v>
      </c>
      <c r="K132" s="27">
        <f>K133+K135+K136+K137+K139+K141+K138+K140+K134</f>
        <v>2774.8</v>
      </c>
      <c r="L132" s="27">
        <f aca="true" t="shared" si="56" ref="L132:L137">K132*100/F132</f>
        <v>96.97012056613664</v>
      </c>
      <c r="M132" s="24">
        <f aca="true" t="shared" si="57" ref="M132:M137">K132*100/E132</f>
        <v>25.537241042914857</v>
      </c>
      <c r="N132" s="24">
        <f aca="true" t="shared" si="58" ref="N132:N137">K132*100/D132</f>
        <v>25.537241042914857</v>
      </c>
    </row>
    <row r="133" spans="1:18" ht="12.75">
      <c r="A133" s="12" t="s">
        <v>74</v>
      </c>
      <c r="B133" s="12"/>
      <c r="C133" s="55" t="s">
        <v>75</v>
      </c>
      <c r="D133" s="60">
        <v>3050</v>
      </c>
      <c r="E133" s="60">
        <f>G133+H133+I133+J133</f>
        <v>3050</v>
      </c>
      <c r="F133" s="46">
        <f aca="true" t="shared" si="59" ref="F133:F146">G133</f>
        <v>800</v>
      </c>
      <c r="G133" s="59">
        <v>800</v>
      </c>
      <c r="H133" s="59">
        <v>750</v>
      </c>
      <c r="I133" s="17">
        <v>750</v>
      </c>
      <c r="J133" s="18">
        <v>750</v>
      </c>
      <c r="K133" s="18">
        <v>615.1</v>
      </c>
      <c r="L133" s="20">
        <f t="shared" si="56"/>
        <v>76.8875</v>
      </c>
      <c r="M133" s="18">
        <f t="shared" si="57"/>
        <v>20.167213114754098</v>
      </c>
      <c r="N133" s="18">
        <f t="shared" si="58"/>
        <v>20.167213114754098</v>
      </c>
      <c r="R133" s="2"/>
    </row>
    <row r="134" spans="1:14" ht="23.25" customHeight="1">
      <c r="A134" s="12" t="s">
        <v>73</v>
      </c>
      <c r="B134" s="12"/>
      <c r="C134" s="28" t="s">
        <v>72</v>
      </c>
      <c r="D134" s="60">
        <v>7123.7</v>
      </c>
      <c r="E134" s="60">
        <f>G134+H134+I134+J134</f>
        <v>7123.7</v>
      </c>
      <c r="F134" s="46">
        <f t="shared" si="59"/>
        <v>1896.2</v>
      </c>
      <c r="G134" s="59">
        <v>1896.2</v>
      </c>
      <c r="H134" s="59">
        <v>1896.1</v>
      </c>
      <c r="I134" s="17">
        <v>1769.2</v>
      </c>
      <c r="J134" s="18">
        <v>1562.2</v>
      </c>
      <c r="K134" s="18">
        <v>1988.5</v>
      </c>
      <c r="L134" s="20">
        <f t="shared" si="56"/>
        <v>104.86762999683577</v>
      </c>
      <c r="M134" s="18">
        <f t="shared" si="57"/>
        <v>27.913864985892165</v>
      </c>
      <c r="N134" s="18">
        <f t="shared" si="58"/>
        <v>27.913864985892165</v>
      </c>
    </row>
    <row r="135" spans="1:14" ht="12.75">
      <c r="A135" s="12" t="s">
        <v>9</v>
      </c>
      <c r="B135" s="12"/>
      <c r="C135" s="28" t="s">
        <v>6</v>
      </c>
      <c r="D135" s="60">
        <v>602</v>
      </c>
      <c r="E135" s="60">
        <f aca="true" t="shared" si="60" ref="E135:E146">G135+H135+I135+J135</f>
        <v>602</v>
      </c>
      <c r="F135" s="46">
        <f t="shared" si="59"/>
        <v>147</v>
      </c>
      <c r="G135" s="59">
        <v>147</v>
      </c>
      <c r="H135" s="59">
        <v>147</v>
      </c>
      <c r="I135" s="17">
        <v>149</v>
      </c>
      <c r="J135" s="18">
        <v>159</v>
      </c>
      <c r="K135" s="18">
        <v>51.8</v>
      </c>
      <c r="L135" s="20">
        <f t="shared" si="56"/>
        <v>35.23809523809524</v>
      </c>
      <c r="M135" s="18">
        <f t="shared" si="57"/>
        <v>8.604651162790697</v>
      </c>
      <c r="N135" s="18">
        <f t="shared" si="58"/>
        <v>8.604651162790697</v>
      </c>
    </row>
    <row r="136" spans="1:14" ht="12.75">
      <c r="A136" s="12" t="s">
        <v>10</v>
      </c>
      <c r="B136" s="12"/>
      <c r="C136" s="28" t="s">
        <v>21</v>
      </c>
      <c r="D136" s="60">
        <v>20</v>
      </c>
      <c r="E136" s="60">
        <f t="shared" si="60"/>
        <v>20</v>
      </c>
      <c r="F136" s="46">
        <f t="shared" si="59"/>
        <v>4.8</v>
      </c>
      <c r="G136" s="59">
        <v>4.8</v>
      </c>
      <c r="H136" s="59">
        <v>4.8</v>
      </c>
      <c r="I136" s="17">
        <v>4.8</v>
      </c>
      <c r="J136" s="18">
        <v>5.6</v>
      </c>
      <c r="K136" s="18">
        <v>6.5</v>
      </c>
      <c r="L136" s="20">
        <f t="shared" si="56"/>
        <v>135.41666666666669</v>
      </c>
      <c r="M136" s="18">
        <f t="shared" si="57"/>
        <v>32.5</v>
      </c>
      <c r="N136" s="18">
        <f t="shared" si="58"/>
        <v>32.5</v>
      </c>
    </row>
    <row r="137" spans="1:14" ht="24">
      <c r="A137" s="13" t="s">
        <v>11</v>
      </c>
      <c r="B137" s="13"/>
      <c r="C137" s="28" t="s">
        <v>17</v>
      </c>
      <c r="D137" s="60">
        <v>70</v>
      </c>
      <c r="E137" s="60">
        <f t="shared" si="60"/>
        <v>70</v>
      </c>
      <c r="F137" s="46">
        <f t="shared" si="59"/>
        <v>13.5</v>
      </c>
      <c r="G137" s="59">
        <v>13.5</v>
      </c>
      <c r="H137" s="59">
        <v>17</v>
      </c>
      <c r="I137" s="17">
        <v>19.5</v>
      </c>
      <c r="J137" s="18">
        <v>20</v>
      </c>
      <c r="K137" s="18">
        <v>32.4</v>
      </c>
      <c r="L137" s="20">
        <f t="shared" si="56"/>
        <v>240</v>
      </c>
      <c r="M137" s="18">
        <f t="shared" si="57"/>
        <v>46.285714285714285</v>
      </c>
      <c r="N137" s="18">
        <f t="shared" si="58"/>
        <v>46.285714285714285</v>
      </c>
    </row>
    <row r="138" spans="1:14" ht="24" hidden="1">
      <c r="A138" s="30" t="s">
        <v>40</v>
      </c>
      <c r="B138" s="30"/>
      <c r="C138" s="28" t="s">
        <v>41</v>
      </c>
      <c r="D138" s="60"/>
      <c r="E138" s="60">
        <f t="shared" si="60"/>
        <v>0</v>
      </c>
      <c r="F138" s="46">
        <f t="shared" si="59"/>
        <v>0</v>
      </c>
      <c r="G138" s="59"/>
      <c r="H138" s="59"/>
      <c r="I138" s="17"/>
      <c r="J138" s="18"/>
      <c r="K138" s="18"/>
      <c r="L138" s="20"/>
      <c r="M138" s="18"/>
      <c r="N138" s="18"/>
    </row>
    <row r="139" spans="1:14" ht="18.75" customHeight="1" hidden="1">
      <c r="A139" s="30" t="s">
        <v>18</v>
      </c>
      <c r="B139" s="30"/>
      <c r="C139" s="28" t="s">
        <v>15</v>
      </c>
      <c r="D139" s="60"/>
      <c r="E139" s="60">
        <f t="shared" si="60"/>
        <v>0</v>
      </c>
      <c r="F139" s="46">
        <f t="shared" si="59"/>
        <v>0</v>
      </c>
      <c r="G139" s="59"/>
      <c r="H139" s="59"/>
      <c r="I139" s="17"/>
      <c r="J139" s="18"/>
      <c r="K139" s="18"/>
      <c r="L139" s="20" t="e">
        <f>K139*100/F139</f>
        <v>#DIV/0!</v>
      </c>
      <c r="M139" s="18" t="e">
        <f>K139*100/E139</f>
        <v>#DIV/0!</v>
      </c>
      <c r="N139" s="18"/>
    </row>
    <row r="140" spans="1:14" ht="15" customHeight="1" hidden="1">
      <c r="A140" s="21" t="s">
        <v>12</v>
      </c>
      <c r="B140" s="21"/>
      <c r="C140" s="28" t="s">
        <v>7</v>
      </c>
      <c r="D140" s="60"/>
      <c r="E140" s="60">
        <f t="shared" si="60"/>
        <v>0</v>
      </c>
      <c r="F140" s="46">
        <f t="shared" si="59"/>
        <v>0</v>
      </c>
      <c r="G140" s="59"/>
      <c r="H140" s="59"/>
      <c r="I140" s="17"/>
      <c r="J140" s="18"/>
      <c r="K140" s="18"/>
      <c r="L140" s="20"/>
      <c r="M140" s="18"/>
      <c r="N140" s="18"/>
    </row>
    <row r="141" spans="1:14" ht="18" customHeight="1">
      <c r="A141" s="30" t="s">
        <v>37</v>
      </c>
      <c r="B141" s="69"/>
      <c r="C141" s="16" t="s">
        <v>38</v>
      </c>
      <c r="D141" s="60"/>
      <c r="E141" s="60">
        <f t="shared" si="60"/>
        <v>0</v>
      </c>
      <c r="F141" s="46">
        <f t="shared" si="59"/>
        <v>0</v>
      </c>
      <c r="G141" s="59"/>
      <c r="H141" s="59"/>
      <c r="I141" s="17"/>
      <c r="J141" s="18"/>
      <c r="K141" s="17">
        <v>80.5</v>
      </c>
      <c r="L141" s="20"/>
      <c r="M141" s="18"/>
      <c r="N141" s="18"/>
    </row>
    <row r="142" spans="1:14" ht="18" customHeight="1">
      <c r="A142" s="65" t="s">
        <v>1</v>
      </c>
      <c r="B142" s="65"/>
      <c r="C142" s="32" t="s">
        <v>0</v>
      </c>
      <c r="D142" s="33">
        <f aca="true" t="shared" si="61" ref="D142:J142">D143+D144+D145</f>
        <v>45067.3</v>
      </c>
      <c r="E142" s="33">
        <f>E143+E144+E146</f>
        <v>48655.4</v>
      </c>
      <c r="F142" s="33">
        <f t="shared" si="61"/>
        <v>12976.3</v>
      </c>
      <c r="G142" s="33">
        <f>G143+G144+G145+G146</f>
        <v>12976.3</v>
      </c>
      <c r="H142" s="33">
        <f t="shared" si="61"/>
        <v>9388.5</v>
      </c>
      <c r="I142" s="33">
        <f t="shared" si="61"/>
        <v>10888.5</v>
      </c>
      <c r="J142" s="33">
        <f t="shared" si="61"/>
        <v>15402.1</v>
      </c>
      <c r="K142" s="33">
        <f>K143+K144+K145+K146</f>
        <v>8478.9</v>
      </c>
      <c r="L142" s="27">
        <f aca="true" t="shared" si="62" ref="L142:L147">K142*100/F142</f>
        <v>65.34143014572722</v>
      </c>
      <c r="M142" s="24">
        <f aca="true" t="shared" si="63" ref="M142:M147">K142*100/E142</f>
        <v>17.426431598548156</v>
      </c>
      <c r="N142" s="24">
        <f>K142*100/D142</f>
        <v>18.8138628229337</v>
      </c>
    </row>
    <row r="143" spans="1:14" ht="24">
      <c r="A143" s="83" t="s">
        <v>63</v>
      </c>
      <c r="B143" s="12"/>
      <c r="C143" s="34" t="s">
        <v>20</v>
      </c>
      <c r="D143" s="59">
        <v>45067.3</v>
      </c>
      <c r="E143" s="60">
        <f>G143+H143+I143+J143</f>
        <v>48655.4</v>
      </c>
      <c r="F143" s="46">
        <f t="shared" si="59"/>
        <v>12976.3</v>
      </c>
      <c r="G143" s="59">
        <v>12976.3</v>
      </c>
      <c r="H143" s="59">
        <v>9388.5</v>
      </c>
      <c r="I143" s="17">
        <v>10888.5</v>
      </c>
      <c r="J143" s="18">
        <v>15402.1</v>
      </c>
      <c r="K143" s="18">
        <v>8478.9</v>
      </c>
      <c r="L143" s="20">
        <f t="shared" si="62"/>
        <v>65.34143014572722</v>
      </c>
      <c r="M143" s="18">
        <f t="shared" si="63"/>
        <v>17.426431598548156</v>
      </c>
      <c r="N143" s="18">
        <f>K143*100/D143</f>
        <v>18.8138628229337</v>
      </c>
    </row>
    <row r="144" spans="1:14" ht="12.75" customHeight="1" hidden="1">
      <c r="A144" s="83" t="s">
        <v>2</v>
      </c>
      <c r="B144" s="14"/>
      <c r="C144" s="35" t="s">
        <v>19</v>
      </c>
      <c r="D144" s="35"/>
      <c r="E144" s="60">
        <f t="shared" si="60"/>
        <v>0</v>
      </c>
      <c r="F144" s="46">
        <f t="shared" si="59"/>
        <v>0</v>
      </c>
      <c r="G144" s="70"/>
      <c r="H144" s="70"/>
      <c r="I144" s="17"/>
      <c r="J144" s="18"/>
      <c r="K144" s="18"/>
      <c r="L144" s="20" t="e">
        <f t="shared" si="62"/>
        <v>#DIV/0!</v>
      </c>
      <c r="M144" s="18" t="e">
        <f t="shared" si="63"/>
        <v>#DIV/0!</v>
      </c>
      <c r="N144" s="18" t="e">
        <f>K144*100/D144</f>
        <v>#DIV/0!</v>
      </c>
    </row>
    <row r="145" spans="1:14" ht="33" customHeight="1" hidden="1">
      <c r="A145" s="83" t="s">
        <v>62</v>
      </c>
      <c r="B145" s="68"/>
      <c r="C145" s="19" t="s">
        <v>60</v>
      </c>
      <c r="D145" s="35"/>
      <c r="E145" s="60">
        <f t="shared" si="60"/>
        <v>0</v>
      </c>
      <c r="F145" s="46">
        <f t="shared" si="59"/>
        <v>0</v>
      </c>
      <c r="G145" s="70"/>
      <c r="H145" s="70"/>
      <c r="I145" s="17"/>
      <c r="J145" s="18"/>
      <c r="K145" s="18"/>
      <c r="L145" s="20" t="e">
        <f t="shared" si="62"/>
        <v>#DIV/0!</v>
      </c>
      <c r="M145" s="18" t="e">
        <f t="shared" si="63"/>
        <v>#DIV/0!</v>
      </c>
      <c r="N145" s="18" t="e">
        <f>K145*100/D145</f>
        <v>#DIV/0!</v>
      </c>
    </row>
    <row r="146" spans="1:14" ht="16.5" customHeight="1" hidden="1">
      <c r="A146" s="83" t="s">
        <v>71</v>
      </c>
      <c r="B146" s="14"/>
      <c r="C146" s="35" t="s">
        <v>19</v>
      </c>
      <c r="D146" s="35"/>
      <c r="E146" s="60">
        <f t="shared" si="60"/>
        <v>0</v>
      </c>
      <c r="F146" s="46">
        <f t="shared" si="59"/>
        <v>0</v>
      </c>
      <c r="G146" s="70"/>
      <c r="H146" s="70"/>
      <c r="I146" s="17"/>
      <c r="J146" s="18"/>
      <c r="K146" s="18"/>
      <c r="L146" s="20"/>
      <c r="M146" s="18"/>
      <c r="N146" s="18"/>
    </row>
    <row r="147" spans="1:14" ht="12.75">
      <c r="A147" s="21"/>
      <c r="B147" s="22"/>
      <c r="C147" s="23" t="s">
        <v>4</v>
      </c>
      <c r="D147" s="24">
        <f aca="true" t="shared" si="64" ref="D147:J147">D142+D132</f>
        <v>55933</v>
      </c>
      <c r="E147" s="24">
        <f t="shared" si="64"/>
        <v>59521.100000000006</v>
      </c>
      <c r="F147" s="24">
        <f t="shared" si="64"/>
        <v>15837.8</v>
      </c>
      <c r="G147" s="64">
        <f t="shared" si="64"/>
        <v>15837.8</v>
      </c>
      <c r="H147" s="64">
        <f t="shared" si="64"/>
        <v>12203.4</v>
      </c>
      <c r="I147" s="64">
        <f t="shared" si="64"/>
        <v>13581</v>
      </c>
      <c r="J147" s="24">
        <f t="shared" si="64"/>
        <v>17898.9</v>
      </c>
      <c r="K147" s="24">
        <f>K142+K132</f>
        <v>11253.7</v>
      </c>
      <c r="L147" s="27">
        <f t="shared" si="62"/>
        <v>71.0559547411888</v>
      </c>
      <c r="M147" s="24">
        <f t="shared" si="63"/>
        <v>18.907076650129113</v>
      </c>
      <c r="N147" s="24">
        <f>K147*100/D147</f>
        <v>20.11996495807484</v>
      </c>
    </row>
    <row r="148" spans="1:14" ht="12.75">
      <c r="A148" s="204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7"/>
      <c r="M148" s="24"/>
      <c r="N148" s="18"/>
    </row>
    <row r="149" spans="1:14" ht="12.75">
      <c r="A149" s="197" t="s">
        <v>30</v>
      </c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</row>
    <row r="150" spans="1:14" ht="12.75">
      <c r="A150" s="25" t="s">
        <v>3</v>
      </c>
      <c r="B150" s="25"/>
      <c r="C150" s="26" t="s">
        <v>64</v>
      </c>
      <c r="D150" s="27">
        <f aca="true" t="shared" si="65" ref="D150:J150">D151+D154+D156+D158+D155+D159+D157+D160+D153+D152</f>
        <v>24879.8</v>
      </c>
      <c r="E150" s="27">
        <f t="shared" si="65"/>
        <v>25996.5</v>
      </c>
      <c r="F150" s="27">
        <f t="shared" si="65"/>
        <v>7356.8</v>
      </c>
      <c r="G150" s="27">
        <f t="shared" si="65"/>
        <v>7356.8</v>
      </c>
      <c r="H150" s="27">
        <f t="shared" si="65"/>
        <v>5768.5</v>
      </c>
      <c r="I150" s="27">
        <f t="shared" si="65"/>
        <v>6277</v>
      </c>
      <c r="J150" s="27">
        <f t="shared" si="65"/>
        <v>6594.2</v>
      </c>
      <c r="K150" s="27">
        <f>K151+K154+K156+K158+K155+K159+K157+K160+K153+K152+0.1</f>
        <v>6039</v>
      </c>
      <c r="L150" s="27">
        <f aca="true" t="shared" si="66" ref="L150:L156">K150*100/F150</f>
        <v>82.08732057416267</v>
      </c>
      <c r="M150" s="24">
        <f aca="true" t="shared" si="67" ref="M150:M156">K150*100/E150</f>
        <v>23.230050199065257</v>
      </c>
      <c r="N150" s="24">
        <f aca="true" t="shared" si="68" ref="N150:N156">K150*100/D150</f>
        <v>24.272703156777787</v>
      </c>
    </row>
    <row r="151" spans="1:18" ht="12.75">
      <c r="A151" s="12" t="s">
        <v>74</v>
      </c>
      <c r="B151" s="12"/>
      <c r="C151" s="55" t="s">
        <v>75</v>
      </c>
      <c r="D151" s="60">
        <v>14820</v>
      </c>
      <c r="E151" s="59">
        <f>G151+H151+I151+J151</f>
        <v>14820</v>
      </c>
      <c r="F151" s="46">
        <f aca="true" t="shared" si="69" ref="F151:F164">G151</f>
        <v>3350</v>
      </c>
      <c r="G151" s="59">
        <v>3350</v>
      </c>
      <c r="H151" s="59">
        <v>3550</v>
      </c>
      <c r="I151" s="17">
        <v>4050.6</v>
      </c>
      <c r="J151" s="18">
        <v>3869.4</v>
      </c>
      <c r="K151" s="18">
        <v>3712.8</v>
      </c>
      <c r="L151" s="20">
        <f t="shared" si="66"/>
        <v>110.82985074626866</v>
      </c>
      <c r="M151" s="18">
        <f t="shared" si="67"/>
        <v>25.05263157894737</v>
      </c>
      <c r="N151" s="18">
        <f t="shared" si="68"/>
        <v>25.05263157894737</v>
      </c>
      <c r="R151" s="2"/>
    </row>
    <row r="152" spans="1:14" ht="25.5" customHeight="1">
      <c r="A152" s="12" t="s">
        <v>73</v>
      </c>
      <c r="B152" s="12"/>
      <c r="C152" s="28" t="s">
        <v>72</v>
      </c>
      <c r="D152" s="60">
        <v>7486.8</v>
      </c>
      <c r="E152" s="59">
        <f>G152+H152+I152+J152</f>
        <v>8103.5</v>
      </c>
      <c r="F152" s="46">
        <f t="shared" si="69"/>
        <v>2515.7</v>
      </c>
      <c r="G152" s="59">
        <v>2515.7</v>
      </c>
      <c r="H152" s="59">
        <v>1833.7</v>
      </c>
      <c r="I152" s="17">
        <v>1782.8</v>
      </c>
      <c r="J152" s="18">
        <v>1971.3</v>
      </c>
      <c r="K152" s="18">
        <v>2089.9</v>
      </c>
      <c r="L152" s="20">
        <f t="shared" si="66"/>
        <v>83.0742934372143</v>
      </c>
      <c r="M152" s="18">
        <f t="shared" si="67"/>
        <v>25.790090701548714</v>
      </c>
      <c r="N152" s="18">
        <f t="shared" si="68"/>
        <v>27.91446278783993</v>
      </c>
    </row>
    <row r="153" spans="1:14" ht="12.75" customHeight="1">
      <c r="A153" s="12" t="s">
        <v>8</v>
      </c>
      <c r="B153" s="12"/>
      <c r="C153" s="28" t="s">
        <v>5</v>
      </c>
      <c r="D153" s="60">
        <v>5</v>
      </c>
      <c r="E153" s="59">
        <f aca="true" t="shared" si="70" ref="E153:E164">G153+H153+I153+J153</f>
        <v>5</v>
      </c>
      <c r="F153" s="46">
        <f t="shared" si="69"/>
        <v>1.3</v>
      </c>
      <c r="G153" s="59">
        <v>1.3</v>
      </c>
      <c r="H153" s="59">
        <v>1.5</v>
      </c>
      <c r="I153" s="17">
        <v>1</v>
      </c>
      <c r="J153" s="18">
        <v>1.2</v>
      </c>
      <c r="K153" s="18">
        <v>36.5</v>
      </c>
      <c r="L153" s="20">
        <f t="shared" si="66"/>
        <v>2807.6923076923076</v>
      </c>
      <c r="M153" s="18">
        <f t="shared" si="67"/>
        <v>730</v>
      </c>
      <c r="N153" s="18">
        <f t="shared" si="68"/>
        <v>730</v>
      </c>
    </row>
    <row r="154" spans="1:14" ht="12.75">
      <c r="A154" s="12" t="s">
        <v>9</v>
      </c>
      <c r="B154" s="12"/>
      <c r="C154" s="28" t="s">
        <v>6</v>
      </c>
      <c r="D154" s="60">
        <v>1695</v>
      </c>
      <c r="E154" s="59">
        <f t="shared" si="70"/>
        <v>1695</v>
      </c>
      <c r="F154" s="46">
        <f t="shared" si="69"/>
        <v>362.6</v>
      </c>
      <c r="G154" s="59">
        <v>362.6</v>
      </c>
      <c r="H154" s="59">
        <v>308.2</v>
      </c>
      <c r="I154" s="17">
        <v>362.1</v>
      </c>
      <c r="J154" s="18">
        <v>662.1</v>
      </c>
      <c r="K154" s="18">
        <v>109.4</v>
      </c>
      <c r="L154" s="20">
        <f t="shared" si="66"/>
        <v>30.170987313844456</v>
      </c>
      <c r="M154" s="18">
        <f t="shared" si="67"/>
        <v>6.454277286135693</v>
      </c>
      <c r="N154" s="18">
        <f t="shared" si="68"/>
        <v>6.454277286135693</v>
      </c>
    </row>
    <row r="155" spans="1:14" ht="12.75">
      <c r="A155" s="12" t="s">
        <v>10</v>
      </c>
      <c r="B155" s="12"/>
      <c r="C155" s="28" t="s">
        <v>21</v>
      </c>
      <c r="D155" s="60">
        <v>67.1</v>
      </c>
      <c r="E155" s="59">
        <f t="shared" si="70"/>
        <v>67.1</v>
      </c>
      <c r="F155" s="46">
        <f t="shared" si="69"/>
        <v>18.3</v>
      </c>
      <c r="G155" s="59">
        <v>18.3</v>
      </c>
      <c r="H155" s="59">
        <v>13.7</v>
      </c>
      <c r="I155" s="17">
        <v>18.9</v>
      </c>
      <c r="J155" s="18">
        <v>16.2</v>
      </c>
      <c r="K155" s="18">
        <v>22.5</v>
      </c>
      <c r="L155" s="20">
        <f t="shared" si="66"/>
        <v>122.95081967213115</v>
      </c>
      <c r="M155" s="18">
        <f t="shared" si="67"/>
        <v>33.53204172876304</v>
      </c>
      <c r="N155" s="18">
        <f t="shared" si="68"/>
        <v>33.53204172876304</v>
      </c>
    </row>
    <row r="156" spans="1:14" ht="24">
      <c r="A156" s="13" t="s">
        <v>11</v>
      </c>
      <c r="B156" s="13"/>
      <c r="C156" s="28" t="s">
        <v>17</v>
      </c>
      <c r="D156" s="60">
        <v>805.9</v>
      </c>
      <c r="E156" s="59">
        <f t="shared" si="70"/>
        <v>805.9</v>
      </c>
      <c r="F156" s="46">
        <f t="shared" si="69"/>
        <v>608.9</v>
      </c>
      <c r="G156" s="59">
        <v>608.9</v>
      </c>
      <c r="H156" s="59">
        <v>61.4</v>
      </c>
      <c r="I156" s="17">
        <v>61.6</v>
      </c>
      <c r="J156" s="18">
        <v>74</v>
      </c>
      <c r="K156" s="18">
        <v>3.6</v>
      </c>
      <c r="L156" s="20">
        <f t="shared" si="66"/>
        <v>0.5912300870422073</v>
      </c>
      <c r="M156" s="18">
        <f t="shared" si="67"/>
        <v>0.44670554659387024</v>
      </c>
      <c r="N156" s="18">
        <f t="shared" si="68"/>
        <v>0.44670554659387024</v>
      </c>
    </row>
    <row r="157" spans="1:14" ht="24" customHeight="1">
      <c r="A157" s="30" t="s">
        <v>40</v>
      </c>
      <c r="B157" s="30"/>
      <c r="C157" s="28" t="s">
        <v>41</v>
      </c>
      <c r="D157" s="60"/>
      <c r="E157" s="59">
        <f t="shared" si="70"/>
        <v>500</v>
      </c>
      <c r="F157" s="46">
        <f t="shared" si="69"/>
        <v>500</v>
      </c>
      <c r="G157" s="59">
        <v>500</v>
      </c>
      <c r="H157" s="59"/>
      <c r="I157" s="17"/>
      <c r="J157" s="18"/>
      <c r="K157" s="18">
        <v>61</v>
      </c>
      <c r="L157" s="20"/>
      <c r="M157" s="18"/>
      <c r="N157" s="18"/>
    </row>
    <row r="158" spans="1:14" ht="18" customHeight="1" hidden="1">
      <c r="A158" s="29" t="s">
        <v>18</v>
      </c>
      <c r="B158" s="29"/>
      <c r="C158" s="28" t="s">
        <v>15</v>
      </c>
      <c r="D158" s="60"/>
      <c r="E158" s="59">
        <f t="shared" si="70"/>
        <v>0</v>
      </c>
      <c r="F158" s="46">
        <f t="shared" si="69"/>
        <v>0</v>
      </c>
      <c r="G158" s="59"/>
      <c r="H158" s="59"/>
      <c r="I158" s="17"/>
      <c r="J158" s="18"/>
      <c r="K158" s="18"/>
      <c r="L158" s="20"/>
      <c r="M158" s="18"/>
      <c r="N158" s="18"/>
    </row>
    <row r="159" spans="1:14" ht="21" customHeight="1">
      <c r="A159" s="21" t="s">
        <v>12</v>
      </c>
      <c r="B159" s="21"/>
      <c r="C159" s="28" t="s">
        <v>7</v>
      </c>
      <c r="D159" s="60"/>
      <c r="E159" s="59">
        <f t="shared" si="70"/>
        <v>0</v>
      </c>
      <c r="F159" s="46">
        <f t="shared" si="69"/>
        <v>0</v>
      </c>
      <c r="G159" s="59"/>
      <c r="H159" s="59"/>
      <c r="I159" s="17"/>
      <c r="J159" s="18"/>
      <c r="K159" s="18">
        <v>3.2</v>
      </c>
      <c r="L159" s="20"/>
      <c r="M159" s="18"/>
      <c r="N159" s="18"/>
    </row>
    <row r="160" spans="1:14" ht="16.5" customHeight="1">
      <c r="A160" s="29" t="s">
        <v>37</v>
      </c>
      <c r="B160" s="61"/>
      <c r="C160" s="16" t="s">
        <v>38</v>
      </c>
      <c r="D160" s="60"/>
      <c r="E160" s="59">
        <f t="shared" si="70"/>
        <v>0</v>
      </c>
      <c r="F160" s="46">
        <f t="shared" si="69"/>
        <v>0</v>
      </c>
      <c r="G160" s="59"/>
      <c r="H160" s="59"/>
      <c r="I160" s="17"/>
      <c r="J160" s="18"/>
      <c r="K160" s="18"/>
      <c r="L160" s="27"/>
      <c r="M160" s="24"/>
      <c r="N160" s="18"/>
    </row>
    <row r="161" spans="1:14" ht="12.75">
      <c r="A161" s="25" t="s">
        <v>1</v>
      </c>
      <c r="B161" s="25"/>
      <c r="C161" s="32" t="s">
        <v>0</v>
      </c>
      <c r="D161" s="33">
        <f>D162+D163+D164</f>
        <v>41406.8</v>
      </c>
      <c r="E161" s="33">
        <f aca="true" t="shared" si="71" ref="E161:J161">E162+E163+E164</f>
        <v>45428.399999999994</v>
      </c>
      <c r="F161" s="33">
        <f t="shared" si="71"/>
        <v>14341</v>
      </c>
      <c r="G161" s="33">
        <f t="shared" si="71"/>
        <v>14341</v>
      </c>
      <c r="H161" s="33">
        <f t="shared" si="71"/>
        <v>10408.2</v>
      </c>
      <c r="I161" s="33">
        <f t="shared" si="71"/>
        <v>10223</v>
      </c>
      <c r="J161" s="33">
        <f t="shared" si="71"/>
        <v>10456.2</v>
      </c>
      <c r="K161" s="33">
        <f>K162+K163+K164</f>
        <v>9989.4</v>
      </c>
      <c r="L161" s="27">
        <f>K161*100/F161</f>
        <v>69.6562303883969</v>
      </c>
      <c r="M161" s="24">
        <f>K161*100/E161</f>
        <v>21.989328261616084</v>
      </c>
      <c r="N161" s="24">
        <f>K161*100/D161</f>
        <v>24.125022943091473</v>
      </c>
    </row>
    <row r="162" spans="1:14" ht="24">
      <c r="A162" s="83" t="s">
        <v>63</v>
      </c>
      <c r="B162" s="12"/>
      <c r="C162" s="34" t="s">
        <v>20</v>
      </c>
      <c r="D162" s="59">
        <v>41406.8</v>
      </c>
      <c r="E162" s="59">
        <f t="shared" si="70"/>
        <v>45428.399999999994</v>
      </c>
      <c r="F162" s="46">
        <f t="shared" si="69"/>
        <v>14341</v>
      </c>
      <c r="G162" s="59">
        <v>14341</v>
      </c>
      <c r="H162" s="59">
        <v>10408.2</v>
      </c>
      <c r="I162" s="17">
        <v>10223</v>
      </c>
      <c r="J162" s="18">
        <v>10456.2</v>
      </c>
      <c r="K162" s="18">
        <v>9989.4</v>
      </c>
      <c r="L162" s="20">
        <f>K162*100/F162</f>
        <v>69.6562303883969</v>
      </c>
      <c r="M162" s="18">
        <f>K162*100/E162</f>
        <v>21.989328261616084</v>
      </c>
      <c r="N162" s="18">
        <f>K162*100/D162</f>
        <v>24.125022943091473</v>
      </c>
    </row>
    <row r="163" spans="1:14" ht="30.75" customHeight="1" hidden="1">
      <c r="A163" s="83" t="s">
        <v>71</v>
      </c>
      <c r="B163" s="14"/>
      <c r="C163" s="35" t="s">
        <v>19</v>
      </c>
      <c r="D163" s="35"/>
      <c r="E163" s="59">
        <f t="shared" si="70"/>
        <v>0</v>
      </c>
      <c r="F163" s="46">
        <f t="shared" si="69"/>
        <v>0</v>
      </c>
      <c r="G163" s="59"/>
      <c r="H163" s="59"/>
      <c r="I163" s="17"/>
      <c r="J163" s="18"/>
      <c r="K163" s="18"/>
      <c r="L163" s="20" t="e">
        <f>K163*100/F163</f>
        <v>#DIV/0!</v>
      </c>
      <c r="M163" s="18" t="e">
        <f>K163*100/E163</f>
        <v>#DIV/0!</v>
      </c>
      <c r="N163" s="18"/>
    </row>
    <row r="164" spans="1:14" ht="36" hidden="1">
      <c r="A164" s="83" t="s">
        <v>62</v>
      </c>
      <c r="B164" s="68"/>
      <c r="C164" s="19" t="s">
        <v>60</v>
      </c>
      <c r="D164" s="35"/>
      <c r="E164" s="59">
        <f t="shared" si="70"/>
        <v>0</v>
      </c>
      <c r="F164" s="46">
        <f t="shared" si="69"/>
        <v>0</v>
      </c>
      <c r="G164" s="59"/>
      <c r="H164" s="59"/>
      <c r="I164" s="17"/>
      <c r="J164" s="18"/>
      <c r="K164" s="18"/>
      <c r="L164" s="20" t="e">
        <f>K164*100/F164</f>
        <v>#DIV/0!</v>
      </c>
      <c r="M164" s="18" t="e">
        <f>K164*100/E164</f>
        <v>#DIV/0!</v>
      </c>
      <c r="N164" s="18"/>
    </row>
    <row r="165" spans="1:14" ht="12.75">
      <c r="A165" s="21"/>
      <c r="B165" s="22"/>
      <c r="C165" s="23" t="s">
        <v>4</v>
      </c>
      <c r="D165" s="24">
        <f aca="true" t="shared" si="72" ref="D165:J165">D161+D150</f>
        <v>66286.6</v>
      </c>
      <c r="E165" s="24">
        <f t="shared" si="72"/>
        <v>71424.9</v>
      </c>
      <c r="F165" s="24">
        <f t="shared" si="72"/>
        <v>21697.8</v>
      </c>
      <c r="G165" s="24">
        <f t="shared" si="72"/>
        <v>21697.8</v>
      </c>
      <c r="H165" s="24">
        <f t="shared" si="72"/>
        <v>16176.7</v>
      </c>
      <c r="I165" s="24">
        <f t="shared" si="72"/>
        <v>16500</v>
      </c>
      <c r="J165" s="24">
        <f t="shared" si="72"/>
        <v>17050.4</v>
      </c>
      <c r="K165" s="24">
        <f>K161+K150+0.1</f>
        <v>16028.5</v>
      </c>
      <c r="L165" s="27">
        <f>K165*100/F165</f>
        <v>73.87154458055656</v>
      </c>
      <c r="M165" s="24">
        <f>K165*100/E165</f>
        <v>22.44105347014837</v>
      </c>
      <c r="N165" s="24">
        <f>K165*100/D165</f>
        <v>24.180603621244714</v>
      </c>
    </row>
    <row r="166" spans="1:14" ht="12.75">
      <c r="A166" s="191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27"/>
      <c r="M166" s="24"/>
      <c r="N166" s="18"/>
    </row>
    <row r="167" spans="1:14" ht="12.75">
      <c r="A167" s="197" t="s">
        <v>31</v>
      </c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</row>
    <row r="168" spans="1:14" ht="12.75">
      <c r="A168" s="25" t="s">
        <v>3</v>
      </c>
      <c r="B168" s="25"/>
      <c r="C168" s="26" t="s">
        <v>64</v>
      </c>
      <c r="D168" s="27">
        <f aca="true" t="shared" si="73" ref="D168:J168">D169+D172+D173+D174+D176+D177+D178+D175+D170+D171</f>
        <v>7324.9</v>
      </c>
      <c r="E168" s="27">
        <f t="shared" si="73"/>
        <v>7324.9</v>
      </c>
      <c r="F168" s="27">
        <f t="shared" si="73"/>
        <v>1574.8</v>
      </c>
      <c r="G168" s="27">
        <f t="shared" si="73"/>
        <v>1574.8</v>
      </c>
      <c r="H168" s="27">
        <f t="shared" si="73"/>
        <v>1661.5</v>
      </c>
      <c r="I168" s="27">
        <f t="shared" si="73"/>
        <v>1830.8</v>
      </c>
      <c r="J168" s="27">
        <f t="shared" si="73"/>
        <v>2257.8</v>
      </c>
      <c r="K168" s="27">
        <f>K169+K172+K173+K174+K176+K177+K178+K175+K170+K171</f>
        <v>1688.9000000000003</v>
      </c>
      <c r="L168" s="27">
        <f aca="true" t="shared" si="74" ref="L168:L176">K168*100/F168</f>
        <v>107.245364490729</v>
      </c>
      <c r="M168" s="24">
        <f aca="true" t="shared" si="75" ref="M168:M176">K168*100/E168</f>
        <v>23.056970061024728</v>
      </c>
      <c r="N168" s="24">
        <f>K168*100/D168</f>
        <v>23.056970061024728</v>
      </c>
    </row>
    <row r="169" spans="1:18" ht="12.75">
      <c r="A169" s="12" t="s">
        <v>74</v>
      </c>
      <c r="B169" s="12"/>
      <c r="C169" s="55" t="s">
        <v>75</v>
      </c>
      <c r="D169" s="60">
        <v>2750</v>
      </c>
      <c r="E169" s="59">
        <f>G169+H169+I169+J169</f>
        <v>2750</v>
      </c>
      <c r="F169" s="46">
        <f aca="true" t="shared" si="76" ref="F169:F180">G169</f>
        <v>687.5</v>
      </c>
      <c r="G169" s="60">
        <v>687.5</v>
      </c>
      <c r="H169" s="60">
        <v>687.5</v>
      </c>
      <c r="I169" s="17">
        <v>687.5</v>
      </c>
      <c r="J169" s="18">
        <v>687.5</v>
      </c>
      <c r="K169" s="18">
        <v>608.1</v>
      </c>
      <c r="L169" s="20">
        <f t="shared" si="74"/>
        <v>88.4509090909091</v>
      </c>
      <c r="M169" s="18">
        <f t="shared" si="75"/>
        <v>22.112727272727273</v>
      </c>
      <c r="N169" s="18">
        <f>K169*100/D169</f>
        <v>22.112727272727273</v>
      </c>
      <c r="R169" s="2"/>
    </row>
    <row r="170" spans="1:14" ht="26.25" customHeight="1">
      <c r="A170" s="12" t="s">
        <v>73</v>
      </c>
      <c r="B170" s="12"/>
      <c r="C170" s="28" t="s">
        <v>72</v>
      </c>
      <c r="D170" s="60">
        <v>3083.2</v>
      </c>
      <c r="E170" s="59">
        <f>G170+H170+I170+J170</f>
        <v>3083.2</v>
      </c>
      <c r="F170" s="46">
        <f t="shared" si="76"/>
        <v>770.8</v>
      </c>
      <c r="G170" s="60">
        <v>770.8</v>
      </c>
      <c r="H170" s="60">
        <v>770.8</v>
      </c>
      <c r="I170" s="17">
        <v>770.8</v>
      </c>
      <c r="J170" s="18">
        <v>770.8</v>
      </c>
      <c r="K170" s="18">
        <v>860.7</v>
      </c>
      <c r="L170" s="20">
        <f t="shared" si="74"/>
        <v>111.66320705760249</v>
      </c>
      <c r="M170" s="18">
        <f t="shared" si="75"/>
        <v>27.915801764400623</v>
      </c>
      <c r="N170" s="18">
        <f>K170*100/D170</f>
        <v>27.915801764400623</v>
      </c>
    </row>
    <row r="171" spans="1:14" ht="17.25" customHeight="1">
      <c r="A171" s="12" t="s">
        <v>8</v>
      </c>
      <c r="B171" s="12"/>
      <c r="C171" s="28" t="s">
        <v>5</v>
      </c>
      <c r="D171" s="60">
        <v>2</v>
      </c>
      <c r="E171" s="59">
        <f>G171+H171+I171+J171</f>
        <v>2</v>
      </c>
      <c r="F171" s="46">
        <f t="shared" si="76"/>
        <v>0</v>
      </c>
      <c r="G171" s="60"/>
      <c r="H171" s="60">
        <v>2</v>
      </c>
      <c r="I171" s="17"/>
      <c r="J171" s="18"/>
      <c r="K171" s="18">
        <v>0.2</v>
      </c>
      <c r="L171" s="20"/>
      <c r="M171" s="18">
        <f t="shared" si="75"/>
        <v>10</v>
      </c>
      <c r="N171" s="18"/>
    </row>
    <row r="172" spans="1:14" ht="12.75">
      <c r="A172" s="12" t="s">
        <v>9</v>
      </c>
      <c r="B172" s="12"/>
      <c r="C172" s="28" t="s">
        <v>6</v>
      </c>
      <c r="D172" s="60">
        <v>685</v>
      </c>
      <c r="E172" s="59">
        <f>G172+H172+I172+J172</f>
        <v>685</v>
      </c>
      <c r="F172" s="46">
        <f t="shared" si="76"/>
        <v>0</v>
      </c>
      <c r="G172" s="60"/>
      <c r="H172" s="60"/>
      <c r="I172" s="17">
        <v>171.3</v>
      </c>
      <c r="J172" s="18">
        <v>513.7</v>
      </c>
      <c r="K172" s="18">
        <v>83.5</v>
      </c>
      <c r="L172" s="20"/>
      <c r="M172" s="18">
        <f t="shared" si="75"/>
        <v>12.18978102189781</v>
      </c>
      <c r="N172" s="18">
        <f>K172*100/D172</f>
        <v>12.18978102189781</v>
      </c>
    </row>
    <row r="173" spans="1:14" ht="12.75">
      <c r="A173" s="12" t="s">
        <v>10</v>
      </c>
      <c r="B173" s="12"/>
      <c r="C173" s="28" t="s">
        <v>21</v>
      </c>
      <c r="D173" s="60">
        <v>24</v>
      </c>
      <c r="E173" s="59">
        <f aca="true" t="shared" si="77" ref="E173:E180">G173+H173+I173+J173</f>
        <v>24</v>
      </c>
      <c r="F173" s="46">
        <f t="shared" si="76"/>
        <v>6</v>
      </c>
      <c r="G173" s="60">
        <v>6</v>
      </c>
      <c r="H173" s="60">
        <v>6</v>
      </c>
      <c r="I173" s="17">
        <v>6</v>
      </c>
      <c r="J173" s="18">
        <v>6</v>
      </c>
      <c r="K173" s="18">
        <v>1.2</v>
      </c>
      <c r="L173" s="20">
        <f t="shared" si="74"/>
        <v>20</v>
      </c>
      <c r="M173" s="18">
        <f t="shared" si="75"/>
        <v>5</v>
      </c>
      <c r="N173" s="18">
        <f>K173*100/D173</f>
        <v>5</v>
      </c>
    </row>
    <row r="174" spans="1:14" ht="24">
      <c r="A174" s="13" t="s">
        <v>11</v>
      </c>
      <c r="B174" s="13"/>
      <c r="C174" s="28" t="s">
        <v>17</v>
      </c>
      <c r="D174" s="60">
        <v>761.2</v>
      </c>
      <c r="E174" s="59">
        <f t="shared" si="77"/>
        <v>761.2</v>
      </c>
      <c r="F174" s="46">
        <f t="shared" si="76"/>
        <v>105.6</v>
      </c>
      <c r="G174" s="60">
        <v>105.6</v>
      </c>
      <c r="H174" s="60">
        <v>190.3</v>
      </c>
      <c r="I174" s="17">
        <v>190.3</v>
      </c>
      <c r="J174" s="18">
        <v>275</v>
      </c>
      <c r="K174" s="18">
        <v>130.3</v>
      </c>
      <c r="L174" s="20">
        <f t="shared" si="74"/>
        <v>123.39015151515154</v>
      </c>
      <c r="M174" s="18">
        <f t="shared" si="75"/>
        <v>17.117708880714662</v>
      </c>
      <c r="N174" s="18">
        <f>K174*100/D174</f>
        <v>17.117708880714662</v>
      </c>
    </row>
    <row r="175" spans="1:14" ht="13.5" customHeight="1">
      <c r="A175" s="30" t="s">
        <v>40</v>
      </c>
      <c r="B175" s="30"/>
      <c r="C175" s="28" t="s">
        <v>41</v>
      </c>
      <c r="D175" s="60">
        <v>19.5</v>
      </c>
      <c r="E175" s="59">
        <f t="shared" si="77"/>
        <v>19.5</v>
      </c>
      <c r="F175" s="46">
        <f t="shared" si="76"/>
        <v>4.9</v>
      </c>
      <c r="G175" s="60">
        <v>4.9</v>
      </c>
      <c r="H175" s="60">
        <v>4.9</v>
      </c>
      <c r="I175" s="17">
        <v>4.9</v>
      </c>
      <c r="J175" s="18">
        <v>4.8</v>
      </c>
      <c r="K175" s="18"/>
      <c r="L175" s="20">
        <f t="shared" si="74"/>
        <v>0</v>
      </c>
      <c r="M175" s="18">
        <f t="shared" si="75"/>
        <v>0</v>
      </c>
      <c r="N175" s="18">
        <f>K175*100/D175</f>
        <v>0</v>
      </c>
    </row>
    <row r="176" spans="1:14" ht="13.5" customHeight="1" hidden="1">
      <c r="A176" s="29" t="s">
        <v>18</v>
      </c>
      <c r="B176" s="29"/>
      <c r="C176" s="28" t="s">
        <v>15</v>
      </c>
      <c r="D176" s="60"/>
      <c r="E176" s="59">
        <f t="shared" si="77"/>
        <v>0</v>
      </c>
      <c r="F176" s="46">
        <f t="shared" si="76"/>
        <v>0</v>
      </c>
      <c r="G176" s="60"/>
      <c r="H176" s="60"/>
      <c r="I176" s="17"/>
      <c r="J176" s="18"/>
      <c r="K176" s="18"/>
      <c r="L176" s="20" t="e">
        <f t="shared" si="74"/>
        <v>#DIV/0!</v>
      </c>
      <c r="M176" s="18" t="e">
        <f t="shared" si="75"/>
        <v>#DIV/0!</v>
      </c>
      <c r="N176" s="18"/>
    </row>
    <row r="177" spans="1:14" ht="16.5" customHeight="1">
      <c r="A177" s="21" t="s">
        <v>12</v>
      </c>
      <c r="B177" s="21"/>
      <c r="C177" s="28" t="s">
        <v>7</v>
      </c>
      <c r="D177" s="60"/>
      <c r="E177" s="59">
        <f t="shared" si="77"/>
        <v>0</v>
      </c>
      <c r="F177" s="46">
        <f t="shared" si="76"/>
        <v>0</v>
      </c>
      <c r="G177" s="60"/>
      <c r="H177" s="60"/>
      <c r="I177" s="17"/>
      <c r="J177" s="18"/>
      <c r="K177" s="18">
        <v>5</v>
      </c>
      <c r="L177" s="20"/>
      <c r="M177" s="18"/>
      <c r="N177" s="18"/>
    </row>
    <row r="178" spans="1:14" ht="14.25" customHeight="1">
      <c r="A178" s="62" t="s">
        <v>37</v>
      </c>
      <c r="B178" s="63"/>
      <c r="C178" s="16" t="s">
        <v>38</v>
      </c>
      <c r="D178" s="60"/>
      <c r="E178" s="59">
        <f t="shared" si="77"/>
        <v>0</v>
      </c>
      <c r="F178" s="46">
        <f t="shared" si="76"/>
        <v>0</v>
      </c>
      <c r="G178" s="60"/>
      <c r="H178" s="60"/>
      <c r="I178" s="17"/>
      <c r="J178" s="18"/>
      <c r="K178" s="18">
        <v>-0.1</v>
      </c>
      <c r="L178" s="27"/>
      <c r="M178" s="24"/>
      <c r="N178" s="18"/>
    </row>
    <row r="179" spans="1:14" ht="12.75">
      <c r="A179" s="25" t="s">
        <v>1</v>
      </c>
      <c r="B179" s="25"/>
      <c r="C179" s="32" t="s">
        <v>0</v>
      </c>
      <c r="D179" s="33">
        <f aca="true" t="shared" si="78" ref="D179:K179">D180+D181</f>
        <v>28412.1</v>
      </c>
      <c r="E179" s="33">
        <f t="shared" si="78"/>
        <v>27320</v>
      </c>
      <c r="F179" s="66">
        <f t="shared" si="78"/>
        <v>6010.9</v>
      </c>
      <c r="G179" s="66">
        <f t="shared" si="78"/>
        <v>6010.9</v>
      </c>
      <c r="H179" s="66">
        <f t="shared" si="78"/>
        <v>7103</v>
      </c>
      <c r="I179" s="33">
        <f t="shared" si="78"/>
        <v>7103</v>
      </c>
      <c r="J179" s="33">
        <f t="shared" si="78"/>
        <v>7103.1</v>
      </c>
      <c r="K179" s="33">
        <f t="shared" si="78"/>
        <v>5800.5</v>
      </c>
      <c r="L179" s="27">
        <f>K179*100/F179</f>
        <v>96.49969222578981</v>
      </c>
      <c r="M179" s="24">
        <f>K179*100/E179</f>
        <v>21.231698389458273</v>
      </c>
      <c r="N179" s="24">
        <f>K179*100/D179</f>
        <v>20.415597579904336</v>
      </c>
    </row>
    <row r="180" spans="1:14" ht="23.25" customHeight="1">
      <c r="A180" s="83" t="s">
        <v>63</v>
      </c>
      <c r="B180" s="12"/>
      <c r="C180" s="34" t="s">
        <v>20</v>
      </c>
      <c r="D180" s="59">
        <v>28412.1</v>
      </c>
      <c r="E180" s="59">
        <f t="shared" si="77"/>
        <v>27320</v>
      </c>
      <c r="F180" s="46">
        <f t="shared" si="76"/>
        <v>6010.9</v>
      </c>
      <c r="G180" s="60">
        <v>6010.9</v>
      </c>
      <c r="H180" s="60">
        <v>7103</v>
      </c>
      <c r="I180" s="17">
        <v>7103</v>
      </c>
      <c r="J180" s="18">
        <v>7103.1</v>
      </c>
      <c r="K180" s="18">
        <v>5800.5</v>
      </c>
      <c r="L180" s="20">
        <f>K180*100/F180</f>
        <v>96.49969222578981</v>
      </c>
      <c r="M180" s="18">
        <f>K180*100/E180</f>
        <v>21.231698389458273</v>
      </c>
      <c r="N180" s="18">
        <f>K180*100/D180</f>
        <v>20.415597579904336</v>
      </c>
    </row>
    <row r="181" spans="1:14" ht="15.75" customHeight="1" hidden="1">
      <c r="A181" s="14" t="s">
        <v>2</v>
      </c>
      <c r="B181" s="14"/>
      <c r="C181" s="35" t="s">
        <v>19</v>
      </c>
      <c r="D181" s="67"/>
      <c r="E181" s="59">
        <f>G181+H181+I181+J181</f>
        <v>0</v>
      </c>
      <c r="F181" s="46">
        <f>G181+H181</f>
        <v>0</v>
      </c>
      <c r="G181" s="67"/>
      <c r="H181" s="67"/>
      <c r="I181" s="17"/>
      <c r="J181" s="18"/>
      <c r="K181" s="18"/>
      <c r="L181" s="20"/>
      <c r="M181" s="18"/>
      <c r="N181" s="18"/>
    </row>
    <row r="182" spans="1:14" ht="12.75">
      <c r="A182" s="21"/>
      <c r="B182" s="22"/>
      <c r="C182" s="23" t="s">
        <v>4</v>
      </c>
      <c r="D182" s="24">
        <f aca="true" t="shared" si="79" ref="D182:K182">D179+D168</f>
        <v>35737</v>
      </c>
      <c r="E182" s="24">
        <f t="shared" si="79"/>
        <v>34644.9</v>
      </c>
      <c r="F182" s="24">
        <f t="shared" si="79"/>
        <v>7585.7</v>
      </c>
      <c r="G182" s="24">
        <f t="shared" si="79"/>
        <v>7585.7</v>
      </c>
      <c r="H182" s="24">
        <f t="shared" si="79"/>
        <v>8764.5</v>
      </c>
      <c r="I182" s="24">
        <f t="shared" si="79"/>
        <v>8933.8</v>
      </c>
      <c r="J182" s="24">
        <f t="shared" si="79"/>
        <v>9360.900000000001</v>
      </c>
      <c r="K182" s="24">
        <f t="shared" si="79"/>
        <v>7489.400000000001</v>
      </c>
      <c r="L182" s="27">
        <f>K182*100/F182</f>
        <v>98.7305060838156</v>
      </c>
      <c r="M182" s="24">
        <f>K182*100/E182</f>
        <v>21.61761182742626</v>
      </c>
      <c r="N182" s="24">
        <f>K182*100/D182</f>
        <v>20.956991353499173</v>
      </c>
    </row>
    <row r="183" spans="1:14" ht="12.75">
      <c r="A183" s="191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27"/>
      <c r="M183" s="24"/>
      <c r="N183" s="18"/>
    </row>
    <row r="184" spans="1:14" ht="12.75">
      <c r="A184" s="197" t="s">
        <v>32</v>
      </c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</row>
    <row r="185" spans="1:14" ht="12.75">
      <c r="A185" s="25" t="s">
        <v>3</v>
      </c>
      <c r="B185" s="25"/>
      <c r="C185" s="26" t="s">
        <v>64</v>
      </c>
      <c r="D185" s="27">
        <f aca="true" t="shared" si="80" ref="D185:J185">D186+D188+D189+D190+D191+D193+D195+D194+D192+D187</f>
        <v>27020</v>
      </c>
      <c r="E185" s="27">
        <f t="shared" si="80"/>
        <v>27020</v>
      </c>
      <c r="F185" s="27">
        <f t="shared" si="80"/>
        <v>6347.9</v>
      </c>
      <c r="G185" s="27">
        <f t="shared" si="80"/>
        <v>6347.9</v>
      </c>
      <c r="H185" s="27">
        <f t="shared" si="80"/>
        <v>6331.9</v>
      </c>
      <c r="I185" s="27">
        <f t="shared" si="80"/>
        <v>6331.9</v>
      </c>
      <c r="J185" s="27">
        <f t="shared" si="80"/>
        <v>8008.3</v>
      </c>
      <c r="K185" s="27">
        <f>K186+K188+K189+K190+K191+K193+K195+K194+K192+K187</f>
        <v>6218.599999999999</v>
      </c>
      <c r="L185" s="27">
        <f>K185*100/F185</f>
        <v>97.96310590904079</v>
      </c>
      <c r="M185" s="24">
        <f aca="true" t="shared" si="81" ref="M185:M191">K185*100/E185</f>
        <v>23.01480384900074</v>
      </c>
      <c r="N185" s="24">
        <f aca="true" t="shared" si="82" ref="N185:N191">K185*100/D185</f>
        <v>23.01480384900074</v>
      </c>
    </row>
    <row r="186" spans="1:18" ht="12.75">
      <c r="A186" s="12" t="s">
        <v>74</v>
      </c>
      <c r="B186" s="12"/>
      <c r="C186" s="55" t="s">
        <v>75</v>
      </c>
      <c r="D186" s="60">
        <v>18700</v>
      </c>
      <c r="E186" s="59">
        <f>G186+H186+I186+J186</f>
        <v>18700</v>
      </c>
      <c r="F186" s="46">
        <f aca="true" t="shared" si="83" ref="F186:F197">G186</f>
        <v>4675</v>
      </c>
      <c r="G186" s="59">
        <v>4675</v>
      </c>
      <c r="H186" s="59">
        <v>4675</v>
      </c>
      <c r="I186" s="17">
        <v>4675</v>
      </c>
      <c r="J186" s="18">
        <v>4675</v>
      </c>
      <c r="K186" s="18">
        <v>4311.7</v>
      </c>
      <c r="L186" s="20">
        <f>K186*100/F186</f>
        <v>92.2288770053476</v>
      </c>
      <c r="M186" s="18">
        <f t="shared" si="81"/>
        <v>23.0572192513369</v>
      </c>
      <c r="N186" s="18">
        <f t="shared" si="82"/>
        <v>23.0572192513369</v>
      </c>
      <c r="R186" s="2"/>
    </row>
    <row r="187" spans="1:14" ht="23.25" customHeight="1">
      <c r="A187" s="12" t="s">
        <v>73</v>
      </c>
      <c r="B187" s="12"/>
      <c r="C187" s="28" t="s">
        <v>72</v>
      </c>
      <c r="D187" s="60">
        <v>5011</v>
      </c>
      <c r="E187" s="59">
        <f>G187+H187+I187+J187</f>
        <v>5011</v>
      </c>
      <c r="F187" s="46">
        <f t="shared" si="83"/>
        <v>1252.5</v>
      </c>
      <c r="G187" s="59">
        <v>1252.5</v>
      </c>
      <c r="H187" s="59">
        <v>1252.5</v>
      </c>
      <c r="I187" s="17">
        <v>1252.5</v>
      </c>
      <c r="J187" s="18">
        <v>1253.5</v>
      </c>
      <c r="K187" s="18">
        <v>1398.8</v>
      </c>
      <c r="L187" s="20">
        <f>K187*100/F187</f>
        <v>111.68063872255489</v>
      </c>
      <c r="M187" s="18">
        <f t="shared" si="81"/>
        <v>27.91458790660547</v>
      </c>
      <c r="N187" s="18">
        <f t="shared" si="82"/>
        <v>27.91458790660547</v>
      </c>
    </row>
    <row r="188" spans="1:14" ht="14.25" customHeight="1">
      <c r="A188" s="12" t="s">
        <v>8</v>
      </c>
      <c r="B188" s="12"/>
      <c r="C188" s="28" t="s">
        <v>5</v>
      </c>
      <c r="D188" s="60"/>
      <c r="E188" s="59">
        <f aca="true" t="shared" si="84" ref="E188:E198">G188+H188+I188+J188</f>
        <v>0</v>
      </c>
      <c r="F188" s="46">
        <f t="shared" si="83"/>
        <v>0</v>
      </c>
      <c r="G188" s="59"/>
      <c r="H188" s="59"/>
      <c r="I188" s="17"/>
      <c r="J188" s="18"/>
      <c r="K188" s="18">
        <v>34.9</v>
      </c>
      <c r="L188" s="20"/>
      <c r="M188" s="18"/>
      <c r="N188" s="18"/>
    </row>
    <row r="189" spans="1:14" ht="13.5" customHeight="1">
      <c r="A189" s="12" t="s">
        <v>9</v>
      </c>
      <c r="B189" s="12"/>
      <c r="C189" s="28" t="s">
        <v>6</v>
      </c>
      <c r="D189" s="60">
        <v>2795</v>
      </c>
      <c r="E189" s="59">
        <f t="shared" si="84"/>
        <v>2795</v>
      </c>
      <c r="F189" s="46">
        <f t="shared" si="83"/>
        <v>280.5</v>
      </c>
      <c r="G189" s="59">
        <v>280.5</v>
      </c>
      <c r="H189" s="59">
        <v>280.5</v>
      </c>
      <c r="I189" s="17">
        <v>280.5</v>
      </c>
      <c r="J189" s="18">
        <v>1953.5</v>
      </c>
      <c r="K189" s="18">
        <v>315.6</v>
      </c>
      <c r="L189" s="20">
        <f>K189*100/F189</f>
        <v>112.51336898395724</v>
      </c>
      <c r="M189" s="18">
        <f t="shared" si="81"/>
        <v>11.291592128801433</v>
      </c>
      <c r="N189" s="18">
        <f t="shared" si="82"/>
        <v>11.291592128801433</v>
      </c>
    </row>
    <row r="190" spans="1:14" ht="12.75">
      <c r="A190" s="12" t="s">
        <v>10</v>
      </c>
      <c r="B190" s="12"/>
      <c r="C190" s="28" t="s">
        <v>21</v>
      </c>
      <c r="D190" s="60">
        <v>132</v>
      </c>
      <c r="E190" s="59">
        <f t="shared" si="84"/>
        <v>132</v>
      </c>
      <c r="F190" s="46">
        <f t="shared" si="83"/>
        <v>44.4</v>
      </c>
      <c r="G190" s="59">
        <v>44.4</v>
      </c>
      <c r="H190" s="59">
        <v>28.4</v>
      </c>
      <c r="I190" s="17">
        <v>28.4</v>
      </c>
      <c r="J190" s="18">
        <v>30.8</v>
      </c>
      <c r="K190" s="18">
        <v>22.2</v>
      </c>
      <c r="L190" s="20">
        <f>K190*100/F190</f>
        <v>50</v>
      </c>
      <c r="M190" s="18">
        <f t="shared" si="81"/>
        <v>16.818181818181817</v>
      </c>
      <c r="N190" s="18">
        <f t="shared" si="82"/>
        <v>16.818181818181817</v>
      </c>
    </row>
    <row r="191" spans="1:14" ht="24">
      <c r="A191" s="13" t="s">
        <v>11</v>
      </c>
      <c r="B191" s="13"/>
      <c r="C191" s="28" t="s">
        <v>17</v>
      </c>
      <c r="D191" s="60">
        <v>382</v>
      </c>
      <c r="E191" s="59">
        <f t="shared" si="84"/>
        <v>382</v>
      </c>
      <c r="F191" s="46">
        <f t="shared" si="83"/>
        <v>95.5</v>
      </c>
      <c r="G191" s="59">
        <v>95.5</v>
      </c>
      <c r="H191" s="59">
        <v>95.5</v>
      </c>
      <c r="I191" s="17">
        <v>95.5</v>
      </c>
      <c r="J191" s="18">
        <v>95.5</v>
      </c>
      <c r="K191" s="18">
        <v>135.4</v>
      </c>
      <c r="L191" s="20">
        <f>K191*100/F191</f>
        <v>141.7801047120419</v>
      </c>
      <c r="M191" s="18">
        <f t="shared" si="81"/>
        <v>35.44502617801047</v>
      </c>
      <c r="N191" s="18">
        <f t="shared" si="82"/>
        <v>35.44502617801047</v>
      </c>
    </row>
    <row r="192" spans="1:14" ht="24.75" customHeight="1" hidden="1">
      <c r="A192" s="29" t="s">
        <v>40</v>
      </c>
      <c r="B192" s="30"/>
      <c r="C192" s="28" t="s">
        <v>41</v>
      </c>
      <c r="D192" s="60"/>
      <c r="E192" s="59">
        <f t="shared" si="84"/>
        <v>0</v>
      </c>
      <c r="F192" s="46">
        <f t="shared" si="83"/>
        <v>0</v>
      </c>
      <c r="G192" s="59"/>
      <c r="H192" s="59"/>
      <c r="I192" s="17"/>
      <c r="J192" s="18"/>
      <c r="K192" s="18"/>
      <c r="L192" s="20" t="e">
        <f>K192*100/F192</f>
        <v>#DIV/0!</v>
      </c>
      <c r="M192" s="18" t="e">
        <f>K192*100/E192</f>
        <v>#DIV/0!</v>
      </c>
      <c r="N192" s="18"/>
    </row>
    <row r="193" spans="1:14" ht="26.25" customHeight="1" hidden="1">
      <c r="A193" s="29" t="s">
        <v>18</v>
      </c>
      <c r="B193" s="30"/>
      <c r="C193" s="28" t="s">
        <v>15</v>
      </c>
      <c r="D193" s="60"/>
      <c r="E193" s="59">
        <f t="shared" si="84"/>
        <v>0</v>
      </c>
      <c r="F193" s="46">
        <f t="shared" si="83"/>
        <v>0</v>
      </c>
      <c r="G193" s="59"/>
      <c r="H193" s="59"/>
      <c r="I193" s="17"/>
      <c r="J193" s="18"/>
      <c r="K193" s="18"/>
      <c r="L193" s="20"/>
      <c r="M193" s="18"/>
      <c r="N193" s="18"/>
    </row>
    <row r="194" spans="1:14" ht="15.75" customHeight="1" hidden="1">
      <c r="A194" s="21" t="s">
        <v>12</v>
      </c>
      <c r="B194" s="21"/>
      <c r="C194" s="28" t="s">
        <v>7</v>
      </c>
      <c r="D194" s="60"/>
      <c r="E194" s="59">
        <f t="shared" si="84"/>
        <v>0</v>
      </c>
      <c r="F194" s="46">
        <f t="shared" si="83"/>
        <v>0</v>
      </c>
      <c r="G194" s="59"/>
      <c r="H194" s="59"/>
      <c r="I194" s="17"/>
      <c r="J194" s="18"/>
      <c r="K194" s="18"/>
      <c r="L194" s="20"/>
      <c r="M194" s="18"/>
      <c r="N194" s="18"/>
    </row>
    <row r="195" spans="1:14" ht="15" customHeight="1">
      <c r="A195" s="62" t="s">
        <v>37</v>
      </c>
      <c r="B195" s="63"/>
      <c r="C195" s="16" t="s">
        <v>38</v>
      </c>
      <c r="D195" s="60"/>
      <c r="E195" s="59">
        <f t="shared" si="84"/>
        <v>0</v>
      </c>
      <c r="F195" s="46">
        <f t="shared" si="83"/>
        <v>0</v>
      </c>
      <c r="G195" s="59"/>
      <c r="H195" s="59"/>
      <c r="I195" s="17"/>
      <c r="J195" s="18"/>
      <c r="K195" s="18"/>
      <c r="L195" s="27"/>
      <c r="M195" s="24"/>
      <c r="N195" s="18"/>
    </row>
    <row r="196" spans="1:14" ht="12.75">
      <c r="A196" s="65" t="s">
        <v>1</v>
      </c>
      <c r="B196" s="25"/>
      <c r="C196" s="32" t="s">
        <v>0</v>
      </c>
      <c r="D196" s="64">
        <f aca="true" t="shared" si="85" ref="D196:J196">D197</f>
        <v>33359.5</v>
      </c>
      <c r="E196" s="64">
        <f>E197+E198</f>
        <v>35813.5</v>
      </c>
      <c r="F196" s="64">
        <f>F197</f>
        <v>10619.1</v>
      </c>
      <c r="G196" s="64">
        <f t="shared" si="85"/>
        <v>10619.1</v>
      </c>
      <c r="H196" s="64">
        <f t="shared" si="85"/>
        <v>8330</v>
      </c>
      <c r="I196" s="64">
        <f t="shared" si="85"/>
        <v>8330.1</v>
      </c>
      <c r="J196" s="64">
        <f t="shared" si="85"/>
        <v>8369.3</v>
      </c>
      <c r="K196" s="64">
        <f>K197+K198</f>
        <v>11663.1</v>
      </c>
      <c r="L196" s="27">
        <f>K196*100/F196</f>
        <v>109.83134163912196</v>
      </c>
      <c r="M196" s="24">
        <f>K196*100/E196</f>
        <v>32.566211065659594</v>
      </c>
      <c r="N196" s="24">
        <f>K196*100/D196</f>
        <v>34.961854943869064</v>
      </c>
    </row>
    <row r="197" spans="1:14" ht="24">
      <c r="A197" s="84" t="s">
        <v>63</v>
      </c>
      <c r="B197" s="12"/>
      <c r="C197" s="34" t="s">
        <v>20</v>
      </c>
      <c r="D197" s="59">
        <v>33359.5</v>
      </c>
      <c r="E197" s="59">
        <f t="shared" si="84"/>
        <v>35648.5</v>
      </c>
      <c r="F197" s="46">
        <f t="shared" si="83"/>
        <v>10619.1</v>
      </c>
      <c r="G197" s="59">
        <v>10619.1</v>
      </c>
      <c r="H197" s="59">
        <v>8330</v>
      </c>
      <c r="I197" s="17">
        <v>8330.1</v>
      </c>
      <c r="J197" s="18">
        <v>8369.3</v>
      </c>
      <c r="K197" s="18">
        <v>11498.1</v>
      </c>
      <c r="L197" s="20">
        <f>K197*100/F197</f>
        <v>108.27753764443314</v>
      </c>
      <c r="M197" s="18">
        <f>K197*100/E197</f>
        <v>32.254092037533134</v>
      </c>
      <c r="N197" s="18">
        <f>K197*100/D197</f>
        <v>34.46724321407695</v>
      </c>
    </row>
    <row r="198" spans="1:14" ht="24" customHeight="1">
      <c r="A198" s="14" t="s">
        <v>84</v>
      </c>
      <c r="B198" s="14"/>
      <c r="C198" s="28" t="s">
        <v>85</v>
      </c>
      <c r="D198" s="59"/>
      <c r="E198" s="59">
        <f t="shared" si="84"/>
        <v>165</v>
      </c>
      <c r="F198" s="46">
        <f>G198+H198+I198</f>
        <v>165</v>
      </c>
      <c r="G198" s="59">
        <v>165</v>
      </c>
      <c r="H198" s="59"/>
      <c r="I198" s="17"/>
      <c r="J198" s="18"/>
      <c r="K198" s="18">
        <v>165</v>
      </c>
      <c r="L198" s="20">
        <f>K198*100/F198</f>
        <v>100</v>
      </c>
      <c r="M198" s="18">
        <f>K198*100/E198</f>
        <v>100</v>
      </c>
      <c r="N198" s="18"/>
    </row>
    <row r="199" spans="1:14" ht="12.75">
      <c r="A199" s="21"/>
      <c r="B199" s="22"/>
      <c r="C199" s="23" t="s">
        <v>4</v>
      </c>
      <c r="D199" s="24">
        <f aca="true" t="shared" si="86" ref="D199:K199">D196+D185</f>
        <v>60379.5</v>
      </c>
      <c r="E199" s="24">
        <f t="shared" si="86"/>
        <v>62833.5</v>
      </c>
      <c r="F199" s="24">
        <f t="shared" si="86"/>
        <v>16967</v>
      </c>
      <c r="G199" s="24">
        <f t="shared" si="86"/>
        <v>16967</v>
      </c>
      <c r="H199" s="24">
        <f t="shared" si="86"/>
        <v>14661.9</v>
      </c>
      <c r="I199" s="24">
        <f t="shared" si="86"/>
        <v>14662</v>
      </c>
      <c r="J199" s="24">
        <f t="shared" si="86"/>
        <v>16377.599999999999</v>
      </c>
      <c r="K199" s="24">
        <f t="shared" si="86"/>
        <v>17881.7</v>
      </c>
      <c r="L199" s="27">
        <f>K199*100/F199</f>
        <v>105.39105322095833</v>
      </c>
      <c r="M199" s="24">
        <f>K199*100/E199</f>
        <v>28.458863504340837</v>
      </c>
      <c r="N199" s="24">
        <f>K199*100/D199</f>
        <v>29.61551519969526</v>
      </c>
    </row>
    <row r="200" spans="1:14" ht="12.75">
      <c r="A200" s="191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27"/>
      <c r="M200" s="24"/>
      <c r="N200" s="18"/>
    </row>
    <row r="201" spans="1:14" ht="12.75">
      <c r="A201" s="197" t="s">
        <v>33</v>
      </c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</row>
    <row r="202" spans="1:14" ht="12.75">
      <c r="A202" s="25" t="s">
        <v>3</v>
      </c>
      <c r="B202" s="25"/>
      <c r="C202" s="26" t="s">
        <v>64</v>
      </c>
      <c r="D202" s="27">
        <f aca="true" t="shared" si="87" ref="D202:J202">D203+D206+D208+D209+D207+D210+D211+D205+D204</f>
        <v>5671.1</v>
      </c>
      <c r="E202" s="27">
        <f t="shared" si="87"/>
        <v>5671.1</v>
      </c>
      <c r="F202" s="27">
        <f t="shared" si="87"/>
        <v>1375.5</v>
      </c>
      <c r="G202" s="27">
        <f t="shared" si="87"/>
        <v>1375.5</v>
      </c>
      <c r="H202" s="27">
        <f t="shared" si="87"/>
        <v>1374.2</v>
      </c>
      <c r="I202" s="27">
        <f t="shared" si="87"/>
        <v>1424.3</v>
      </c>
      <c r="J202" s="27">
        <f t="shared" si="87"/>
        <v>1497.1</v>
      </c>
      <c r="K202" s="27">
        <f>K203+K206+K208+K209+K207+K210+K211+K205+K204</f>
        <v>1447.7</v>
      </c>
      <c r="L202" s="27">
        <f>K202*100/F202</f>
        <v>105.24900036350418</v>
      </c>
      <c r="M202" s="24">
        <f aca="true" t="shared" si="88" ref="M202:M208">K202*100/E202</f>
        <v>25.52767540688755</v>
      </c>
      <c r="N202" s="24">
        <f aca="true" t="shared" si="89" ref="N202:N209">K202*100/D202</f>
        <v>25.52767540688755</v>
      </c>
    </row>
    <row r="203" spans="1:18" ht="12.75">
      <c r="A203" s="12" t="s">
        <v>74</v>
      </c>
      <c r="B203" s="12"/>
      <c r="C203" s="55" t="s">
        <v>75</v>
      </c>
      <c r="D203" s="60">
        <v>1400</v>
      </c>
      <c r="E203" s="59">
        <f>G203+H203+I203+J203</f>
        <v>1400</v>
      </c>
      <c r="F203" s="46">
        <f aca="true" t="shared" si="90" ref="F203:F214">G203</f>
        <v>350</v>
      </c>
      <c r="G203" s="59">
        <v>350</v>
      </c>
      <c r="H203" s="59">
        <v>350</v>
      </c>
      <c r="I203" s="17">
        <v>350</v>
      </c>
      <c r="J203" s="17">
        <v>350</v>
      </c>
      <c r="K203" s="18">
        <v>285.1</v>
      </c>
      <c r="L203" s="20">
        <f>K203*100/F203</f>
        <v>81.45714285714287</v>
      </c>
      <c r="M203" s="18">
        <f t="shared" si="88"/>
        <v>20.364285714285717</v>
      </c>
      <c r="N203" s="18">
        <f t="shared" si="89"/>
        <v>20.364285714285717</v>
      </c>
      <c r="R203" s="2"/>
    </row>
    <row r="204" spans="1:14" ht="24" customHeight="1">
      <c r="A204" s="12" t="s">
        <v>73</v>
      </c>
      <c r="B204" s="12"/>
      <c r="C204" s="28" t="s">
        <v>72</v>
      </c>
      <c r="D204" s="60">
        <v>3835.8</v>
      </c>
      <c r="E204" s="59">
        <f>G204+H204+I204+J204</f>
        <v>3835.8</v>
      </c>
      <c r="F204" s="46">
        <f t="shared" si="90"/>
        <v>958.9</v>
      </c>
      <c r="G204" s="59">
        <v>958.9</v>
      </c>
      <c r="H204" s="59">
        <v>958.9</v>
      </c>
      <c r="I204" s="17">
        <v>959</v>
      </c>
      <c r="J204" s="17">
        <v>959</v>
      </c>
      <c r="K204" s="18">
        <v>1070.7</v>
      </c>
      <c r="L204" s="20">
        <f>K204*100/F204</f>
        <v>111.65919282511211</v>
      </c>
      <c r="M204" s="18">
        <f t="shared" si="88"/>
        <v>27.913342718598464</v>
      </c>
      <c r="N204" s="18">
        <f t="shared" si="89"/>
        <v>27.913342718598464</v>
      </c>
    </row>
    <row r="205" spans="1:14" ht="12.75">
      <c r="A205" s="12" t="s">
        <v>8</v>
      </c>
      <c r="B205" s="36" t="s">
        <v>52</v>
      </c>
      <c r="C205" s="28" t="s">
        <v>5</v>
      </c>
      <c r="D205" s="60">
        <v>2</v>
      </c>
      <c r="E205" s="59">
        <f aca="true" t="shared" si="91" ref="E205:E214">G205+H205+I205+J205</f>
        <v>2</v>
      </c>
      <c r="F205" s="46">
        <f t="shared" si="90"/>
        <v>0</v>
      </c>
      <c r="G205" s="59"/>
      <c r="H205" s="59">
        <v>2</v>
      </c>
      <c r="I205" s="17"/>
      <c r="J205" s="17"/>
      <c r="K205" s="18"/>
      <c r="L205" s="20"/>
      <c r="M205" s="18">
        <f t="shared" si="88"/>
        <v>0</v>
      </c>
      <c r="N205" s="18">
        <f t="shared" si="89"/>
        <v>0</v>
      </c>
    </row>
    <row r="206" spans="1:14" ht="12.75">
      <c r="A206" s="12" t="s">
        <v>9</v>
      </c>
      <c r="B206" s="12"/>
      <c r="C206" s="28" t="s">
        <v>6</v>
      </c>
      <c r="D206" s="60">
        <v>271</v>
      </c>
      <c r="E206" s="59">
        <f t="shared" si="91"/>
        <v>271</v>
      </c>
      <c r="F206" s="46">
        <f t="shared" si="90"/>
        <v>17</v>
      </c>
      <c r="G206" s="59">
        <v>17</v>
      </c>
      <c r="H206" s="59">
        <v>28.5</v>
      </c>
      <c r="I206" s="17">
        <v>79.5</v>
      </c>
      <c r="J206" s="17">
        <v>146</v>
      </c>
      <c r="K206" s="18">
        <v>9.6</v>
      </c>
      <c r="L206" s="20">
        <f>K206*100/F206</f>
        <v>56.470588235294116</v>
      </c>
      <c r="M206" s="18">
        <f t="shared" si="88"/>
        <v>3.5424354243542435</v>
      </c>
      <c r="N206" s="18">
        <f t="shared" si="89"/>
        <v>3.5424354243542435</v>
      </c>
    </row>
    <row r="207" spans="1:14" ht="12.75">
      <c r="A207" s="12" t="s">
        <v>10</v>
      </c>
      <c r="B207" s="12"/>
      <c r="C207" s="28" t="s">
        <v>21</v>
      </c>
      <c r="D207" s="60">
        <v>19</v>
      </c>
      <c r="E207" s="59">
        <f t="shared" si="91"/>
        <v>19</v>
      </c>
      <c r="F207" s="46">
        <f t="shared" si="90"/>
        <v>1.7</v>
      </c>
      <c r="G207" s="59">
        <v>1.7</v>
      </c>
      <c r="H207" s="59">
        <v>3</v>
      </c>
      <c r="I207" s="17">
        <v>4</v>
      </c>
      <c r="J207" s="17">
        <v>10.3</v>
      </c>
      <c r="K207" s="18">
        <v>2.2</v>
      </c>
      <c r="L207" s="20">
        <f>K207*100/F207</f>
        <v>129.41176470588238</v>
      </c>
      <c r="M207" s="18">
        <f t="shared" si="88"/>
        <v>11.578947368421055</v>
      </c>
      <c r="N207" s="18">
        <f t="shared" si="89"/>
        <v>11.578947368421055</v>
      </c>
    </row>
    <row r="208" spans="1:14" ht="24">
      <c r="A208" s="13" t="s">
        <v>11</v>
      </c>
      <c r="B208" s="13"/>
      <c r="C208" s="28" t="s">
        <v>17</v>
      </c>
      <c r="D208" s="60">
        <v>143.3</v>
      </c>
      <c r="E208" s="59">
        <f t="shared" si="91"/>
        <v>143.3</v>
      </c>
      <c r="F208" s="46">
        <f t="shared" si="90"/>
        <v>47.9</v>
      </c>
      <c r="G208" s="59">
        <v>47.9</v>
      </c>
      <c r="H208" s="59">
        <v>31.8</v>
      </c>
      <c r="I208" s="17">
        <v>31.8</v>
      </c>
      <c r="J208" s="17">
        <v>31.8</v>
      </c>
      <c r="K208" s="18">
        <v>80.1</v>
      </c>
      <c r="L208" s="20">
        <f>K208*100/F208</f>
        <v>167.22338204592901</v>
      </c>
      <c r="M208" s="18">
        <f t="shared" si="88"/>
        <v>55.8967201674808</v>
      </c>
      <c r="N208" s="18">
        <f t="shared" si="89"/>
        <v>55.8967201674808</v>
      </c>
    </row>
    <row r="209" spans="1:14" ht="24" hidden="1">
      <c r="A209" s="29" t="s">
        <v>18</v>
      </c>
      <c r="B209" s="29"/>
      <c r="C209" s="28" t="s">
        <v>15</v>
      </c>
      <c r="D209" s="60"/>
      <c r="E209" s="59">
        <f t="shared" si="91"/>
        <v>0</v>
      </c>
      <c r="F209" s="46">
        <f t="shared" si="90"/>
        <v>0</v>
      </c>
      <c r="G209" s="59"/>
      <c r="H209" s="59"/>
      <c r="I209" s="17"/>
      <c r="J209" s="17"/>
      <c r="K209" s="18"/>
      <c r="L209" s="20" t="e">
        <f>K209*100/F209</f>
        <v>#DIV/0!</v>
      </c>
      <c r="M209" s="18" t="e">
        <f aca="true" t="shared" si="92" ref="M209:M215">K209*100/E209</f>
        <v>#DIV/0!</v>
      </c>
      <c r="N209" s="18" t="e">
        <f t="shared" si="89"/>
        <v>#DIV/0!</v>
      </c>
    </row>
    <row r="210" spans="1:14" ht="16.5" customHeight="1">
      <c r="A210" s="29" t="s">
        <v>12</v>
      </c>
      <c r="B210" s="61"/>
      <c r="C210" s="28" t="s">
        <v>7</v>
      </c>
      <c r="D210" s="60"/>
      <c r="E210" s="59">
        <f t="shared" si="91"/>
        <v>0</v>
      </c>
      <c r="F210" s="46">
        <f t="shared" si="90"/>
        <v>0</v>
      </c>
      <c r="G210" s="59"/>
      <c r="H210" s="59"/>
      <c r="I210" s="17"/>
      <c r="J210" s="17"/>
      <c r="K210" s="18"/>
      <c r="L210" s="20"/>
      <c r="M210" s="18"/>
      <c r="N210" s="18"/>
    </row>
    <row r="211" spans="1:14" ht="13.5" customHeight="1">
      <c r="A211" s="62" t="s">
        <v>37</v>
      </c>
      <c r="B211" s="63"/>
      <c r="C211" s="16" t="s">
        <v>38</v>
      </c>
      <c r="D211" s="60"/>
      <c r="E211" s="59">
        <f t="shared" si="91"/>
        <v>0</v>
      </c>
      <c r="F211" s="46">
        <f t="shared" si="90"/>
        <v>0</v>
      </c>
      <c r="G211" s="59"/>
      <c r="H211" s="59"/>
      <c r="I211" s="17"/>
      <c r="J211" s="17"/>
      <c r="K211" s="18"/>
      <c r="L211" s="20"/>
      <c r="M211" s="18"/>
      <c r="N211" s="18"/>
    </row>
    <row r="212" spans="1:14" ht="12.75">
      <c r="A212" s="25" t="s">
        <v>1</v>
      </c>
      <c r="B212" s="25"/>
      <c r="C212" s="32" t="s">
        <v>0</v>
      </c>
      <c r="D212" s="33">
        <f aca="true" t="shared" si="93" ref="D212:J212">D213</f>
        <v>23464.5</v>
      </c>
      <c r="E212" s="33">
        <f>E213+E214</f>
        <v>21563.3</v>
      </c>
      <c r="F212" s="33">
        <f t="shared" si="93"/>
        <v>3949.2</v>
      </c>
      <c r="G212" s="33">
        <f t="shared" si="93"/>
        <v>3949.2</v>
      </c>
      <c r="H212" s="33">
        <f t="shared" si="93"/>
        <v>5850.4</v>
      </c>
      <c r="I212" s="33">
        <f t="shared" si="93"/>
        <v>5908.9</v>
      </c>
      <c r="J212" s="33">
        <f t="shared" si="93"/>
        <v>5854.8</v>
      </c>
      <c r="K212" s="33">
        <f>K213+K214</f>
        <v>4188.7</v>
      </c>
      <c r="L212" s="27">
        <f>K212*100/F212</f>
        <v>106.06451939633344</v>
      </c>
      <c r="M212" s="24">
        <f t="shared" si="92"/>
        <v>19.425134371826207</v>
      </c>
      <c r="N212" s="24">
        <f>K212*100/D212</f>
        <v>17.851222058854866</v>
      </c>
    </row>
    <row r="213" spans="1:14" ht="24">
      <c r="A213" s="83" t="s">
        <v>63</v>
      </c>
      <c r="B213" s="12"/>
      <c r="C213" s="34" t="s">
        <v>20</v>
      </c>
      <c r="D213" s="59">
        <v>23464.5</v>
      </c>
      <c r="E213" s="59">
        <f t="shared" si="91"/>
        <v>21563.3</v>
      </c>
      <c r="F213" s="46">
        <f t="shared" si="90"/>
        <v>3949.2</v>
      </c>
      <c r="G213" s="59">
        <v>3949.2</v>
      </c>
      <c r="H213" s="59">
        <v>5850.4</v>
      </c>
      <c r="I213" s="17">
        <v>5908.9</v>
      </c>
      <c r="J213" s="17">
        <v>5854.8</v>
      </c>
      <c r="K213" s="18">
        <v>4188.7</v>
      </c>
      <c r="L213" s="20">
        <f>K213*100/F213</f>
        <v>106.06451939633344</v>
      </c>
      <c r="M213" s="18">
        <f t="shared" si="92"/>
        <v>19.425134371826207</v>
      </c>
      <c r="N213" s="18">
        <f>K213*100/D213</f>
        <v>17.851222058854866</v>
      </c>
    </row>
    <row r="214" spans="1:14" ht="16.5" customHeight="1" hidden="1">
      <c r="A214" s="83" t="s">
        <v>71</v>
      </c>
      <c r="B214" s="14"/>
      <c r="C214" s="35" t="s">
        <v>19</v>
      </c>
      <c r="D214" s="59"/>
      <c r="E214" s="59">
        <f t="shared" si="91"/>
        <v>0</v>
      </c>
      <c r="F214" s="46">
        <f t="shared" si="90"/>
        <v>0</v>
      </c>
      <c r="G214" s="59"/>
      <c r="H214" s="59"/>
      <c r="I214" s="17"/>
      <c r="J214" s="17"/>
      <c r="K214" s="18"/>
      <c r="L214" s="20" t="e">
        <f>K214*100/F214</f>
        <v>#DIV/0!</v>
      </c>
      <c r="M214" s="18" t="e">
        <f t="shared" si="92"/>
        <v>#DIV/0!</v>
      </c>
      <c r="N214" s="18"/>
    </row>
    <row r="215" spans="1:14" ht="12.75">
      <c r="A215" s="21"/>
      <c r="B215" s="22"/>
      <c r="C215" s="23" t="s">
        <v>4</v>
      </c>
      <c r="D215" s="24">
        <f aca="true" t="shared" si="94" ref="D215:J215">D212+D202</f>
        <v>29135.6</v>
      </c>
      <c r="E215" s="24">
        <f t="shared" si="94"/>
        <v>27234.4</v>
      </c>
      <c r="F215" s="24">
        <f t="shared" si="94"/>
        <v>5324.7</v>
      </c>
      <c r="G215" s="64">
        <f t="shared" si="94"/>
        <v>5324.7</v>
      </c>
      <c r="H215" s="64">
        <f t="shared" si="94"/>
        <v>7224.599999999999</v>
      </c>
      <c r="I215" s="64">
        <f t="shared" si="94"/>
        <v>7333.2</v>
      </c>
      <c r="J215" s="64">
        <f t="shared" si="94"/>
        <v>7351.9</v>
      </c>
      <c r="K215" s="24">
        <f>K212+K202</f>
        <v>5636.4</v>
      </c>
      <c r="L215" s="27">
        <f>K215*100/F215</f>
        <v>105.85385092117866</v>
      </c>
      <c r="M215" s="24">
        <f t="shared" si="92"/>
        <v>20.69588461651441</v>
      </c>
      <c r="N215" s="24">
        <f>K215*100/D215</f>
        <v>19.34540562061533</v>
      </c>
    </row>
    <row r="216" spans="1:14" ht="12.75">
      <c r="A216" s="191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27"/>
      <c r="M216" s="24"/>
      <c r="N216" s="18"/>
    </row>
    <row r="217" spans="1:14" ht="12.75">
      <c r="A217" s="197" t="s">
        <v>34</v>
      </c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</row>
    <row r="218" spans="1:14" ht="12.75">
      <c r="A218" s="25" t="s">
        <v>3</v>
      </c>
      <c r="B218" s="37"/>
      <c r="C218" s="26" t="s">
        <v>64</v>
      </c>
      <c r="D218" s="27">
        <f aca="true" t="shared" si="95" ref="D218:J218">D219+D221+D222+D223+D225+D226+D228+D230+D227+D224+D231+D229+D220</f>
        <v>1018265.9000000001</v>
      </c>
      <c r="E218" s="27">
        <f t="shared" si="95"/>
        <v>1022722.9</v>
      </c>
      <c r="F218" s="27">
        <f t="shared" si="95"/>
        <v>243470.9</v>
      </c>
      <c r="G218" s="27">
        <f t="shared" si="95"/>
        <v>243470.9</v>
      </c>
      <c r="H218" s="27">
        <f t="shared" si="95"/>
        <v>271867.2</v>
      </c>
      <c r="I218" s="27">
        <f t="shared" si="95"/>
        <v>235244.80000000005</v>
      </c>
      <c r="J218" s="27">
        <f t="shared" si="95"/>
        <v>272140</v>
      </c>
      <c r="K218" s="27">
        <f>K219+K221+K222+K223+K225+K226+K228+K230+K227+K224+K231+K229+K220+0.1</f>
        <v>266851.3</v>
      </c>
      <c r="L218" s="27">
        <f aca="true" t="shared" si="96" ref="L218:L223">K218*100/F218</f>
        <v>109.60295460360972</v>
      </c>
      <c r="M218" s="24">
        <f aca="true" t="shared" si="97" ref="M218:M223">K218*100/E218</f>
        <v>26.092238669927113</v>
      </c>
      <c r="N218" s="24">
        <f aca="true" t="shared" si="98" ref="N218:N230">K218*100/D218</f>
        <v>26.206445683784555</v>
      </c>
    </row>
    <row r="219" spans="1:14" ht="12.75">
      <c r="A219" s="12" t="s">
        <v>74</v>
      </c>
      <c r="B219" s="12"/>
      <c r="C219" s="55" t="s">
        <v>75</v>
      </c>
      <c r="D219" s="18">
        <f>D9+D31+D47+D65+D82+D100+D116+D133+D151+D169+D186+D203</f>
        <v>723175.5</v>
      </c>
      <c r="E219" s="59">
        <f>G219+H219+I219+J219</f>
        <v>723175.5</v>
      </c>
      <c r="F219" s="46">
        <f aca="true" t="shared" si="99" ref="F219:F237">G219</f>
        <v>178731.6</v>
      </c>
      <c r="G219" s="18">
        <f>G9+G31+G47+G65+G82+G100+G116+G133+G151+G169+G186+G203</f>
        <v>178731.6</v>
      </c>
      <c r="H219" s="18">
        <f>H9+H31+H47+H65+H82+H100+H116+H133+H151+H169+H186+H203</f>
        <v>187616.69999999998</v>
      </c>
      <c r="I219" s="18">
        <f>I9+I31+I47+I65+I82+I100+I116+I133+I151+I169+I186+I203</f>
        <v>167535.80000000002</v>
      </c>
      <c r="J219" s="18">
        <f>J9+J31+J47+J65+J82+J100+J116+J133+J151+J169+J186+J203</f>
        <v>189291.4</v>
      </c>
      <c r="K219" s="18">
        <f>K9+K31+K47+K65+K82+K100+K116+K133+K151+K169+K186+K203+0.1</f>
        <v>189751.20000000004</v>
      </c>
      <c r="L219" s="20">
        <f t="shared" si="96"/>
        <v>106.16544584169785</v>
      </c>
      <c r="M219" s="18">
        <f t="shared" si="97"/>
        <v>26.23861012990623</v>
      </c>
      <c r="N219" s="18">
        <f t="shared" si="98"/>
        <v>26.23861012990623</v>
      </c>
    </row>
    <row r="220" spans="1:14" ht="36">
      <c r="A220" s="12" t="s">
        <v>73</v>
      </c>
      <c r="B220" s="12"/>
      <c r="C220" s="28" t="s">
        <v>72</v>
      </c>
      <c r="D220" s="18">
        <f>D10+D32+D48+D66+D83+D101+D118+D134+D152+D170+D187+D204</f>
        <v>53068</v>
      </c>
      <c r="E220" s="59">
        <f aca="true" t="shared" si="100" ref="E220:E233">G220+H220+I220+J220</f>
        <v>54564.59999999999</v>
      </c>
      <c r="F220" s="46">
        <f t="shared" si="99"/>
        <v>14557.199999999999</v>
      </c>
      <c r="G220" s="18">
        <f>G10+G32+G48+G66+G83+G101+G118+G134+G152+G170+G187+G204</f>
        <v>14557.199999999999</v>
      </c>
      <c r="H220" s="18">
        <f>H10+H32+H48+H66+H83+H101+H118+H134+H152+H170+H187+H204</f>
        <v>13588.8</v>
      </c>
      <c r="I220" s="18">
        <f>I10+I32+I48+I66+I83+I101+I118+I134+I152+I170+I187+I204</f>
        <v>13452.399999999998</v>
      </c>
      <c r="J220" s="18">
        <f>J10+J32+J48+J66+J83+J101+J118+J134+J152+J170+J187+J204</f>
        <v>12966.199999999999</v>
      </c>
      <c r="K220" s="18">
        <f>K10+K32+K48+K66+K83+K101+K118+K134+K152+K170+K187+K204+0.1</f>
        <v>14813.7</v>
      </c>
      <c r="L220" s="20">
        <f t="shared" si="96"/>
        <v>101.76201467315144</v>
      </c>
      <c r="M220" s="18">
        <f t="shared" si="97"/>
        <v>27.148920728824187</v>
      </c>
      <c r="N220" s="18">
        <f t="shared" si="98"/>
        <v>27.914562448179694</v>
      </c>
    </row>
    <row r="221" spans="1:14" ht="12.75">
      <c r="A221" s="12" t="s">
        <v>8</v>
      </c>
      <c r="B221" s="36" t="s">
        <v>52</v>
      </c>
      <c r="C221" s="28" t="s">
        <v>5</v>
      </c>
      <c r="D221" s="18">
        <f>D11+D49+D67+D205+D153+D117+D188+D84+D102+D171+D119</f>
        <v>53414.5</v>
      </c>
      <c r="E221" s="59">
        <f>G221+H221+I221+J221</f>
        <v>53414.5</v>
      </c>
      <c r="F221" s="46">
        <f t="shared" si="99"/>
        <v>12623.3</v>
      </c>
      <c r="G221" s="18">
        <f>G11+G49+G67+G205+G153+G188+G84+G102+G171+G119</f>
        <v>12623.3</v>
      </c>
      <c r="H221" s="18">
        <f>H11+H49+H67+H205+H153+H188+H84+H102+H171+H119</f>
        <v>25979.7</v>
      </c>
      <c r="I221" s="18">
        <f>I11+I49+I67+I205+I153+I188+I84+I102+I171+I119</f>
        <v>7995.2</v>
      </c>
      <c r="J221" s="18">
        <f>J11+J49+J67+J205+J153+J188+J84+J102+J171+J119</f>
        <v>6816.3</v>
      </c>
      <c r="K221" s="18">
        <f>K11+K49+K67+K205+K153+K117+K188+K84+K102+K171+K119</f>
        <v>13568.8</v>
      </c>
      <c r="L221" s="20">
        <f t="shared" si="96"/>
        <v>107.49011748116578</v>
      </c>
      <c r="M221" s="18">
        <f t="shared" si="97"/>
        <v>25.40284005279465</v>
      </c>
      <c r="N221" s="18">
        <f t="shared" si="98"/>
        <v>25.40284005279465</v>
      </c>
    </row>
    <row r="222" spans="1:14" ht="12.75">
      <c r="A222" s="12" t="s">
        <v>9</v>
      </c>
      <c r="B222" s="36" t="s">
        <v>53</v>
      </c>
      <c r="C222" s="28" t="s">
        <v>6</v>
      </c>
      <c r="D222" s="18">
        <f>D12+D33+D50+D68+D85+D103+D120+D135+D154+D172+D189+D206</f>
        <v>30805</v>
      </c>
      <c r="E222" s="59">
        <f t="shared" si="100"/>
        <v>33205</v>
      </c>
      <c r="F222" s="46">
        <f t="shared" si="99"/>
        <v>7036.8</v>
      </c>
      <c r="G222" s="18">
        <f>G12+G33+G50+G68+G85+G103+G120+G135+G154+G172+G189+G206</f>
        <v>7036.8</v>
      </c>
      <c r="H222" s="18">
        <f>H12+H33+H50+H68+H85+H103+H120+H135+H154+H172+H189+H206</f>
        <v>3660.4999999999995</v>
      </c>
      <c r="I222" s="18">
        <f>I12+I33+I50+I68+I85+I103+I120+I135+I154+I172+I189+I206</f>
        <v>6036.6</v>
      </c>
      <c r="J222" s="18">
        <f>J12+J33+J50+J68+J85+J103+J120+J135+J154+J172+J189+J206</f>
        <v>16471.1</v>
      </c>
      <c r="K222" s="18">
        <f>K12+K33+K50+K68+K85+K103+K120+K135+K154+K172+K189+K206+0.1</f>
        <v>8087.600000000001</v>
      </c>
      <c r="L222" s="20">
        <f t="shared" si="96"/>
        <v>114.93292405638928</v>
      </c>
      <c r="M222" s="18">
        <f t="shared" si="97"/>
        <v>24.35657280530041</v>
      </c>
      <c r="N222" s="18">
        <f t="shared" si="98"/>
        <v>26.25417951631229</v>
      </c>
    </row>
    <row r="223" spans="1:14" ht="12.75">
      <c r="A223" s="12" t="s">
        <v>10</v>
      </c>
      <c r="B223" s="36" t="s">
        <v>47</v>
      </c>
      <c r="C223" s="28" t="s">
        <v>21</v>
      </c>
      <c r="D223" s="18">
        <f>D13+D34+D51+D69+D86+D104+D121+D136+D155+D173+D190+D207</f>
        <v>4147.8</v>
      </c>
      <c r="E223" s="59">
        <f t="shared" si="100"/>
        <v>4147.8</v>
      </c>
      <c r="F223" s="46">
        <f t="shared" si="99"/>
        <v>945.8</v>
      </c>
      <c r="G223" s="18">
        <f>G13+G34+G69+G86+G104+G121+G136+G155+G173+G190+G207+G51</f>
        <v>945.8</v>
      </c>
      <c r="H223" s="18">
        <f>H13+H34+H69+H86+H104+H121+H136+H155+H173+H190+H207+H51</f>
        <v>1076.9</v>
      </c>
      <c r="I223" s="18">
        <f>I13+I34+I69+I86+I104+I121+I136+I155+I173+I190+I207+I51</f>
        <v>1083.0000000000002</v>
      </c>
      <c r="J223" s="18">
        <f>J13+J34+J69+J86+J104+J121+J136+J155+J173+J190+J207+J51</f>
        <v>1042.1</v>
      </c>
      <c r="K223" s="18">
        <f>K13+K34+K69+K86+K104+K121+K136+K155+K173+K190+K207+K51</f>
        <v>1256.4000000000003</v>
      </c>
      <c r="L223" s="20">
        <f t="shared" si="96"/>
        <v>132.83992387396916</v>
      </c>
      <c r="M223" s="18">
        <f t="shared" si="97"/>
        <v>30.290756545638658</v>
      </c>
      <c r="N223" s="18">
        <f t="shared" si="98"/>
        <v>30.290756545638658</v>
      </c>
    </row>
    <row r="224" spans="1:14" ht="24" hidden="1">
      <c r="A224" s="12" t="s">
        <v>35</v>
      </c>
      <c r="B224" s="36" t="s">
        <v>54</v>
      </c>
      <c r="C224" s="28" t="s">
        <v>36</v>
      </c>
      <c r="D224" s="39">
        <f>D14</f>
        <v>0</v>
      </c>
      <c r="E224" s="59">
        <f t="shared" si="100"/>
        <v>0</v>
      </c>
      <c r="F224" s="46">
        <f t="shared" si="99"/>
        <v>0</v>
      </c>
      <c r="G224" s="39">
        <f>G14</f>
        <v>0</v>
      </c>
      <c r="H224" s="39">
        <f>H14</f>
        <v>0</v>
      </c>
      <c r="I224" s="39">
        <f>I14</f>
        <v>0</v>
      </c>
      <c r="J224" s="39">
        <f>J14</f>
        <v>0</v>
      </c>
      <c r="K224" s="39">
        <f>K14</f>
        <v>0</v>
      </c>
      <c r="L224" s="20"/>
      <c r="M224" s="18"/>
      <c r="N224" s="18" t="e">
        <f t="shared" si="98"/>
        <v>#DIV/0!</v>
      </c>
    </row>
    <row r="225" spans="1:14" ht="24">
      <c r="A225" s="13" t="s">
        <v>11</v>
      </c>
      <c r="B225" s="40" t="s">
        <v>46</v>
      </c>
      <c r="C225" s="28" t="s">
        <v>17</v>
      </c>
      <c r="D225" s="18">
        <f>D15+D35+D52+D70+D87+D105+D122+D137+D156+D174+D191+D208</f>
        <v>121510.4</v>
      </c>
      <c r="E225" s="59">
        <f t="shared" si="100"/>
        <v>121510.4</v>
      </c>
      <c r="F225" s="46">
        <f t="shared" si="99"/>
        <v>21649.2</v>
      </c>
      <c r="G225" s="18">
        <f>G15+G35+G52+G70+G87+G105+G122+G137+G156+G174+G191+G208</f>
        <v>21649.2</v>
      </c>
      <c r="H225" s="18">
        <f>H15+H35+H52+H70+H87+H105+H122+H137+H156+H174+H191+H208</f>
        <v>32287.9</v>
      </c>
      <c r="I225" s="18">
        <f>I15+I35+I52+I70+I87+I105+I122+I137+I156+I174+I191+I208</f>
        <v>29503.399999999998</v>
      </c>
      <c r="J225" s="18">
        <f>J15+J35+J52+J70+J87+J105+J122+J137+J156+J174+J191+J208</f>
        <v>38069.9</v>
      </c>
      <c r="K225" s="18">
        <f>K15+K35+K52+K70+K87+K105+K122+K137+K156+K174+K191+K208+0.1</f>
        <v>25194.499999999993</v>
      </c>
      <c r="L225" s="20">
        <f aca="true" t="shared" si="101" ref="L225:L230">K225*100/F225</f>
        <v>116.37612475287766</v>
      </c>
      <c r="M225" s="18">
        <f aca="true" t="shared" si="102" ref="M225:M230">K225*100/E225</f>
        <v>20.73443919203623</v>
      </c>
      <c r="N225" s="18">
        <f t="shared" si="98"/>
        <v>20.73443919203623</v>
      </c>
    </row>
    <row r="226" spans="1:14" ht="12.75">
      <c r="A226" s="29" t="s">
        <v>14</v>
      </c>
      <c r="B226" s="41" t="s">
        <v>45</v>
      </c>
      <c r="C226" s="28" t="s">
        <v>13</v>
      </c>
      <c r="D226" s="18">
        <f>D16</f>
        <v>18177.1</v>
      </c>
      <c r="E226" s="59">
        <f t="shared" si="100"/>
        <v>18177.1</v>
      </c>
      <c r="F226" s="46">
        <f t="shared" si="99"/>
        <v>4544.4</v>
      </c>
      <c r="G226" s="18">
        <f>G16</f>
        <v>4544.4</v>
      </c>
      <c r="H226" s="18">
        <f>H16</f>
        <v>4544.5</v>
      </c>
      <c r="I226" s="18">
        <f>I16</f>
        <v>4544.5</v>
      </c>
      <c r="J226" s="18">
        <f>J16</f>
        <v>4543.7</v>
      </c>
      <c r="K226" s="18">
        <f>K16</f>
        <v>4412.8</v>
      </c>
      <c r="L226" s="20">
        <f t="shared" si="101"/>
        <v>97.1041281577326</v>
      </c>
      <c r="M226" s="18">
        <f t="shared" si="102"/>
        <v>24.276699803599037</v>
      </c>
      <c r="N226" s="18">
        <f t="shared" si="98"/>
        <v>24.276699803599037</v>
      </c>
    </row>
    <row r="227" spans="1:14" ht="24">
      <c r="A227" s="30" t="s">
        <v>40</v>
      </c>
      <c r="B227" s="42" t="s">
        <v>55</v>
      </c>
      <c r="C227" s="28" t="s">
        <v>41</v>
      </c>
      <c r="D227" s="43">
        <f>D17+D88+D53+D106+D138+D157+D175+D192+D123+D71+D36</f>
        <v>809.8</v>
      </c>
      <c r="E227" s="59">
        <f>G227+H227+I227+J227</f>
        <v>1412.3</v>
      </c>
      <c r="F227" s="46">
        <f t="shared" si="99"/>
        <v>609.8</v>
      </c>
      <c r="G227" s="43">
        <f>G17+G88+G53+G106+G138+G157+G175+G192+G123+G71+G36</f>
        <v>609.8</v>
      </c>
      <c r="H227" s="43">
        <f>H17+H88+H53+H106+H138+H157+H175+H192+H123+H71+H36</f>
        <v>333.5</v>
      </c>
      <c r="I227" s="43">
        <f>I17+I88+I53+I106+I138+I157+I175+I192+I123+I71+I36</f>
        <v>325.7</v>
      </c>
      <c r="J227" s="43">
        <f>J17+J88+J53+J106+J138+J157+J175+J192+J123+J71+J36</f>
        <v>143.3</v>
      </c>
      <c r="K227" s="43">
        <f>K17+K88+K53+K106+K138+K157+K175+K192+K123+K71+K36</f>
        <v>1618.6000000000001</v>
      </c>
      <c r="L227" s="20">
        <f t="shared" si="101"/>
        <v>265.4312889471958</v>
      </c>
      <c r="M227" s="18">
        <f t="shared" si="102"/>
        <v>114.60737803582809</v>
      </c>
      <c r="N227" s="18">
        <f t="shared" si="98"/>
        <v>199.87651271918995</v>
      </c>
    </row>
    <row r="228" spans="1:14" ht="24">
      <c r="A228" s="30" t="s">
        <v>18</v>
      </c>
      <c r="B228" s="42" t="s">
        <v>51</v>
      </c>
      <c r="C228" s="28" t="s">
        <v>15</v>
      </c>
      <c r="D228" s="18">
        <f>D18+D37+D54+D72+D89+D124+D158+D176+D193+D209+D139</f>
        <v>9073</v>
      </c>
      <c r="E228" s="59">
        <f>G228+H228+I228+J228</f>
        <v>9073</v>
      </c>
      <c r="F228" s="46">
        <f t="shared" si="99"/>
        <v>1772.1000000000001</v>
      </c>
      <c r="G228" s="18">
        <f>G18+G37+G54+G72+G89+G107+G124+G158+G176+G193+G209+G139</f>
        <v>1772.1000000000001</v>
      </c>
      <c r="H228" s="18">
        <f>H18+H37+H54+H72+H89+H107+H124+H158+H176+H193+H209+H139</f>
        <v>1771.1000000000001</v>
      </c>
      <c r="I228" s="18">
        <f>I18+I37+I54+I72+I89+I107+I124+I158+I176+I193+I209+I139</f>
        <v>3768.6</v>
      </c>
      <c r="J228" s="18">
        <f>J18+J37+J54+J72+J89+J107+J124+J158+J176+J193+J209+J139</f>
        <v>1761.2</v>
      </c>
      <c r="K228" s="18">
        <f>K18+K37+K54+K72+K89+K124+K158+K176+K193+K209+K139</f>
        <v>4512.899999999999</v>
      </c>
      <c r="L228" s="20">
        <f t="shared" si="101"/>
        <v>254.66395801591324</v>
      </c>
      <c r="M228" s="18">
        <f t="shared" si="102"/>
        <v>49.73988757852969</v>
      </c>
      <c r="N228" s="18">
        <f t="shared" si="98"/>
        <v>49.73988757852969</v>
      </c>
    </row>
    <row r="229" spans="1:14" ht="12.75">
      <c r="A229" s="30" t="s">
        <v>57</v>
      </c>
      <c r="B229" s="30"/>
      <c r="C229" s="28" t="s">
        <v>58</v>
      </c>
      <c r="D229" s="18">
        <f>D19</f>
        <v>11</v>
      </c>
      <c r="E229" s="59">
        <f t="shared" si="100"/>
        <v>11</v>
      </c>
      <c r="F229" s="46">
        <f t="shared" si="99"/>
        <v>2</v>
      </c>
      <c r="G229" s="18">
        <f>G19</f>
        <v>2</v>
      </c>
      <c r="H229" s="18">
        <f>H19</f>
        <v>2</v>
      </c>
      <c r="I229" s="18">
        <f>I19</f>
        <v>2</v>
      </c>
      <c r="J229" s="18">
        <f>J19</f>
        <v>5</v>
      </c>
      <c r="K229" s="18">
        <f>K19</f>
        <v>16</v>
      </c>
      <c r="L229" s="20">
        <f t="shared" si="101"/>
        <v>800</v>
      </c>
      <c r="M229" s="18">
        <f t="shared" si="102"/>
        <v>145.45454545454547</v>
      </c>
      <c r="N229" s="18">
        <f t="shared" si="98"/>
        <v>145.45454545454547</v>
      </c>
    </row>
    <row r="230" spans="1:14" ht="12.75">
      <c r="A230" s="21" t="s">
        <v>12</v>
      </c>
      <c r="B230" s="38" t="s">
        <v>48</v>
      </c>
      <c r="C230" s="28" t="s">
        <v>7</v>
      </c>
      <c r="D230" s="18">
        <f>D20+D194+D210+D73+D140+D55+D159+D90+D177+D107</f>
        <v>4028.8</v>
      </c>
      <c r="E230" s="59">
        <f t="shared" si="100"/>
        <v>4031.7</v>
      </c>
      <c r="F230" s="46">
        <f t="shared" si="99"/>
        <v>998.6999999999999</v>
      </c>
      <c r="G230" s="18">
        <f>G20+G194+G210+G73+G140+G55+G159+G90+G177</f>
        <v>998.6999999999999</v>
      </c>
      <c r="H230" s="18">
        <f>H20+H194+H210+H73+H140+H55+H159+H90+H177</f>
        <v>1005.6</v>
      </c>
      <c r="I230" s="18">
        <f>I20+I194+I210+I73+I140+I55+I159+I90+I177</f>
        <v>997.6</v>
      </c>
      <c r="J230" s="18">
        <f>J20+J194+J210+J73+J140+J55+J159+J90+J177</f>
        <v>1029.8</v>
      </c>
      <c r="K230" s="18">
        <f>K20+K194+K210+K73+K140+K55+K159+K90+K177+K107+K38+0.1</f>
        <v>3245.2999999999997</v>
      </c>
      <c r="L230" s="20">
        <f t="shared" si="101"/>
        <v>324.9524381696205</v>
      </c>
      <c r="M230" s="18">
        <f t="shared" si="102"/>
        <v>80.49458044993428</v>
      </c>
      <c r="N230" s="18">
        <f t="shared" si="98"/>
        <v>80.55252184273232</v>
      </c>
    </row>
    <row r="231" spans="1:14" ht="12.75">
      <c r="A231" s="31" t="s">
        <v>37</v>
      </c>
      <c r="B231" s="44" t="s">
        <v>54</v>
      </c>
      <c r="C231" s="16" t="s">
        <v>38</v>
      </c>
      <c r="D231" s="18">
        <f>D21+D39+D56+D74+D91+D108+D126+D141+D160+D178+D195+D211</f>
        <v>45</v>
      </c>
      <c r="E231" s="59">
        <f t="shared" si="100"/>
        <v>0</v>
      </c>
      <c r="F231" s="46">
        <f t="shared" si="99"/>
        <v>0</v>
      </c>
      <c r="G231" s="18">
        <v>0</v>
      </c>
      <c r="H231" s="18">
        <f>H21+H39+H56+H74+H91+H108+H126+H141+H160+H178+H195+H211</f>
        <v>0</v>
      </c>
      <c r="I231" s="18">
        <f>I21+I39+I56+I74+I91+I108+I126+I141+I160+I178+I195+I211</f>
        <v>0</v>
      </c>
      <c r="J231" s="18">
        <f>J21+J39+J56+J74+J91+J108+J126+J141+J160+J178+J195+J211</f>
        <v>0</v>
      </c>
      <c r="K231" s="18">
        <f>K21+K39+K56+K74+K91+K108+K126+K141+K160+K178+K195+K211</f>
        <v>373.40000000000003</v>
      </c>
      <c r="L231" s="20"/>
      <c r="M231" s="18"/>
      <c r="N231" s="18"/>
    </row>
    <row r="232" spans="1:14" ht="12.75">
      <c r="A232" s="25" t="s">
        <v>1</v>
      </c>
      <c r="B232" s="37"/>
      <c r="C232" s="32" t="s">
        <v>0</v>
      </c>
      <c r="D232" s="33">
        <f>D233+D235+D237+D236+D234</f>
        <v>3665297.5</v>
      </c>
      <c r="E232" s="33">
        <f aca="true" t="shared" si="103" ref="E232:K232">E233+E235+E237+E236+E234</f>
        <v>3670574.6000000006</v>
      </c>
      <c r="F232" s="33">
        <f t="shared" si="103"/>
        <v>670288.9999999999</v>
      </c>
      <c r="G232" s="33">
        <f t="shared" si="103"/>
        <v>670288.9999999999</v>
      </c>
      <c r="H232" s="33">
        <f t="shared" si="103"/>
        <v>1024540.4</v>
      </c>
      <c r="I232" s="33">
        <f t="shared" si="103"/>
        <v>663559.9</v>
      </c>
      <c r="J232" s="33">
        <f t="shared" si="103"/>
        <v>1312185.3</v>
      </c>
      <c r="K232" s="33">
        <f t="shared" si="103"/>
        <v>655352.9</v>
      </c>
      <c r="L232" s="27">
        <f>K232*100/F232</f>
        <v>97.7716925087537</v>
      </c>
      <c r="M232" s="24">
        <f aca="true" t="shared" si="104" ref="M232:M238">K232*100/E232</f>
        <v>17.854231868765176</v>
      </c>
      <c r="N232" s="24">
        <f>K232*100/D232</f>
        <v>17.879937440275995</v>
      </c>
    </row>
    <row r="233" spans="1:14" ht="24">
      <c r="A233" s="83" t="s">
        <v>63</v>
      </c>
      <c r="B233" s="36" t="s">
        <v>49</v>
      </c>
      <c r="C233" s="34" t="s">
        <v>20</v>
      </c>
      <c r="D233" s="17">
        <f>D23-33523.2</f>
        <v>3665297.5</v>
      </c>
      <c r="E233" s="59">
        <f t="shared" si="100"/>
        <v>3666488.4000000004</v>
      </c>
      <c r="F233" s="46">
        <f>G233</f>
        <v>676502.7999999999</v>
      </c>
      <c r="G233" s="17">
        <f>G23-8380.8</f>
        <v>676502.7999999999</v>
      </c>
      <c r="H233" s="17">
        <f>H23-8485.5</f>
        <v>1024540.4</v>
      </c>
      <c r="I233" s="17">
        <f>I23-8521.1</f>
        <v>658559.9</v>
      </c>
      <c r="J233" s="17">
        <f>J23-8480.7</f>
        <v>1306885.3</v>
      </c>
      <c r="K233" s="17">
        <f>K23-5898.1</f>
        <v>655932.7000000001</v>
      </c>
      <c r="L233" s="20">
        <f>K233*100/F233</f>
        <v>96.95934739664051</v>
      </c>
      <c r="M233" s="18">
        <f t="shared" si="104"/>
        <v>17.889943412885202</v>
      </c>
      <c r="N233" s="18">
        <f>K233*100/D233</f>
        <v>17.8957560743705</v>
      </c>
    </row>
    <row r="234" spans="1:14" ht="24">
      <c r="A234" s="83" t="s">
        <v>84</v>
      </c>
      <c r="B234" s="14"/>
      <c r="C234" s="28" t="s">
        <v>85</v>
      </c>
      <c r="D234" s="18">
        <v>0</v>
      </c>
      <c r="E234" s="59">
        <f>G234+H234+I234+J234</f>
        <v>165</v>
      </c>
      <c r="F234" s="46">
        <f t="shared" si="99"/>
        <v>165</v>
      </c>
      <c r="G234" s="17">
        <f>G198</f>
        <v>165</v>
      </c>
      <c r="H234" s="17">
        <f>H198</f>
        <v>0</v>
      </c>
      <c r="I234" s="17">
        <f>I198</f>
        <v>0</v>
      </c>
      <c r="J234" s="17">
        <f>J198</f>
        <v>0</v>
      </c>
      <c r="K234" s="17">
        <f>K198</f>
        <v>165</v>
      </c>
      <c r="L234" s="20">
        <f>K234*100/F234</f>
        <v>100</v>
      </c>
      <c r="M234" s="18">
        <f t="shared" si="104"/>
        <v>100</v>
      </c>
      <c r="N234" s="18"/>
    </row>
    <row r="235" spans="1:14" ht="12.75" customHeight="1">
      <c r="A235" s="83" t="s">
        <v>71</v>
      </c>
      <c r="B235" s="14" t="s">
        <v>50</v>
      </c>
      <c r="C235" s="35" t="s">
        <v>19</v>
      </c>
      <c r="D235" s="18">
        <f>D24+D95+D181+D77</f>
        <v>0</v>
      </c>
      <c r="E235" s="59">
        <f>G235+H235+I235+J235</f>
        <v>10300</v>
      </c>
      <c r="F235" s="46">
        <f t="shared" si="99"/>
        <v>0</v>
      </c>
      <c r="G235" s="18">
        <f>G24+G95+G163+G214+G146+G77+G111</f>
        <v>0</v>
      </c>
      <c r="H235" s="18">
        <f>H24+H95+H163+H214+H146+H77+H111</f>
        <v>0</v>
      </c>
      <c r="I235" s="18">
        <f>I24+I95+I163+I214+I146+I77+I111</f>
        <v>5000</v>
      </c>
      <c r="J235" s="18">
        <f>J24+J95+J163+J214+J146+J77+J111</f>
        <v>5300</v>
      </c>
      <c r="K235" s="18">
        <f>K24+K95+K163+K214+K146+K77+K111</f>
        <v>7300</v>
      </c>
      <c r="L235" s="20"/>
      <c r="M235" s="18">
        <f t="shared" si="104"/>
        <v>70.87378640776699</v>
      </c>
      <c r="N235" s="18"/>
    </row>
    <row r="236" spans="1:14" ht="63" customHeight="1" hidden="1">
      <c r="A236" s="83" t="s">
        <v>70</v>
      </c>
      <c r="B236" s="15" t="s">
        <v>61</v>
      </c>
      <c r="C236" s="16" t="s">
        <v>61</v>
      </c>
      <c r="D236" s="18"/>
      <c r="E236" s="59">
        <f>470.7-470.7</f>
        <v>0</v>
      </c>
      <c r="F236" s="46">
        <f t="shared" si="99"/>
        <v>0</v>
      </c>
      <c r="G236" s="18">
        <f>-470.7+470.7</f>
        <v>0</v>
      </c>
      <c r="H236" s="18"/>
      <c r="I236" s="18"/>
      <c r="J236" s="18"/>
      <c r="K236" s="18"/>
      <c r="L236" s="20" t="e">
        <f>K236*100/F236</f>
        <v>#DIV/0!</v>
      </c>
      <c r="M236" s="18" t="e">
        <f t="shared" si="104"/>
        <v>#DIV/0!</v>
      </c>
      <c r="N236" s="18"/>
    </row>
    <row r="237" spans="1:14" ht="36">
      <c r="A237" s="83" t="s">
        <v>62</v>
      </c>
      <c r="B237" s="15"/>
      <c r="C237" s="19" t="s">
        <v>60</v>
      </c>
      <c r="D237" s="18">
        <f>D26</f>
        <v>0</v>
      </c>
      <c r="E237" s="59">
        <f>G237+H237+I237+J237</f>
        <v>-6378.8</v>
      </c>
      <c r="F237" s="46">
        <f t="shared" si="99"/>
        <v>-6378.8</v>
      </c>
      <c r="G237" s="18">
        <f>G26</f>
        <v>-6378.8</v>
      </c>
      <c r="H237" s="18">
        <f>H26</f>
        <v>0</v>
      </c>
      <c r="I237" s="18">
        <f>I26</f>
        <v>0</v>
      </c>
      <c r="J237" s="18">
        <f>J26</f>
        <v>0</v>
      </c>
      <c r="K237" s="18">
        <f>K26</f>
        <v>-8044.8</v>
      </c>
      <c r="L237" s="20">
        <f>K237*100/F237</f>
        <v>126.11776509688342</v>
      </c>
      <c r="M237" s="18">
        <f t="shared" si="104"/>
        <v>126.11776509688342</v>
      </c>
      <c r="N237" s="18"/>
    </row>
    <row r="238" spans="1:14" ht="12.75">
      <c r="A238" s="21"/>
      <c r="B238" s="22"/>
      <c r="C238" s="23" t="s">
        <v>4</v>
      </c>
      <c r="D238" s="24">
        <f aca="true" t="shared" si="105" ref="D238:J238">D232+D218</f>
        <v>4683563.4</v>
      </c>
      <c r="E238" s="24">
        <f>E232+E218</f>
        <v>4693297.500000001</v>
      </c>
      <c r="F238" s="24">
        <f t="shared" si="105"/>
        <v>913759.8999999999</v>
      </c>
      <c r="G238" s="24">
        <f t="shared" si="105"/>
        <v>913759.8999999999</v>
      </c>
      <c r="H238" s="24">
        <f t="shared" si="105"/>
        <v>1296407.6</v>
      </c>
      <c r="I238" s="24">
        <f t="shared" si="105"/>
        <v>898804.7000000001</v>
      </c>
      <c r="J238" s="24">
        <f t="shared" si="105"/>
        <v>1584325.3</v>
      </c>
      <c r="K238" s="24">
        <f>K232+K218+0.1</f>
        <v>922204.2999999999</v>
      </c>
      <c r="L238" s="27">
        <f>K238*100/F238</f>
        <v>100.92413773027248</v>
      </c>
      <c r="M238" s="24">
        <f t="shared" si="104"/>
        <v>19.649389368562293</v>
      </c>
      <c r="N238" s="24">
        <f>K238*100/D238</f>
        <v>19.69022774411466</v>
      </c>
    </row>
    <row r="239" spans="3:9" ht="12.75">
      <c r="C239" s="8"/>
      <c r="D239" s="8"/>
      <c r="E239" s="8"/>
      <c r="F239" s="8"/>
      <c r="G239" s="8"/>
      <c r="H239" s="8"/>
      <c r="I239" s="2"/>
    </row>
    <row r="240" spans="3:11" ht="12.75">
      <c r="C240" s="9" t="s">
        <v>56</v>
      </c>
      <c r="D240" s="9"/>
      <c r="E240" s="58" t="b">
        <f>P227=E232-E233</f>
        <v>0</v>
      </c>
      <c r="F240" s="9"/>
      <c r="G240" s="9"/>
      <c r="H240" s="9"/>
      <c r="I240" s="3"/>
      <c r="J240" s="3"/>
      <c r="K240" s="5"/>
    </row>
    <row r="241" spans="3:11" ht="12.75" hidden="1">
      <c r="C241" s="9"/>
      <c r="D241" s="9"/>
      <c r="E241" s="9"/>
      <c r="F241" s="9"/>
      <c r="G241" s="9"/>
      <c r="H241" s="9"/>
      <c r="I241" s="3" t="s">
        <v>59</v>
      </c>
      <c r="J241" s="3">
        <f>J240-J218</f>
        <v>-272140</v>
      </c>
      <c r="K241" s="4"/>
    </row>
    <row r="242" spans="1:11" ht="12.75" hidden="1">
      <c r="A242" s="2"/>
      <c r="C242" s="9"/>
      <c r="D242" s="9"/>
      <c r="E242" s="9"/>
      <c r="F242" s="9"/>
      <c r="G242" s="9"/>
      <c r="H242" s="9"/>
      <c r="I242" s="6"/>
      <c r="J242" s="3"/>
      <c r="K242" s="5"/>
    </row>
    <row r="243" spans="3:11" ht="12.75" hidden="1">
      <c r="C243" s="10"/>
      <c r="D243" s="10"/>
      <c r="E243" s="10"/>
      <c r="F243" s="10"/>
      <c r="G243" s="10"/>
      <c r="H243" s="10"/>
      <c r="I243" s="3"/>
      <c r="J243" s="3">
        <f>J242-J232</f>
        <v>-1312185.3</v>
      </c>
      <c r="K243" s="5"/>
    </row>
    <row r="244" spans="3:11" ht="12.75" hidden="1">
      <c r="C244" s="10"/>
      <c r="D244" s="10"/>
      <c r="E244" s="10"/>
      <c r="F244" s="10"/>
      <c r="G244" s="10"/>
      <c r="H244" s="10"/>
      <c r="I244" s="6"/>
      <c r="J244" s="3" t="e">
        <f>#REF!+#REF!+#REF!+#REF!+#REF!+#REF!+#REF!+#REF!+#REF!+#REF!</f>
        <v>#REF!</v>
      </c>
      <c r="K244" s="5"/>
    </row>
    <row r="245" spans="1:11" ht="12.75" hidden="1">
      <c r="A245" s="2">
        <f>J218+J232</f>
        <v>1584325.3</v>
      </c>
      <c r="C245" s="11"/>
      <c r="D245" s="11"/>
      <c r="E245" s="11"/>
      <c r="F245" s="11"/>
      <c r="G245" s="11"/>
      <c r="H245" s="11"/>
      <c r="I245" s="6"/>
      <c r="J245" s="3" t="e">
        <f>J244-#REF!</f>
        <v>#REF!</v>
      </c>
      <c r="K245" s="5"/>
    </row>
    <row r="246" spans="1:11" ht="12.75" hidden="1">
      <c r="A246" s="2" t="e">
        <f>#REF!+#REF!</f>
        <v>#REF!</v>
      </c>
      <c r="C246" s="10"/>
      <c r="D246" s="10"/>
      <c r="E246" s="10"/>
      <c r="F246" s="10"/>
      <c r="G246" s="10"/>
      <c r="H246" s="10"/>
      <c r="I246" s="6"/>
      <c r="J246" s="3" t="e">
        <f>J240+J242+J244</f>
        <v>#REF!</v>
      </c>
      <c r="K246" s="5"/>
    </row>
    <row r="247" spans="1:11" ht="12.75" hidden="1">
      <c r="A247" s="2" t="e">
        <f>J218+#REF!</f>
        <v>#REF!</v>
      </c>
      <c r="C247" s="9"/>
      <c r="D247" s="9"/>
      <c r="E247" s="9"/>
      <c r="F247" s="9"/>
      <c r="G247" s="9"/>
      <c r="H247" s="9"/>
      <c r="I247" s="6"/>
      <c r="J247" s="3">
        <f>J27+J43+J61+J78+J96+J112+J129+J147+J165+J182+J199+J215-J212-J196-J179-J161-J142-J127-J109-J93-J75-J40-J57</f>
        <v>1592805.9999999995</v>
      </c>
      <c r="K247" s="5"/>
    </row>
    <row r="248" spans="1:11" ht="12.75" hidden="1">
      <c r="A248" s="2" t="e">
        <f>J232+#REF!</f>
        <v>#REF!</v>
      </c>
      <c r="C248" s="9"/>
      <c r="D248" s="9"/>
      <c r="E248" s="9"/>
      <c r="F248" s="9"/>
      <c r="G248" s="9"/>
      <c r="H248" s="9"/>
      <c r="I248" s="6"/>
      <c r="J248" s="3">
        <f>J247-J238</f>
        <v>8480.699999999488</v>
      </c>
      <c r="K248" s="5"/>
    </row>
    <row r="249" spans="3:11" ht="12.75" hidden="1">
      <c r="C249" s="9"/>
      <c r="D249" s="9"/>
      <c r="E249" s="9"/>
      <c r="F249" s="9"/>
      <c r="G249" s="9"/>
      <c r="H249" s="9"/>
      <c r="I249" s="6"/>
      <c r="J249" s="3"/>
      <c r="K249" s="5"/>
    </row>
    <row r="250" spans="3:11" ht="12.75" hidden="1">
      <c r="C250" s="8"/>
      <c r="D250" s="8"/>
      <c r="E250" s="8"/>
      <c r="F250" s="8"/>
      <c r="G250" s="8"/>
      <c r="H250" s="8"/>
      <c r="I250" s="5"/>
      <c r="J250" s="4"/>
      <c r="K250" s="5"/>
    </row>
    <row r="251" spans="3:11" ht="12.75">
      <c r="C251" s="8"/>
      <c r="D251" s="8"/>
      <c r="E251" s="8"/>
      <c r="F251" s="45"/>
      <c r="G251" s="45"/>
      <c r="H251" s="45"/>
      <c r="I251" s="45"/>
      <c r="J251" s="45"/>
      <c r="K251" s="4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45"/>
      <c r="E253" s="45"/>
      <c r="F253" s="8"/>
      <c r="G253" s="45"/>
      <c r="H253" s="45"/>
      <c r="I253" s="45"/>
      <c r="J253" s="45"/>
      <c r="K253" s="45"/>
    </row>
    <row r="254" spans="4:11" ht="12.75">
      <c r="D254" s="2"/>
      <c r="E254" s="2"/>
      <c r="F254" s="2"/>
      <c r="G254" s="2"/>
      <c r="H254" s="2"/>
      <c r="I254" s="2"/>
      <c r="J254" s="2"/>
      <c r="K254" s="2"/>
    </row>
    <row r="255" spans="9:11" ht="12.75">
      <c r="I255" s="5"/>
      <c r="J255" s="4"/>
      <c r="K255" s="5"/>
    </row>
    <row r="256" spans="9:11" ht="12.75">
      <c r="I256" s="5"/>
      <c r="J256" s="4"/>
      <c r="K256" s="5"/>
    </row>
    <row r="257" spans="3:11" ht="12.75">
      <c r="C257" s="8"/>
      <c r="D257" s="8"/>
      <c r="E257" s="8"/>
      <c r="F257" s="8"/>
      <c r="G257" s="8"/>
      <c r="H257" s="8"/>
      <c r="I257" s="5"/>
      <c r="J257" s="4"/>
      <c r="K257" s="5"/>
    </row>
    <row r="258" spans="3:11" ht="12.75">
      <c r="C258" s="8"/>
      <c r="D258" s="8"/>
      <c r="E258" s="8"/>
      <c r="F258" s="8"/>
      <c r="G258" s="8"/>
      <c r="H258" s="8"/>
      <c r="I258" s="5"/>
      <c r="J258" s="4"/>
      <c r="K258" s="5"/>
    </row>
    <row r="259" spans="3:11" ht="12.75">
      <c r="C259" s="8"/>
      <c r="D259" s="8"/>
      <c r="E259" s="8"/>
      <c r="F259" s="8"/>
      <c r="G259" s="8"/>
      <c r="H259" s="8"/>
      <c r="I259" s="5"/>
      <c r="J259" s="4"/>
      <c r="K259" s="5"/>
    </row>
    <row r="260" spans="3:11" ht="12.75">
      <c r="C260" s="8"/>
      <c r="D260" s="8"/>
      <c r="E260" s="8"/>
      <c r="F260" s="8"/>
      <c r="G260" s="8"/>
      <c r="H260" s="8"/>
      <c r="I260" s="5"/>
      <c r="J260" s="4"/>
      <c r="K260" s="5"/>
    </row>
    <row r="261" spans="3:11" ht="12.75">
      <c r="C261" s="8"/>
      <c r="D261" s="8"/>
      <c r="E261" s="8"/>
      <c r="F261" s="8"/>
      <c r="G261" s="8"/>
      <c r="H261" s="8"/>
      <c r="I261" s="4"/>
      <c r="J261" s="4"/>
      <c r="K261" s="4"/>
    </row>
    <row r="262" spans="3:11" ht="12.75">
      <c r="C262" s="8"/>
      <c r="D262" s="8"/>
      <c r="E262" s="8"/>
      <c r="F262" s="8"/>
      <c r="G262" s="8"/>
      <c r="H262" s="8"/>
      <c r="I262" s="5"/>
      <c r="J262" s="5"/>
      <c r="K262" s="5"/>
    </row>
    <row r="263" spans="3:11" ht="12.75">
      <c r="C263" s="8"/>
      <c r="D263" s="8"/>
      <c r="E263" s="8"/>
      <c r="F263" s="8"/>
      <c r="G263" s="8"/>
      <c r="H263" s="8"/>
      <c r="I263" s="7"/>
      <c r="J263" s="4"/>
      <c r="K263" s="5"/>
    </row>
  </sheetData>
  <sheetProtection password="CF7A" sheet="1"/>
  <mergeCells count="38">
    <mergeCell ref="A148:K148"/>
    <mergeCell ref="J4:J6"/>
    <mergeCell ref="G4:G6"/>
    <mergeCell ref="A130:K130"/>
    <mergeCell ref="A217:N217"/>
    <mergeCell ref="A201:N201"/>
    <mergeCell ref="A184:N184"/>
    <mergeCell ref="A167:N167"/>
    <mergeCell ref="A149:N149"/>
    <mergeCell ref="A131:N131"/>
    <mergeCell ref="A183:K183"/>
    <mergeCell ref="A28:K28"/>
    <mergeCell ref="A216:K216"/>
    <mergeCell ref="A200:K200"/>
    <mergeCell ref="A166:K166"/>
    <mergeCell ref="K4:K6"/>
    <mergeCell ref="H4:H6"/>
    <mergeCell ref="A114:N114"/>
    <mergeCell ref="A98:N98"/>
    <mergeCell ref="A80:N80"/>
    <mergeCell ref="A1:N1"/>
    <mergeCell ref="M4:M6"/>
    <mergeCell ref="A2:K2"/>
    <mergeCell ref="E4:E6"/>
    <mergeCell ref="I4:I6"/>
    <mergeCell ref="D4:D6"/>
    <mergeCell ref="N4:N6"/>
    <mergeCell ref="F4:F6"/>
    <mergeCell ref="A113:K113"/>
    <mergeCell ref="C44:K44"/>
    <mergeCell ref="L4:L6"/>
    <mergeCell ref="A79:K79"/>
    <mergeCell ref="A45:N45"/>
    <mergeCell ref="A29:N29"/>
    <mergeCell ref="A62:K62"/>
    <mergeCell ref="A97:K97"/>
    <mergeCell ref="A63:N63"/>
    <mergeCell ref="A7:N7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3"/>
  <sheetViews>
    <sheetView tabSelected="1" zoomScalePageLayoutView="0" workbookViewId="0" topLeftCell="A175">
      <selection activeCell="A84" sqref="A84"/>
    </sheetView>
  </sheetViews>
  <sheetFormatPr defaultColWidth="9.00390625" defaultRowHeight="12.75"/>
  <cols>
    <col min="2" max="2" width="44.00390625" style="0" customWidth="1"/>
    <col min="3" max="3" width="14.875" style="0" customWidth="1"/>
    <col min="4" max="4" width="12.75390625" style="0" customWidth="1"/>
    <col min="5" max="5" width="13.75390625" style="0" customWidth="1"/>
    <col min="6" max="6" width="15.00390625" style="0" customWidth="1"/>
    <col min="7" max="7" width="13.375" style="0" customWidth="1"/>
    <col min="8" max="8" width="17.00390625" style="0" customWidth="1"/>
    <col min="9" max="10" width="17.00390625" style="0" hidden="1" customWidth="1"/>
    <col min="11" max="11" width="17.00390625" style="0" customWidth="1"/>
    <col min="12" max="12" width="12.75390625" style="0" hidden="1" customWidth="1"/>
    <col min="13" max="13" width="12.125" style="0" hidden="1" customWidth="1"/>
    <col min="14" max="14" width="17.00390625" style="0" customWidth="1"/>
    <col min="15" max="15" width="16.25390625" style="0" customWidth="1"/>
  </cols>
  <sheetData>
    <row r="1" spans="1:15" ht="15" customHeight="1">
      <c r="A1" s="206" t="s">
        <v>86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3.5" thickBot="1">
      <c r="A2" s="85"/>
      <c r="B2" s="86"/>
      <c r="C2" s="87"/>
      <c r="D2" s="88"/>
      <c r="E2" s="89"/>
      <c r="F2" s="90"/>
      <c r="G2" s="90"/>
      <c r="H2" s="91"/>
      <c r="I2" s="91"/>
      <c r="J2" s="91"/>
      <c r="K2" s="92"/>
      <c r="L2" s="93"/>
      <c r="M2" s="92"/>
      <c r="N2" s="94"/>
      <c r="O2" s="95"/>
    </row>
    <row r="3" spans="1:15" ht="29.25" customHeight="1">
      <c r="A3" s="207" t="s">
        <v>87</v>
      </c>
      <c r="B3" s="209" t="s">
        <v>88</v>
      </c>
      <c r="C3" s="211" t="s">
        <v>89</v>
      </c>
      <c r="D3" s="211"/>
      <c r="E3" s="211"/>
      <c r="F3" s="212" t="s">
        <v>90</v>
      </c>
      <c r="G3" s="212"/>
      <c r="H3" s="212"/>
      <c r="I3" s="213" t="s">
        <v>91</v>
      </c>
      <c r="J3" s="214"/>
      <c r="K3" s="214"/>
      <c r="L3" s="214"/>
      <c r="M3" s="214"/>
      <c r="N3" s="214"/>
      <c r="O3" s="215"/>
    </row>
    <row r="4" spans="1:15" ht="19.5" customHeight="1">
      <c r="A4" s="208"/>
      <c r="B4" s="210"/>
      <c r="C4" s="223" t="s">
        <v>92</v>
      </c>
      <c r="D4" s="223" t="s">
        <v>93</v>
      </c>
      <c r="E4" s="221" t="s">
        <v>94</v>
      </c>
      <c r="F4" s="223" t="s">
        <v>92</v>
      </c>
      <c r="G4" s="223" t="s">
        <v>93</v>
      </c>
      <c r="H4" s="230" t="s">
        <v>94</v>
      </c>
      <c r="I4" s="232" t="s">
        <v>95</v>
      </c>
      <c r="J4" s="232" t="s">
        <v>96</v>
      </c>
      <c r="K4" s="225" t="s">
        <v>92</v>
      </c>
      <c r="L4" s="216" t="s">
        <v>97</v>
      </c>
      <c r="M4" s="216" t="s">
        <v>96</v>
      </c>
      <c r="N4" s="217" t="s">
        <v>98</v>
      </c>
      <c r="O4" s="218" t="s">
        <v>94</v>
      </c>
    </row>
    <row r="5" spans="1:15" ht="39" customHeight="1">
      <c r="A5" s="208"/>
      <c r="B5" s="210"/>
      <c r="C5" s="224"/>
      <c r="D5" s="223"/>
      <c r="E5" s="222"/>
      <c r="F5" s="224"/>
      <c r="G5" s="223"/>
      <c r="H5" s="231"/>
      <c r="I5" s="233"/>
      <c r="J5" s="233"/>
      <c r="K5" s="226"/>
      <c r="L5" s="216"/>
      <c r="M5" s="216"/>
      <c r="N5" s="217"/>
      <c r="O5" s="219"/>
    </row>
    <row r="6" spans="1:15" ht="12.75" customHeight="1">
      <c r="A6" s="208"/>
      <c r="B6" s="220" t="s">
        <v>99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1:15" ht="3.75" customHeight="1">
      <c r="A7" s="208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5" ht="12.75" customHeight="1" hidden="1">
      <c r="A8" s="208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</row>
    <row r="9" spans="1:15" ht="12.75" customHeight="1">
      <c r="A9" s="96"/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  <c r="M9" s="98"/>
      <c r="N9" s="98"/>
      <c r="O9" s="100"/>
    </row>
    <row r="10" spans="1:15" ht="15">
      <c r="A10" s="101" t="s">
        <v>100</v>
      </c>
      <c r="B10" s="102" t="s">
        <v>101</v>
      </c>
      <c r="C10" s="103">
        <f>SUM(C11:C18)</f>
        <v>491795.4</v>
      </c>
      <c r="D10" s="103">
        <f>SUM(D11:D18)</f>
        <v>82862.1</v>
      </c>
      <c r="E10" s="103">
        <f>D10/C10*100</f>
        <v>16.84889691932865</v>
      </c>
      <c r="F10" s="103">
        <f>F11+F12+F13+F14+F15+F17+F18+F16</f>
        <v>208684.92</v>
      </c>
      <c r="G10" s="103">
        <f>SUM(G11:G18)</f>
        <v>57352.3</v>
      </c>
      <c r="H10" s="104">
        <f>G10/F10*100</f>
        <v>27.482723715733748</v>
      </c>
      <c r="I10" s="103">
        <f aca="true" t="shared" si="0" ref="I10:N10">SUM(I11:I18)</f>
        <v>700480.3200000001</v>
      </c>
      <c r="J10" s="103">
        <f>SUM(J11:J18)</f>
        <v>11400.3</v>
      </c>
      <c r="K10" s="103">
        <f>SUM(K11:K18)</f>
        <v>689080.02</v>
      </c>
      <c r="L10" s="103">
        <f t="shared" si="0"/>
        <v>140214.4</v>
      </c>
      <c r="M10" s="103">
        <f t="shared" si="0"/>
        <v>1816.4</v>
      </c>
      <c r="N10" s="103">
        <f t="shared" si="0"/>
        <v>138398</v>
      </c>
      <c r="O10" s="105">
        <f>N10/K10*100</f>
        <v>20.08445985707146</v>
      </c>
    </row>
    <row r="11" spans="1:16" ht="30">
      <c r="A11" s="106" t="s">
        <v>102</v>
      </c>
      <c r="B11" s="107" t="s">
        <v>103</v>
      </c>
      <c r="C11" s="108">
        <v>4775</v>
      </c>
      <c r="D11" s="108">
        <v>1018.1</v>
      </c>
      <c r="E11" s="97">
        <f>D11/C11*100</f>
        <v>21.321465968586388</v>
      </c>
      <c r="F11" s="109">
        <v>46469.1</v>
      </c>
      <c r="G11" s="109">
        <v>13509</v>
      </c>
      <c r="H11" s="110">
        <f>G11/F11*100</f>
        <v>29.07093100576512</v>
      </c>
      <c r="I11" s="111">
        <f>C11+F11</f>
        <v>51244.1</v>
      </c>
      <c r="J11" s="112"/>
      <c r="K11" s="113">
        <f aca="true" t="shared" si="1" ref="K11:K18">I11-J11</f>
        <v>51244.1</v>
      </c>
      <c r="L11" s="111">
        <f aca="true" t="shared" si="2" ref="L11:L18">D11+G11</f>
        <v>14527.1</v>
      </c>
      <c r="M11" s="112"/>
      <c r="N11" s="113">
        <f>L11-M11</f>
        <v>14527.1</v>
      </c>
      <c r="O11" s="114">
        <f aca="true" t="shared" si="3" ref="O11:O120">N11/K11*100</f>
        <v>28.348824547606462</v>
      </c>
      <c r="P11" s="115"/>
    </row>
    <row r="12" spans="1:16" ht="30">
      <c r="A12" s="106" t="s">
        <v>104</v>
      </c>
      <c r="B12" s="107" t="s">
        <v>105</v>
      </c>
      <c r="C12" s="108">
        <v>8381</v>
      </c>
      <c r="D12" s="108">
        <v>2867.8</v>
      </c>
      <c r="E12" s="97">
        <f aca="true" t="shared" si="4" ref="E12:E20">D12/C12*100</f>
        <v>34.2178737620809</v>
      </c>
      <c r="F12" s="109">
        <v>0</v>
      </c>
      <c r="G12" s="109"/>
      <c r="H12" s="110">
        <v>0</v>
      </c>
      <c r="I12" s="111">
        <f aca="true" t="shared" si="5" ref="I12:I18">C12+F12</f>
        <v>8381</v>
      </c>
      <c r="J12" s="112"/>
      <c r="K12" s="113">
        <f t="shared" si="1"/>
        <v>8381</v>
      </c>
      <c r="L12" s="111">
        <f t="shared" si="2"/>
        <v>2867.8</v>
      </c>
      <c r="M12" s="112"/>
      <c r="N12" s="113">
        <f aca="true" t="shared" si="6" ref="N12:N90">L12-M12</f>
        <v>2867.8</v>
      </c>
      <c r="O12" s="114">
        <f t="shared" si="3"/>
        <v>34.2178737620809</v>
      </c>
      <c r="P12" s="115"/>
    </row>
    <row r="13" spans="1:16" ht="30">
      <c r="A13" s="106" t="s">
        <v>106</v>
      </c>
      <c r="B13" s="107" t="s">
        <v>107</v>
      </c>
      <c r="C13" s="108">
        <v>163810.1</v>
      </c>
      <c r="D13" s="108">
        <v>44749</v>
      </c>
      <c r="E13" s="97">
        <f t="shared" si="4"/>
        <v>27.317607400276295</v>
      </c>
      <c r="F13" s="109">
        <v>130111.1</v>
      </c>
      <c r="G13" s="109">
        <v>34996</v>
      </c>
      <c r="H13" s="110">
        <f>G13/F13*100</f>
        <v>26.89701339854939</v>
      </c>
      <c r="I13" s="111">
        <f t="shared" si="5"/>
        <v>293921.2</v>
      </c>
      <c r="J13" s="112">
        <v>6855.4</v>
      </c>
      <c r="K13" s="113">
        <f t="shared" si="1"/>
        <v>287065.8</v>
      </c>
      <c r="L13" s="111">
        <f t="shared" si="2"/>
        <v>79745</v>
      </c>
      <c r="M13" s="112">
        <v>0</v>
      </c>
      <c r="N13" s="113">
        <f>L13-M13</f>
        <v>79745</v>
      </c>
      <c r="O13" s="114">
        <f t="shared" si="3"/>
        <v>27.779345362631148</v>
      </c>
      <c r="P13" s="115"/>
    </row>
    <row r="14" spans="1:16" ht="15">
      <c r="A14" s="106" t="s">
        <v>108</v>
      </c>
      <c r="B14" s="107" t="s">
        <v>109</v>
      </c>
      <c r="C14" s="108">
        <v>6.1</v>
      </c>
      <c r="D14" s="108">
        <v>0</v>
      </c>
      <c r="E14" s="97">
        <f t="shared" si="4"/>
        <v>0</v>
      </c>
      <c r="F14" s="109">
        <v>0</v>
      </c>
      <c r="G14" s="109"/>
      <c r="H14" s="110">
        <v>0</v>
      </c>
      <c r="I14" s="111">
        <f t="shared" si="5"/>
        <v>6.1</v>
      </c>
      <c r="J14" s="112"/>
      <c r="K14" s="113">
        <f t="shared" si="1"/>
        <v>6.1</v>
      </c>
      <c r="L14" s="111">
        <f t="shared" si="2"/>
        <v>0</v>
      </c>
      <c r="M14" s="112"/>
      <c r="N14" s="113">
        <f>L14-M14</f>
        <v>0</v>
      </c>
      <c r="O14" s="114">
        <f t="shared" si="3"/>
        <v>0</v>
      </c>
      <c r="P14" s="115"/>
    </row>
    <row r="15" spans="1:16" ht="30">
      <c r="A15" s="106" t="s">
        <v>110</v>
      </c>
      <c r="B15" s="107" t="s">
        <v>111</v>
      </c>
      <c r="C15" s="108">
        <v>33451</v>
      </c>
      <c r="D15" s="108">
        <v>9892.4</v>
      </c>
      <c r="E15" s="97">
        <f t="shared" si="4"/>
        <v>29.572807987803053</v>
      </c>
      <c r="F15" s="109">
        <v>0</v>
      </c>
      <c r="G15" s="109"/>
      <c r="H15" s="110">
        <v>0</v>
      </c>
      <c r="I15" s="111">
        <f t="shared" si="5"/>
        <v>33451</v>
      </c>
      <c r="J15" s="112"/>
      <c r="K15" s="113">
        <f t="shared" si="1"/>
        <v>33451</v>
      </c>
      <c r="L15" s="111">
        <f t="shared" si="2"/>
        <v>9892.4</v>
      </c>
      <c r="M15" s="112"/>
      <c r="N15" s="113">
        <f t="shared" si="6"/>
        <v>9892.4</v>
      </c>
      <c r="O15" s="114">
        <f t="shared" si="3"/>
        <v>29.572807987803053</v>
      </c>
      <c r="P15" s="115"/>
    </row>
    <row r="16" spans="1:27" ht="30" hidden="1">
      <c r="A16" s="106" t="s">
        <v>112</v>
      </c>
      <c r="B16" s="107" t="s">
        <v>113</v>
      </c>
      <c r="C16" s="108"/>
      <c r="D16" s="108"/>
      <c r="E16" s="97"/>
      <c r="F16" s="109"/>
      <c r="G16" s="109"/>
      <c r="H16" s="110" t="e">
        <f>G16/F16*100</f>
        <v>#DIV/0!</v>
      </c>
      <c r="I16" s="111">
        <f t="shared" si="5"/>
        <v>0</v>
      </c>
      <c r="J16" s="112"/>
      <c r="K16" s="113">
        <f t="shared" si="1"/>
        <v>0</v>
      </c>
      <c r="L16" s="111">
        <f t="shared" si="2"/>
        <v>0</v>
      </c>
      <c r="M16" s="112"/>
      <c r="N16" s="113">
        <f t="shared" si="6"/>
        <v>0</v>
      </c>
      <c r="O16" s="114" t="e">
        <f t="shared" si="3"/>
        <v>#DIV/0!</v>
      </c>
      <c r="P16" s="115"/>
      <c r="AA16" t="s">
        <v>114</v>
      </c>
    </row>
    <row r="17" spans="1:16" ht="15">
      <c r="A17" s="116" t="s">
        <v>115</v>
      </c>
      <c r="B17" s="107" t="s">
        <v>116</v>
      </c>
      <c r="C17" s="108">
        <v>15000</v>
      </c>
      <c r="D17" s="108">
        <v>0</v>
      </c>
      <c r="E17" s="97">
        <f t="shared" si="4"/>
        <v>0</v>
      </c>
      <c r="F17" s="109">
        <v>950</v>
      </c>
      <c r="G17" s="109"/>
      <c r="H17" s="110">
        <f>G17/F17*100</f>
        <v>0</v>
      </c>
      <c r="I17" s="111">
        <f t="shared" si="5"/>
        <v>15950</v>
      </c>
      <c r="J17" s="112"/>
      <c r="K17" s="113">
        <f t="shared" si="1"/>
        <v>15950</v>
      </c>
      <c r="L17" s="111">
        <f t="shared" si="2"/>
        <v>0</v>
      </c>
      <c r="M17" s="112"/>
      <c r="N17" s="113">
        <f t="shared" si="6"/>
        <v>0</v>
      </c>
      <c r="O17" s="114">
        <f t="shared" si="3"/>
        <v>0</v>
      </c>
      <c r="P17" s="115"/>
    </row>
    <row r="18" spans="1:16" ht="15">
      <c r="A18" s="106" t="s">
        <v>117</v>
      </c>
      <c r="B18" s="107" t="s">
        <v>118</v>
      </c>
      <c r="C18" s="108">
        <v>266372.2</v>
      </c>
      <c r="D18" s="108">
        <v>24334.8</v>
      </c>
      <c r="E18" s="97">
        <f t="shared" si="4"/>
        <v>9.135638028292743</v>
      </c>
      <c r="F18" s="109">
        <f>31154.72</f>
        <v>31154.72</v>
      </c>
      <c r="G18" s="109">
        <v>8847.3</v>
      </c>
      <c r="H18" s="110">
        <f>G18/F18*100</f>
        <v>28.397944195935636</v>
      </c>
      <c r="I18" s="111">
        <f t="shared" si="5"/>
        <v>297526.92000000004</v>
      </c>
      <c r="J18" s="112">
        <v>4544.9</v>
      </c>
      <c r="K18" s="113">
        <f t="shared" si="1"/>
        <v>292982.02</v>
      </c>
      <c r="L18" s="111">
        <f t="shared" si="2"/>
        <v>33182.1</v>
      </c>
      <c r="M18" s="117">
        <v>1816.4</v>
      </c>
      <c r="N18" s="113">
        <f t="shared" si="6"/>
        <v>31365.699999999997</v>
      </c>
      <c r="O18" s="114">
        <f t="shared" si="3"/>
        <v>10.705674020542283</v>
      </c>
      <c r="P18" s="115"/>
    </row>
    <row r="19" spans="1:22" ht="15">
      <c r="A19" s="101" t="s">
        <v>119</v>
      </c>
      <c r="B19" s="102" t="s">
        <v>120</v>
      </c>
      <c r="C19" s="103">
        <f aca="true" t="shared" si="7" ref="C19:N19">C20</f>
        <v>4197.3</v>
      </c>
      <c r="D19" s="103">
        <f t="shared" si="7"/>
        <v>749.6</v>
      </c>
      <c r="E19" s="103">
        <f t="shared" si="7"/>
        <v>17.859099897553186</v>
      </c>
      <c r="F19" s="103">
        <f t="shared" si="7"/>
        <v>4197.3</v>
      </c>
      <c r="G19" s="103">
        <f t="shared" si="7"/>
        <v>748.6</v>
      </c>
      <c r="H19" s="118">
        <f t="shared" si="7"/>
        <v>17.835275057775235</v>
      </c>
      <c r="I19" s="103">
        <f>I20</f>
        <v>8394.6</v>
      </c>
      <c r="J19" s="103">
        <f>J20</f>
        <v>4197.3</v>
      </c>
      <c r="K19" s="103">
        <f>K20</f>
        <v>4197.3</v>
      </c>
      <c r="L19" s="103">
        <f t="shared" si="7"/>
        <v>1498.2</v>
      </c>
      <c r="M19" s="103">
        <f>M20</f>
        <v>749.6</v>
      </c>
      <c r="N19" s="103">
        <f t="shared" si="7"/>
        <v>748.6</v>
      </c>
      <c r="O19" s="119">
        <f t="shared" si="3"/>
        <v>17.835275057775235</v>
      </c>
      <c r="P19" s="115"/>
      <c r="V19" t="s">
        <v>39</v>
      </c>
    </row>
    <row r="20" spans="1:16" ht="15">
      <c r="A20" s="120" t="s">
        <v>121</v>
      </c>
      <c r="B20" s="107" t="s">
        <v>122</v>
      </c>
      <c r="C20" s="108">
        <v>4197.3</v>
      </c>
      <c r="D20" s="108">
        <v>749.6</v>
      </c>
      <c r="E20" s="97">
        <f t="shared" si="4"/>
        <v>17.859099897553186</v>
      </c>
      <c r="F20" s="109">
        <v>4197.3</v>
      </c>
      <c r="G20" s="109">
        <v>748.6</v>
      </c>
      <c r="H20" s="110">
        <f aca="true" t="shared" si="8" ref="H20:H28">G20/F20*100</f>
        <v>17.835275057775235</v>
      </c>
      <c r="I20" s="111">
        <f aca="true" t="shared" si="9" ref="I20:I90">C20+F20</f>
        <v>8394.6</v>
      </c>
      <c r="J20" s="112">
        <v>4197.3</v>
      </c>
      <c r="K20" s="113">
        <f>I20-J20</f>
        <v>4197.3</v>
      </c>
      <c r="L20" s="111">
        <f>D20+G20</f>
        <v>1498.2</v>
      </c>
      <c r="M20" s="112">
        <v>749.6</v>
      </c>
      <c r="N20" s="113">
        <f t="shared" si="6"/>
        <v>748.6</v>
      </c>
      <c r="O20" s="114">
        <f t="shared" si="3"/>
        <v>17.835275057775235</v>
      </c>
      <c r="P20" s="115"/>
    </row>
    <row r="21" spans="1:16" ht="28.5" customHeight="1">
      <c r="A21" s="101" t="s">
        <v>123</v>
      </c>
      <c r="B21" s="121" t="s">
        <v>124</v>
      </c>
      <c r="C21" s="103">
        <f>C23+C25+C22+C24</f>
        <v>26729.4</v>
      </c>
      <c r="D21" s="103">
        <f>D23+D25+D22+D24</f>
        <v>3010.3999999999996</v>
      </c>
      <c r="E21" s="122">
        <f>D21/C21*100</f>
        <v>11.262504957088447</v>
      </c>
      <c r="F21" s="122">
        <f>F23+F25+F22+F24</f>
        <v>5744.7</v>
      </c>
      <c r="G21" s="122">
        <f>G23+G25+G22+G24</f>
        <v>779.3000000000001</v>
      </c>
      <c r="H21" s="122">
        <f t="shared" si="8"/>
        <v>13.565547374101348</v>
      </c>
      <c r="I21" s="122">
        <f aca="true" t="shared" si="10" ref="I21:N21">SUM(I22:I25)</f>
        <v>32474.100000000002</v>
      </c>
      <c r="J21" s="122">
        <f t="shared" si="10"/>
        <v>2825.5</v>
      </c>
      <c r="K21" s="122">
        <f t="shared" si="10"/>
        <v>29648.600000000002</v>
      </c>
      <c r="L21" s="122">
        <f t="shared" si="10"/>
        <v>3789.7000000000003</v>
      </c>
      <c r="M21" s="122">
        <f t="shared" si="10"/>
        <v>454.9</v>
      </c>
      <c r="N21" s="122">
        <f t="shared" si="10"/>
        <v>3334.7999999999997</v>
      </c>
      <c r="O21" s="123">
        <f>N21/K21*100</f>
        <v>11.24774862894032</v>
      </c>
      <c r="P21" s="115"/>
    </row>
    <row r="22" spans="1:16" ht="15">
      <c r="A22" s="116" t="s">
        <v>125</v>
      </c>
      <c r="B22" s="107" t="s">
        <v>126</v>
      </c>
      <c r="C22" s="108">
        <v>6191.8</v>
      </c>
      <c r="D22" s="108">
        <v>1532.5</v>
      </c>
      <c r="E22" s="97">
        <f aca="true" t="shared" si="11" ref="E22:E133">D22/C22*100</f>
        <v>24.750476436577408</v>
      </c>
      <c r="F22" s="109">
        <v>910.6</v>
      </c>
      <c r="G22" s="109">
        <v>87.7</v>
      </c>
      <c r="H22" s="110">
        <f t="shared" si="8"/>
        <v>9.631012519218098</v>
      </c>
      <c r="I22" s="111">
        <f>C22+F22</f>
        <v>7102.400000000001</v>
      </c>
      <c r="J22" s="112">
        <v>910.6</v>
      </c>
      <c r="K22" s="113">
        <f>I22-J22</f>
        <v>6191.8</v>
      </c>
      <c r="L22" s="111">
        <f>D22+G22</f>
        <v>1620.2</v>
      </c>
      <c r="M22" s="112">
        <v>119.1</v>
      </c>
      <c r="N22" s="113">
        <f t="shared" si="6"/>
        <v>1501.1000000000001</v>
      </c>
      <c r="O22" s="114">
        <f>N22/K22*100</f>
        <v>24.24335411350496</v>
      </c>
      <c r="P22" s="115"/>
    </row>
    <row r="23" spans="1:16" ht="30">
      <c r="A23" s="120" t="s">
        <v>127</v>
      </c>
      <c r="B23" s="107" t="s">
        <v>128</v>
      </c>
      <c r="C23" s="108">
        <v>6829.1</v>
      </c>
      <c r="D23" s="108">
        <v>63.6</v>
      </c>
      <c r="E23" s="97">
        <f t="shared" si="11"/>
        <v>0.9313086643920868</v>
      </c>
      <c r="F23" s="109">
        <v>549.1</v>
      </c>
      <c r="G23" s="109">
        <v>43.3</v>
      </c>
      <c r="H23" s="110">
        <f t="shared" si="8"/>
        <v>7.8856310325987975</v>
      </c>
      <c r="I23" s="111">
        <f>C23+F23</f>
        <v>7378.200000000001</v>
      </c>
      <c r="J23" s="112">
        <v>549.1</v>
      </c>
      <c r="K23" s="113">
        <f>I23-J23</f>
        <v>6829.1</v>
      </c>
      <c r="L23" s="111">
        <f>D23+G23</f>
        <v>106.9</v>
      </c>
      <c r="M23" s="112">
        <v>43.3</v>
      </c>
      <c r="N23" s="113">
        <f t="shared" si="6"/>
        <v>63.60000000000001</v>
      </c>
      <c r="O23" s="114">
        <f>N23/K23*100</f>
        <v>0.9313086643920868</v>
      </c>
      <c r="P23" s="115"/>
    </row>
    <row r="24" spans="1:16" ht="15">
      <c r="A24" s="120" t="s">
        <v>129</v>
      </c>
      <c r="B24" s="107" t="s">
        <v>130</v>
      </c>
      <c r="C24" s="108">
        <v>13407.2</v>
      </c>
      <c r="D24" s="108">
        <v>1404.8</v>
      </c>
      <c r="E24" s="97">
        <f t="shared" si="11"/>
        <v>10.477952145116056</v>
      </c>
      <c r="F24" s="109">
        <v>3976.1</v>
      </c>
      <c r="G24" s="109">
        <v>634.7</v>
      </c>
      <c r="H24" s="110">
        <f t="shared" si="8"/>
        <v>15.962878197228441</v>
      </c>
      <c r="I24" s="111">
        <f>C24+F24</f>
        <v>17383.3</v>
      </c>
      <c r="J24" s="112">
        <v>1132</v>
      </c>
      <c r="K24" s="113">
        <f>I24-J24</f>
        <v>16251.3</v>
      </c>
      <c r="L24" s="111">
        <f>D24+G24</f>
        <v>2039.5</v>
      </c>
      <c r="M24" s="112">
        <v>283</v>
      </c>
      <c r="N24" s="113">
        <f t="shared" si="6"/>
        <v>1756.5</v>
      </c>
      <c r="O24" s="114">
        <f>N24/K24*100</f>
        <v>10.808366099942775</v>
      </c>
      <c r="P24" s="115"/>
    </row>
    <row r="25" spans="1:16" ht="45">
      <c r="A25" s="116" t="s">
        <v>131</v>
      </c>
      <c r="B25" s="107" t="s">
        <v>132</v>
      </c>
      <c r="C25" s="108">
        <v>301.3</v>
      </c>
      <c r="D25" s="108">
        <v>9.5</v>
      </c>
      <c r="E25" s="97">
        <f t="shared" si="11"/>
        <v>3.1530036508463324</v>
      </c>
      <c r="F25" s="109">
        <v>308.9</v>
      </c>
      <c r="G25" s="109">
        <v>13.6</v>
      </c>
      <c r="H25" s="110">
        <f t="shared" si="8"/>
        <v>4.402719326642926</v>
      </c>
      <c r="I25" s="111">
        <f>C25+F25</f>
        <v>610.2</v>
      </c>
      <c r="J25" s="112">
        <v>233.8</v>
      </c>
      <c r="K25" s="113">
        <f>I25-J25</f>
        <v>376.40000000000003</v>
      </c>
      <c r="L25" s="111">
        <f>D25+G25</f>
        <v>23.1</v>
      </c>
      <c r="M25" s="112">
        <v>9.5</v>
      </c>
      <c r="N25" s="113">
        <f t="shared" si="6"/>
        <v>13.600000000000001</v>
      </c>
      <c r="O25" s="114">
        <f>N25/K25*100</f>
        <v>3.6131774707757707</v>
      </c>
      <c r="P25" s="115"/>
    </row>
    <row r="26" spans="1:16" ht="15">
      <c r="A26" s="101" t="s">
        <v>133</v>
      </c>
      <c r="B26" s="102" t="s">
        <v>134</v>
      </c>
      <c r="C26" s="103">
        <f>SUM(C27:C58)</f>
        <v>164253</v>
      </c>
      <c r="D26" s="103">
        <f>SUM(D27:D58)</f>
        <v>36377</v>
      </c>
      <c r="E26" s="103">
        <f>D26/C26*100</f>
        <v>22.14693186730227</v>
      </c>
      <c r="F26" s="103">
        <f>SUM(F27:F58)</f>
        <v>111724.5</v>
      </c>
      <c r="G26" s="103">
        <f>SUM(G27:G58)</f>
        <v>22531.399999999998</v>
      </c>
      <c r="H26" s="104">
        <f t="shared" si="8"/>
        <v>20.16692847137378</v>
      </c>
      <c r="I26" s="103">
        <f aca="true" t="shared" si="12" ref="I26:N26">SUM(I27:I58)</f>
        <v>275977.5</v>
      </c>
      <c r="J26" s="103">
        <f t="shared" si="12"/>
        <v>31177.7</v>
      </c>
      <c r="K26" s="103">
        <f>SUM(K27:K58)</f>
        <v>244799.80000000002</v>
      </c>
      <c r="L26" s="103">
        <f t="shared" si="12"/>
        <v>58908.39999999999</v>
      </c>
      <c r="M26" s="103">
        <f t="shared" si="12"/>
        <v>7129</v>
      </c>
      <c r="N26" s="103">
        <f t="shared" si="12"/>
        <v>51779.4</v>
      </c>
      <c r="O26" s="105">
        <f t="shared" si="3"/>
        <v>21.151732967102095</v>
      </c>
      <c r="P26" s="115"/>
    </row>
    <row r="27" spans="1:16" ht="60">
      <c r="A27" s="124" t="s">
        <v>135</v>
      </c>
      <c r="B27" s="125" t="s">
        <v>136</v>
      </c>
      <c r="C27" s="108">
        <v>39389</v>
      </c>
      <c r="D27" s="108">
        <v>7271.5</v>
      </c>
      <c r="E27" s="97">
        <f t="shared" si="11"/>
        <v>18.46073776942801</v>
      </c>
      <c r="F27" s="108">
        <v>11501.5</v>
      </c>
      <c r="G27" s="109">
        <v>5688.1</v>
      </c>
      <c r="H27" s="110">
        <f t="shared" si="8"/>
        <v>49.45528844063818</v>
      </c>
      <c r="I27" s="111">
        <f t="shared" si="9"/>
        <v>50890.5</v>
      </c>
      <c r="J27" s="112">
        <v>11501.5</v>
      </c>
      <c r="K27" s="113">
        <f aca="true" t="shared" si="13" ref="K27:K58">I27-J27</f>
        <v>39389</v>
      </c>
      <c r="L27" s="111">
        <f aca="true" t="shared" si="14" ref="L27:L50">D27+G27</f>
        <v>12959.6</v>
      </c>
      <c r="M27" s="112">
        <v>6102.6</v>
      </c>
      <c r="N27" s="113">
        <f>L27-M27</f>
        <v>6857</v>
      </c>
      <c r="O27" s="114">
        <f t="shared" si="3"/>
        <v>17.408413516463987</v>
      </c>
      <c r="P27" s="115"/>
    </row>
    <row r="28" spans="1:16" ht="15">
      <c r="A28" s="106" t="s">
        <v>137</v>
      </c>
      <c r="B28" s="107" t="s">
        <v>138</v>
      </c>
      <c r="C28" s="108">
        <v>40643.4</v>
      </c>
      <c r="D28" s="108">
        <v>20562.1</v>
      </c>
      <c r="E28" s="97">
        <f t="shared" si="11"/>
        <v>50.59148594851808</v>
      </c>
      <c r="F28" s="109">
        <v>1857.1</v>
      </c>
      <c r="G28" s="109">
        <v>0</v>
      </c>
      <c r="H28" s="110">
        <f t="shared" si="8"/>
        <v>0</v>
      </c>
      <c r="I28" s="111">
        <f t="shared" si="9"/>
        <v>42500.5</v>
      </c>
      <c r="J28" s="112">
        <v>1833.7</v>
      </c>
      <c r="K28" s="113">
        <f t="shared" si="13"/>
        <v>40666.8</v>
      </c>
      <c r="L28" s="111">
        <f t="shared" si="14"/>
        <v>20562.1</v>
      </c>
      <c r="M28" s="112"/>
      <c r="N28" s="113">
        <f t="shared" si="6"/>
        <v>20562.1</v>
      </c>
      <c r="O28" s="114">
        <f t="shared" si="3"/>
        <v>50.56237520532719</v>
      </c>
      <c r="P28" s="115"/>
    </row>
    <row r="29" spans="1:16" s="148" customFormat="1" ht="15">
      <c r="A29" s="120" t="s">
        <v>139</v>
      </c>
      <c r="B29" s="138" t="s">
        <v>140</v>
      </c>
      <c r="C29" s="189">
        <v>6000</v>
      </c>
      <c r="D29" s="189">
        <v>666.2</v>
      </c>
      <c r="E29" s="189">
        <f t="shared" si="11"/>
        <v>11.103333333333335</v>
      </c>
      <c r="F29" s="190"/>
      <c r="G29" s="190">
        <v>0</v>
      </c>
      <c r="H29" s="190">
        <v>0</v>
      </c>
      <c r="I29" s="111">
        <f t="shared" si="9"/>
        <v>6000</v>
      </c>
      <c r="J29" s="112"/>
      <c r="K29" s="113">
        <f t="shared" si="13"/>
        <v>6000</v>
      </c>
      <c r="L29" s="111">
        <f t="shared" si="14"/>
        <v>666.2</v>
      </c>
      <c r="M29" s="112"/>
      <c r="N29" s="113">
        <f>L29-M29</f>
        <v>666.2</v>
      </c>
      <c r="O29" s="145">
        <f t="shared" si="3"/>
        <v>11.103333333333335</v>
      </c>
      <c r="P29" s="147"/>
    </row>
    <row r="30" spans="1:16" ht="45">
      <c r="A30" s="106" t="s">
        <v>139</v>
      </c>
      <c r="B30" s="107" t="s">
        <v>141</v>
      </c>
      <c r="C30" s="108">
        <v>21416.5</v>
      </c>
      <c r="D30" s="108">
        <v>6271.8</v>
      </c>
      <c r="E30" s="97">
        <f t="shared" si="11"/>
        <v>29.284897158732754</v>
      </c>
      <c r="F30" s="109">
        <v>19065.1</v>
      </c>
      <c r="G30" s="109">
        <v>3543.7</v>
      </c>
      <c r="H30" s="110">
        <f>G30/F30*100</f>
        <v>18.58736644444561</v>
      </c>
      <c r="I30" s="111">
        <f t="shared" si="9"/>
        <v>40481.6</v>
      </c>
      <c r="J30" s="112">
        <v>3161.5</v>
      </c>
      <c r="K30" s="113">
        <f t="shared" si="13"/>
        <v>37320.1</v>
      </c>
      <c r="L30" s="111">
        <f t="shared" si="14"/>
        <v>9815.5</v>
      </c>
      <c r="M30" s="112">
        <v>790.4</v>
      </c>
      <c r="N30" s="113">
        <f t="shared" si="6"/>
        <v>9025.1</v>
      </c>
      <c r="O30" s="114">
        <f t="shared" si="3"/>
        <v>24.182946991031645</v>
      </c>
      <c r="P30" s="115"/>
    </row>
    <row r="31" spans="1:16" ht="15">
      <c r="A31" s="106" t="s">
        <v>139</v>
      </c>
      <c r="B31" s="107" t="s">
        <v>142</v>
      </c>
      <c r="C31" s="108">
        <v>25360</v>
      </c>
      <c r="D31" s="108">
        <v>0</v>
      </c>
      <c r="E31" s="97">
        <f t="shared" si="11"/>
        <v>0</v>
      </c>
      <c r="F31" s="109">
        <v>0</v>
      </c>
      <c r="G31" s="109"/>
      <c r="H31" s="110">
        <v>0</v>
      </c>
      <c r="I31" s="111">
        <f t="shared" si="9"/>
        <v>25360</v>
      </c>
      <c r="J31" s="112"/>
      <c r="K31" s="113">
        <f t="shared" si="13"/>
        <v>25360</v>
      </c>
      <c r="L31" s="111">
        <f t="shared" si="14"/>
        <v>0</v>
      </c>
      <c r="M31" s="112"/>
      <c r="N31" s="113">
        <f t="shared" si="6"/>
        <v>0</v>
      </c>
      <c r="O31" s="114">
        <f t="shared" si="3"/>
        <v>0</v>
      </c>
      <c r="P31" s="115"/>
    </row>
    <row r="32" spans="1:16" ht="60" hidden="1">
      <c r="A32" s="106" t="s">
        <v>143</v>
      </c>
      <c r="B32" s="126" t="s">
        <v>144</v>
      </c>
      <c r="C32" s="108"/>
      <c r="D32" s="108"/>
      <c r="E32" s="97"/>
      <c r="F32" s="109">
        <v>0</v>
      </c>
      <c r="G32" s="109"/>
      <c r="H32" s="110"/>
      <c r="I32" s="111">
        <f t="shared" si="9"/>
        <v>0</v>
      </c>
      <c r="J32" s="112"/>
      <c r="K32" s="113">
        <f t="shared" si="13"/>
        <v>0</v>
      </c>
      <c r="L32" s="111">
        <f t="shared" si="14"/>
        <v>0</v>
      </c>
      <c r="M32" s="112"/>
      <c r="N32" s="113">
        <f t="shared" si="6"/>
        <v>0</v>
      </c>
      <c r="O32" s="114"/>
      <c r="P32" s="115"/>
    </row>
    <row r="33" spans="1:16" ht="60" hidden="1">
      <c r="A33" s="116" t="s">
        <v>143</v>
      </c>
      <c r="B33" s="126" t="s">
        <v>145</v>
      </c>
      <c r="C33" s="108"/>
      <c r="D33" s="108"/>
      <c r="E33" s="97"/>
      <c r="F33" s="109">
        <v>0</v>
      </c>
      <c r="G33" s="109"/>
      <c r="H33" s="110"/>
      <c r="I33" s="111">
        <f t="shared" si="9"/>
        <v>0</v>
      </c>
      <c r="J33" s="112"/>
      <c r="K33" s="113">
        <f t="shared" si="13"/>
        <v>0</v>
      </c>
      <c r="L33" s="111">
        <f t="shared" si="14"/>
        <v>0</v>
      </c>
      <c r="M33" s="112"/>
      <c r="N33" s="113">
        <f t="shared" si="6"/>
        <v>0</v>
      </c>
      <c r="O33" s="114"/>
      <c r="P33" s="115"/>
    </row>
    <row r="34" spans="1:16" ht="30">
      <c r="A34" s="116" t="s">
        <v>143</v>
      </c>
      <c r="B34" s="107" t="s">
        <v>146</v>
      </c>
      <c r="C34" s="108">
        <v>1079.2</v>
      </c>
      <c r="D34" s="108">
        <v>193.1</v>
      </c>
      <c r="E34" s="97">
        <f t="shared" si="11"/>
        <v>17.89288361749444</v>
      </c>
      <c r="F34" s="109">
        <v>0</v>
      </c>
      <c r="G34" s="109"/>
      <c r="H34" s="110" t="e">
        <f>G34/F34*100</f>
        <v>#DIV/0!</v>
      </c>
      <c r="I34" s="111">
        <f t="shared" si="9"/>
        <v>1079.2</v>
      </c>
      <c r="J34" s="112"/>
      <c r="K34" s="113">
        <f t="shared" si="13"/>
        <v>1079.2</v>
      </c>
      <c r="L34" s="111">
        <f t="shared" si="14"/>
        <v>193.1</v>
      </c>
      <c r="M34" s="112"/>
      <c r="N34" s="113">
        <f t="shared" si="6"/>
        <v>193.1</v>
      </c>
      <c r="O34" s="114">
        <f t="shared" si="3"/>
        <v>17.89288361749444</v>
      </c>
      <c r="P34" s="115"/>
    </row>
    <row r="35" spans="1:16" ht="105" hidden="1">
      <c r="A35" s="116" t="s">
        <v>143</v>
      </c>
      <c r="B35" s="107" t="s">
        <v>147</v>
      </c>
      <c r="C35" s="108"/>
      <c r="D35" s="108"/>
      <c r="E35" s="97" t="e">
        <f t="shared" si="11"/>
        <v>#DIV/0!</v>
      </c>
      <c r="F35" s="109"/>
      <c r="G35" s="109"/>
      <c r="H35" s="110" t="e">
        <f>G35/F35*100</f>
        <v>#DIV/0!</v>
      </c>
      <c r="I35" s="111">
        <f t="shared" si="9"/>
        <v>0</v>
      </c>
      <c r="J35" s="112"/>
      <c r="K35" s="113">
        <f t="shared" si="13"/>
        <v>0</v>
      </c>
      <c r="L35" s="111">
        <f t="shared" si="14"/>
        <v>0</v>
      </c>
      <c r="M35" s="112"/>
      <c r="N35" s="113">
        <f t="shared" si="6"/>
        <v>0</v>
      </c>
      <c r="O35" s="114" t="e">
        <f t="shared" si="3"/>
        <v>#DIV/0!</v>
      </c>
      <c r="P35" s="115"/>
    </row>
    <row r="36" spans="1:16" ht="75" hidden="1">
      <c r="A36" s="116" t="s">
        <v>143</v>
      </c>
      <c r="B36" s="107" t="s">
        <v>148</v>
      </c>
      <c r="C36" s="108"/>
      <c r="D36" s="108"/>
      <c r="E36" s="97" t="e">
        <f t="shared" si="11"/>
        <v>#DIV/0!</v>
      </c>
      <c r="F36" s="109"/>
      <c r="G36" s="109"/>
      <c r="H36" s="110" t="e">
        <f aca="true" t="shared" si="15" ref="H36:H58">G36/F36*100</f>
        <v>#DIV/0!</v>
      </c>
      <c r="I36" s="111">
        <f t="shared" si="9"/>
        <v>0</v>
      </c>
      <c r="J36" s="112"/>
      <c r="K36" s="113">
        <f t="shared" si="13"/>
        <v>0</v>
      </c>
      <c r="L36" s="111">
        <f t="shared" si="14"/>
        <v>0</v>
      </c>
      <c r="M36" s="112"/>
      <c r="N36" s="113">
        <f t="shared" si="6"/>
        <v>0</v>
      </c>
      <c r="O36" s="114" t="e">
        <f t="shared" si="3"/>
        <v>#DIV/0!</v>
      </c>
      <c r="P36" s="115"/>
    </row>
    <row r="37" spans="1:16" ht="50.25" customHeight="1" hidden="1">
      <c r="A37" s="116" t="s">
        <v>143</v>
      </c>
      <c r="B37" s="107" t="s">
        <v>149</v>
      </c>
      <c r="C37" s="108"/>
      <c r="D37" s="108"/>
      <c r="E37" s="97" t="e">
        <f t="shared" si="11"/>
        <v>#DIV/0!</v>
      </c>
      <c r="F37" s="109"/>
      <c r="G37" s="109"/>
      <c r="H37" s="110" t="e">
        <f t="shared" si="15"/>
        <v>#DIV/0!</v>
      </c>
      <c r="I37" s="111">
        <f t="shared" si="9"/>
        <v>0</v>
      </c>
      <c r="J37" s="112"/>
      <c r="K37" s="113">
        <f t="shared" si="13"/>
        <v>0</v>
      </c>
      <c r="L37" s="111">
        <f t="shared" si="14"/>
        <v>0</v>
      </c>
      <c r="M37" s="112"/>
      <c r="N37" s="113">
        <f t="shared" si="6"/>
        <v>0</v>
      </c>
      <c r="O37" s="114" t="e">
        <f t="shared" si="3"/>
        <v>#DIV/0!</v>
      </c>
      <c r="P37" s="115"/>
    </row>
    <row r="38" spans="1:16" ht="75">
      <c r="A38" s="124" t="s">
        <v>143</v>
      </c>
      <c r="B38" s="107" t="s">
        <v>150</v>
      </c>
      <c r="C38" s="108">
        <v>13500</v>
      </c>
      <c r="D38" s="108">
        <v>208</v>
      </c>
      <c r="E38" s="97">
        <f t="shared" si="11"/>
        <v>1.5407407407407407</v>
      </c>
      <c r="F38" s="109">
        <v>73386.6</v>
      </c>
      <c r="G38" s="109">
        <v>12020.3</v>
      </c>
      <c r="H38" s="110">
        <f t="shared" si="15"/>
        <v>16.37942076618892</v>
      </c>
      <c r="I38" s="111">
        <f t="shared" si="9"/>
        <v>86886.6</v>
      </c>
      <c r="J38" s="112">
        <v>13500</v>
      </c>
      <c r="K38" s="113">
        <f t="shared" si="13"/>
        <v>73386.6</v>
      </c>
      <c r="L38" s="111">
        <f t="shared" si="14"/>
        <v>12228.3</v>
      </c>
      <c r="M38" s="112">
        <v>208</v>
      </c>
      <c r="N38" s="113">
        <f t="shared" si="6"/>
        <v>12020.3</v>
      </c>
      <c r="O38" s="114">
        <f t="shared" si="3"/>
        <v>16.37942076618892</v>
      </c>
      <c r="P38" s="115"/>
    </row>
    <row r="39" spans="1:16" ht="45" hidden="1">
      <c r="A39" s="124" t="s">
        <v>143</v>
      </c>
      <c r="B39" s="107" t="s">
        <v>151</v>
      </c>
      <c r="C39" s="108"/>
      <c r="D39" s="108"/>
      <c r="E39" s="97"/>
      <c r="F39" s="109"/>
      <c r="G39" s="109"/>
      <c r="H39" s="110" t="e">
        <f t="shared" si="15"/>
        <v>#DIV/0!</v>
      </c>
      <c r="I39" s="111">
        <f t="shared" si="9"/>
        <v>0</v>
      </c>
      <c r="J39" s="112"/>
      <c r="K39" s="113">
        <f t="shared" si="13"/>
        <v>0</v>
      </c>
      <c r="L39" s="111">
        <f t="shared" si="14"/>
        <v>0</v>
      </c>
      <c r="M39" s="112"/>
      <c r="N39" s="113">
        <f t="shared" si="6"/>
        <v>0</v>
      </c>
      <c r="O39" s="114" t="e">
        <f t="shared" si="3"/>
        <v>#DIV/0!</v>
      </c>
      <c r="P39" s="115"/>
    </row>
    <row r="40" spans="1:16" ht="45" hidden="1">
      <c r="A40" s="116" t="s">
        <v>143</v>
      </c>
      <c r="B40" s="107" t="s">
        <v>152</v>
      </c>
      <c r="C40" s="108"/>
      <c r="D40" s="108"/>
      <c r="E40" s="97" t="e">
        <f t="shared" si="11"/>
        <v>#DIV/0!</v>
      </c>
      <c r="F40" s="109">
        <v>0</v>
      </c>
      <c r="G40" s="109"/>
      <c r="H40" s="110" t="e">
        <f t="shared" si="15"/>
        <v>#DIV/0!</v>
      </c>
      <c r="I40" s="111">
        <f t="shared" si="9"/>
        <v>0</v>
      </c>
      <c r="J40" s="112"/>
      <c r="K40" s="113">
        <f t="shared" si="13"/>
        <v>0</v>
      </c>
      <c r="L40" s="111">
        <f t="shared" si="14"/>
        <v>0</v>
      </c>
      <c r="M40" s="112"/>
      <c r="N40" s="113">
        <f t="shared" si="6"/>
        <v>0</v>
      </c>
      <c r="O40" s="114" t="e">
        <f t="shared" si="3"/>
        <v>#DIV/0!</v>
      </c>
      <c r="P40" s="115"/>
    </row>
    <row r="41" spans="1:16" ht="30" hidden="1">
      <c r="A41" s="116" t="s">
        <v>143</v>
      </c>
      <c r="B41" s="107" t="s">
        <v>153</v>
      </c>
      <c r="C41" s="108"/>
      <c r="D41" s="108"/>
      <c r="E41" s="97"/>
      <c r="F41" s="109"/>
      <c r="G41" s="109"/>
      <c r="H41" s="110" t="e">
        <f t="shared" si="15"/>
        <v>#DIV/0!</v>
      </c>
      <c r="I41" s="111">
        <f t="shared" si="9"/>
        <v>0</v>
      </c>
      <c r="J41" s="112"/>
      <c r="K41" s="113">
        <f t="shared" si="13"/>
        <v>0</v>
      </c>
      <c r="L41" s="111">
        <f t="shared" si="14"/>
        <v>0</v>
      </c>
      <c r="M41" s="112"/>
      <c r="N41" s="113">
        <f t="shared" si="6"/>
        <v>0</v>
      </c>
      <c r="O41" s="114" t="e">
        <f t="shared" si="3"/>
        <v>#DIV/0!</v>
      </c>
      <c r="P41" s="115"/>
    </row>
    <row r="42" spans="1:16" ht="45" hidden="1">
      <c r="A42" s="116" t="s">
        <v>143</v>
      </c>
      <c r="B42" s="107" t="s">
        <v>154</v>
      </c>
      <c r="C42" s="108"/>
      <c r="D42" s="108"/>
      <c r="E42" s="97"/>
      <c r="F42" s="109"/>
      <c r="G42" s="109"/>
      <c r="H42" s="110" t="e">
        <f t="shared" si="15"/>
        <v>#DIV/0!</v>
      </c>
      <c r="I42" s="111">
        <f t="shared" si="9"/>
        <v>0</v>
      </c>
      <c r="J42" s="112"/>
      <c r="K42" s="113">
        <f t="shared" si="13"/>
        <v>0</v>
      </c>
      <c r="L42" s="111">
        <f t="shared" si="14"/>
        <v>0</v>
      </c>
      <c r="M42" s="112"/>
      <c r="N42" s="113">
        <f t="shared" si="6"/>
        <v>0</v>
      </c>
      <c r="O42" s="114" t="e">
        <f t="shared" si="3"/>
        <v>#DIV/0!</v>
      </c>
      <c r="P42" s="115"/>
    </row>
    <row r="43" spans="1:16" ht="60" hidden="1">
      <c r="A43" s="116" t="s">
        <v>143</v>
      </c>
      <c r="B43" s="107" t="s">
        <v>155</v>
      </c>
      <c r="C43" s="108">
        <v>0</v>
      </c>
      <c r="D43" s="108"/>
      <c r="E43" s="97"/>
      <c r="F43" s="109"/>
      <c r="G43" s="109"/>
      <c r="H43" s="110" t="e">
        <f t="shared" si="15"/>
        <v>#DIV/0!</v>
      </c>
      <c r="I43" s="111">
        <f t="shared" si="9"/>
        <v>0</v>
      </c>
      <c r="J43" s="112"/>
      <c r="K43" s="113">
        <f t="shared" si="13"/>
        <v>0</v>
      </c>
      <c r="L43" s="111">
        <f t="shared" si="14"/>
        <v>0</v>
      </c>
      <c r="M43" s="112"/>
      <c r="N43" s="113">
        <f t="shared" si="6"/>
        <v>0</v>
      </c>
      <c r="O43" s="114" t="e">
        <f t="shared" si="3"/>
        <v>#DIV/0!</v>
      </c>
      <c r="P43" s="115"/>
    </row>
    <row r="44" spans="1:16" ht="30" hidden="1">
      <c r="A44" s="116" t="s">
        <v>143</v>
      </c>
      <c r="B44" s="107" t="s">
        <v>156</v>
      </c>
      <c r="C44" s="108"/>
      <c r="D44" s="108"/>
      <c r="E44" s="108"/>
      <c r="F44" s="109"/>
      <c r="G44" s="109"/>
      <c r="H44" s="110" t="e">
        <f t="shared" si="15"/>
        <v>#DIV/0!</v>
      </c>
      <c r="I44" s="111">
        <f t="shared" si="9"/>
        <v>0</v>
      </c>
      <c r="J44" s="112"/>
      <c r="K44" s="113">
        <f t="shared" si="13"/>
        <v>0</v>
      </c>
      <c r="L44" s="111">
        <f t="shared" si="14"/>
        <v>0</v>
      </c>
      <c r="M44" s="112"/>
      <c r="N44" s="113">
        <f t="shared" si="6"/>
        <v>0</v>
      </c>
      <c r="O44" s="114" t="e">
        <f t="shared" si="3"/>
        <v>#DIV/0!</v>
      </c>
      <c r="P44" s="115"/>
    </row>
    <row r="45" spans="1:16" ht="45" hidden="1">
      <c r="A45" s="116" t="s">
        <v>143</v>
      </c>
      <c r="B45" s="107" t="s">
        <v>157</v>
      </c>
      <c r="C45" s="108"/>
      <c r="D45" s="108"/>
      <c r="E45" s="97"/>
      <c r="F45" s="109"/>
      <c r="G45" s="109"/>
      <c r="H45" s="110" t="e">
        <f t="shared" si="15"/>
        <v>#DIV/0!</v>
      </c>
      <c r="I45" s="111">
        <f t="shared" si="9"/>
        <v>0</v>
      </c>
      <c r="J45" s="112"/>
      <c r="K45" s="113">
        <f t="shared" si="13"/>
        <v>0</v>
      </c>
      <c r="L45" s="111">
        <f t="shared" si="14"/>
        <v>0</v>
      </c>
      <c r="M45" s="112"/>
      <c r="N45" s="113">
        <f t="shared" si="6"/>
        <v>0</v>
      </c>
      <c r="O45" s="114" t="e">
        <f t="shared" si="3"/>
        <v>#DIV/0!</v>
      </c>
      <c r="P45" s="115"/>
    </row>
    <row r="46" spans="1:16" ht="15">
      <c r="A46" s="120" t="s">
        <v>158</v>
      </c>
      <c r="B46" s="107" t="s">
        <v>159</v>
      </c>
      <c r="C46" s="108">
        <v>4461</v>
      </c>
      <c r="D46" s="108">
        <v>703.3</v>
      </c>
      <c r="E46" s="97">
        <f t="shared" si="11"/>
        <v>15.765523425240977</v>
      </c>
      <c r="F46" s="109">
        <v>4733.2</v>
      </c>
      <c r="G46" s="109">
        <v>1251.3</v>
      </c>
      <c r="H46" s="109">
        <f t="shared" si="15"/>
        <v>26.436660187610915</v>
      </c>
      <c r="I46" s="111">
        <f t="shared" si="9"/>
        <v>9194.2</v>
      </c>
      <c r="J46" s="112"/>
      <c r="K46" s="113">
        <f t="shared" si="13"/>
        <v>9194.2</v>
      </c>
      <c r="L46" s="111">
        <f t="shared" si="14"/>
        <v>1954.6</v>
      </c>
      <c r="M46" s="112"/>
      <c r="N46" s="113">
        <f t="shared" si="6"/>
        <v>1954.6</v>
      </c>
      <c r="O46" s="114">
        <f t="shared" si="3"/>
        <v>21.259054621391744</v>
      </c>
      <c r="P46" s="115"/>
    </row>
    <row r="47" spans="1:16" ht="60">
      <c r="A47" s="106" t="s">
        <v>160</v>
      </c>
      <c r="B47" s="126" t="s">
        <v>161</v>
      </c>
      <c r="C47" s="108">
        <v>3500</v>
      </c>
      <c r="D47" s="108">
        <v>28</v>
      </c>
      <c r="E47" s="108">
        <f t="shared" si="11"/>
        <v>0.8</v>
      </c>
      <c r="F47" s="109">
        <v>1181</v>
      </c>
      <c r="G47" s="109">
        <v>28</v>
      </c>
      <c r="H47" s="109">
        <f t="shared" si="15"/>
        <v>2.3708721422523285</v>
      </c>
      <c r="I47" s="111">
        <f t="shared" si="9"/>
        <v>4681</v>
      </c>
      <c r="J47" s="112">
        <v>1181</v>
      </c>
      <c r="K47" s="113">
        <f t="shared" si="13"/>
        <v>3500</v>
      </c>
      <c r="L47" s="111">
        <f t="shared" si="14"/>
        <v>56</v>
      </c>
      <c r="M47" s="112">
        <v>28</v>
      </c>
      <c r="N47" s="113">
        <f t="shared" si="6"/>
        <v>28</v>
      </c>
      <c r="O47" s="114">
        <f t="shared" si="3"/>
        <v>0.8</v>
      </c>
      <c r="P47" s="115"/>
    </row>
    <row r="48" spans="1:16" ht="45">
      <c r="A48" s="106" t="s">
        <v>160</v>
      </c>
      <c r="B48" s="126" t="s">
        <v>162</v>
      </c>
      <c r="C48" s="108">
        <v>516.1</v>
      </c>
      <c r="D48" s="108">
        <v>0</v>
      </c>
      <c r="E48" s="108">
        <f t="shared" si="11"/>
        <v>0</v>
      </c>
      <c r="F48" s="109"/>
      <c r="G48" s="109"/>
      <c r="H48" s="109" t="e">
        <f t="shared" si="15"/>
        <v>#DIV/0!</v>
      </c>
      <c r="I48" s="111">
        <f t="shared" si="9"/>
        <v>516.1</v>
      </c>
      <c r="J48" s="112"/>
      <c r="K48" s="113">
        <f t="shared" si="13"/>
        <v>516.1</v>
      </c>
      <c r="L48" s="111">
        <f t="shared" si="14"/>
        <v>0</v>
      </c>
      <c r="M48" s="112"/>
      <c r="N48" s="113">
        <f t="shared" si="6"/>
        <v>0</v>
      </c>
      <c r="O48" s="114">
        <f t="shared" si="3"/>
        <v>0</v>
      </c>
      <c r="P48" s="115"/>
    </row>
    <row r="49" spans="1:16" ht="75">
      <c r="A49" s="106" t="s">
        <v>160</v>
      </c>
      <c r="B49" s="126" t="s">
        <v>163</v>
      </c>
      <c r="C49" s="108">
        <v>6174.8</v>
      </c>
      <c r="D49" s="109">
        <v>0</v>
      </c>
      <c r="E49" s="97">
        <f t="shared" si="11"/>
        <v>0</v>
      </c>
      <c r="F49" s="109">
        <v>0</v>
      </c>
      <c r="G49" s="109"/>
      <c r="H49" s="109" t="e">
        <f t="shared" si="15"/>
        <v>#DIV/0!</v>
      </c>
      <c r="I49" s="111">
        <f t="shared" si="9"/>
        <v>6174.8</v>
      </c>
      <c r="J49" s="112"/>
      <c r="K49" s="113">
        <f t="shared" si="13"/>
        <v>6174.8</v>
      </c>
      <c r="L49" s="111">
        <f t="shared" si="14"/>
        <v>0</v>
      </c>
      <c r="M49" s="112"/>
      <c r="N49" s="113">
        <f t="shared" si="6"/>
        <v>0</v>
      </c>
      <c r="O49" s="114">
        <f t="shared" si="3"/>
        <v>0</v>
      </c>
      <c r="P49" s="115"/>
    </row>
    <row r="50" spans="1:16" ht="45">
      <c r="A50" s="116" t="s">
        <v>160</v>
      </c>
      <c r="B50" s="126" t="s">
        <v>164</v>
      </c>
      <c r="C50" s="108">
        <v>216</v>
      </c>
      <c r="D50" s="109">
        <v>0</v>
      </c>
      <c r="E50" s="108">
        <f t="shared" si="11"/>
        <v>0</v>
      </c>
      <c r="F50" s="109"/>
      <c r="G50" s="109"/>
      <c r="H50" s="109" t="e">
        <f t="shared" si="15"/>
        <v>#DIV/0!</v>
      </c>
      <c r="I50" s="111">
        <f t="shared" si="9"/>
        <v>216</v>
      </c>
      <c r="J50" s="112"/>
      <c r="K50" s="113">
        <f t="shared" si="13"/>
        <v>216</v>
      </c>
      <c r="L50" s="111">
        <f t="shared" si="14"/>
        <v>0</v>
      </c>
      <c r="M50" s="112"/>
      <c r="N50" s="113">
        <f t="shared" si="6"/>
        <v>0</v>
      </c>
      <c r="O50" s="114">
        <f t="shared" si="3"/>
        <v>0</v>
      </c>
      <c r="P50" s="115"/>
    </row>
    <row r="51" spans="1:16" ht="75">
      <c r="A51" s="116" t="s">
        <v>160</v>
      </c>
      <c r="B51" s="126" t="s">
        <v>165</v>
      </c>
      <c r="C51" s="108">
        <v>263.2</v>
      </c>
      <c r="D51" s="109"/>
      <c r="E51" s="108">
        <f>D51/C51*100</f>
        <v>0</v>
      </c>
      <c r="F51" s="109"/>
      <c r="G51" s="109"/>
      <c r="H51" s="109" t="e">
        <f>G51/F51*100</f>
        <v>#DIV/0!</v>
      </c>
      <c r="I51" s="111">
        <f t="shared" si="9"/>
        <v>263.2</v>
      </c>
      <c r="J51" s="112"/>
      <c r="K51" s="113">
        <f t="shared" si="13"/>
        <v>263.2</v>
      </c>
      <c r="L51" s="111"/>
      <c r="M51" s="112"/>
      <c r="N51" s="113"/>
      <c r="O51" s="114">
        <f>N51/K51*100</f>
        <v>0</v>
      </c>
      <c r="P51" s="115"/>
    </row>
    <row r="52" spans="1:16" ht="45">
      <c r="A52" s="116" t="s">
        <v>160</v>
      </c>
      <c r="B52" s="126" t="s">
        <v>166</v>
      </c>
      <c r="C52" s="108">
        <v>1733.8</v>
      </c>
      <c r="D52" s="109">
        <v>473</v>
      </c>
      <c r="E52" s="108">
        <f t="shared" si="11"/>
        <v>27.281116622447804</v>
      </c>
      <c r="F52" s="109">
        <v>0</v>
      </c>
      <c r="G52" s="109"/>
      <c r="H52" s="109" t="e">
        <f t="shared" si="15"/>
        <v>#DIV/0!</v>
      </c>
      <c r="I52" s="111">
        <f t="shared" si="9"/>
        <v>1733.8</v>
      </c>
      <c r="J52" s="112"/>
      <c r="K52" s="113">
        <f t="shared" si="13"/>
        <v>1733.8</v>
      </c>
      <c r="L52" s="111">
        <f aca="true" t="shared" si="16" ref="L52:L58">D52+G52</f>
        <v>473</v>
      </c>
      <c r="M52" s="112"/>
      <c r="N52" s="113">
        <f t="shared" si="6"/>
        <v>473</v>
      </c>
      <c r="O52" s="114">
        <f t="shared" si="3"/>
        <v>27.281116622447804</v>
      </c>
      <c r="P52" s="115"/>
    </row>
    <row r="53" spans="1:16" ht="75" hidden="1">
      <c r="A53" s="116" t="s">
        <v>160</v>
      </c>
      <c r="B53" s="126" t="s">
        <v>167</v>
      </c>
      <c r="C53" s="108"/>
      <c r="D53" s="109"/>
      <c r="E53" s="108" t="e">
        <f t="shared" si="11"/>
        <v>#DIV/0!</v>
      </c>
      <c r="F53" s="109"/>
      <c r="G53" s="109"/>
      <c r="H53" s="109" t="e">
        <f t="shared" si="15"/>
        <v>#DIV/0!</v>
      </c>
      <c r="I53" s="111">
        <f t="shared" si="9"/>
        <v>0</v>
      </c>
      <c r="J53" s="112"/>
      <c r="K53" s="113">
        <f t="shared" si="13"/>
        <v>0</v>
      </c>
      <c r="L53" s="111">
        <f t="shared" si="16"/>
        <v>0</v>
      </c>
      <c r="M53" s="112"/>
      <c r="N53" s="113">
        <f t="shared" si="6"/>
        <v>0</v>
      </c>
      <c r="O53" s="114" t="e">
        <f t="shared" si="3"/>
        <v>#DIV/0!</v>
      </c>
      <c r="P53" s="115"/>
    </row>
    <row r="54" spans="1:16" ht="45" hidden="1">
      <c r="A54" s="116" t="s">
        <v>160</v>
      </c>
      <c r="B54" s="126" t="s">
        <v>168</v>
      </c>
      <c r="C54" s="108"/>
      <c r="D54" s="109"/>
      <c r="E54" s="108" t="e">
        <f t="shared" si="11"/>
        <v>#DIV/0!</v>
      </c>
      <c r="F54" s="109"/>
      <c r="G54" s="109"/>
      <c r="H54" s="109" t="e">
        <f t="shared" si="15"/>
        <v>#DIV/0!</v>
      </c>
      <c r="I54" s="111">
        <f t="shared" si="9"/>
        <v>0</v>
      </c>
      <c r="J54" s="112"/>
      <c r="K54" s="113">
        <f t="shared" si="13"/>
        <v>0</v>
      </c>
      <c r="L54" s="111">
        <f t="shared" si="16"/>
        <v>0</v>
      </c>
      <c r="M54" s="112"/>
      <c r="N54" s="113">
        <f t="shared" si="6"/>
        <v>0</v>
      </c>
      <c r="O54" s="114" t="e">
        <f t="shared" si="3"/>
        <v>#DIV/0!</v>
      </c>
      <c r="P54" s="115"/>
    </row>
    <row r="55" spans="1:16" ht="45" hidden="1">
      <c r="A55" s="116" t="s">
        <v>160</v>
      </c>
      <c r="B55" s="126" t="s">
        <v>169</v>
      </c>
      <c r="C55" s="108"/>
      <c r="D55" s="109"/>
      <c r="E55" s="108" t="e">
        <f>D55/C55*100</f>
        <v>#DIV/0!</v>
      </c>
      <c r="F55" s="109"/>
      <c r="G55" s="109"/>
      <c r="H55" s="109" t="e">
        <f t="shared" si="15"/>
        <v>#DIV/0!</v>
      </c>
      <c r="I55" s="111">
        <f t="shared" si="9"/>
        <v>0</v>
      </c>
      <c r="J55" s="112"/>
      <c r="K55" s="113">
        <f t="shared" si="13"/>
        <v>0</v>
      </c>
      <c r="L55" s="111">
        <f t="shared" si="16"/>
        <v>0</v>
      </c>
      <c r="M55" s="112"/>
      <c r="N55" s="113">
        <f t="shared" si="6"/>
        <v>0</v>
      </c>
      <c r="O55" s="114" t="e">
        <f t="shared" si="3"/>
        <v>#DIV/0!</v>
      </c>
      <c r="P55" s="115"/>
    </row>
    <row r="56" spans="1:16" ht="90" hidden="1">
      <c r="A56" s="116" t="s">
        <v>160</v>
      </c>
      <c r="B56" s="126" t="s">
        <v>170</v>
      </c>
      <c r="C56" s="108"/>
      <c r="D56" s="109"/>
      <c r="E56" s="108" t="e">
        <f>D56/C56*100</f>
        <v>#DIV/0!</v>
      </c>
      <c r="F56" s="109"/>
      <c r="G56" s="109"/>
      <c r="H56" s="109"/>
      <c r="I56" s="111">
        <f t="shared" si="9"/>
        <v>0</v>
      </c>
      <c r="J56" s="112"/>
      <c r="K56" s="113">
        <f t="shared" si="13"/>
        <v>0</v>
      </c>
      <c r="L56" s="111">
        <f t="shared" si="16"/>
        <v>0</v>
      </c>
      <c r="M56" s="112"/>
      <c r="N56" s="113">
        <f t="shared" si="6"/>
        <v>0</v>
      </c>
      <c r="O56" s="114" t="e">
        <f t="shared" si="3"/>
        <v>#DIV/0!</v>
      </c>
      <c r="P56" s="115"/>
    </row>
    <row r="57" spans="1:16" ht="30" hidden="1">
      <c r="A57" s="116" t="s">
        <v>160</v>
      </c>
      <c r="B57" s="126" t="s">
        <v>171</v>
      </c>
      <c r="C57" s="108">
        <v>0</v>
      </c>
      <c r="D57" s="109">
        <v>0</v>
      </c>
      <c r="E57" s="108"/>
      <c r="F57" s="109"/>
      <c r="G57" s="109"/>
      <c r="H57" s="109" t="e">
        <f>G57/F57*100</f>
        <v>#DIV/0!</v>
      </c>
      <c r="I57" s="111">
        <f t="shared" si="9"/>
        <v>0</v>
      </c>
      <c r="J57" s="112"/>
      <c r="K57" s="113">
        <f t="shared" si="13"/>
        <v>0</v>
      </c>
      <c r="L57" s="111">
        <f t="shared" si="16"/>
        <v>0</v>
      </c>
      <c r="M57" s="112"/>
      <c r="N57" s="113">
        <f t="shared" si="6"/>
        <v>0</v>
      </c>
      <c r="O57" s="114" t="e">
        <f t="shared" si="3"/>
        <v>#DIV/0!</v>
      </c>
      <c r="P57" s="115"/>
    </row>
    <row r="58" spans="1:16" ht="45" hidden="1">
      <c r="A58" s="116" t="s">
        <v>160</v>
      </c>
      <c r="B58" s="126" t="s">
        <v>172</v>
      </c>
      <c r="C58" s="108">
        <v>0</v>
      </c>
      <c r="D58" s="109">
        <v>0</v>
      </c>
      <c r="E58" s="108"/>
      <c r="F58" s="109"/>
      <c r="G58" s="109"/>
      <c r="H58" s="109" t="e">
        <f t="shared" si="15"/>
        <v>#DIV/0!</v>
      </c>
      <c r="I58" s="111">
        <f t="shared" si="9"/>
        <v>0</v>
      </c>
      <c r="J58" s="112"/>
      <c r="K58" s="113">
        <f t="shared" si="13"/>
        <v>0</v>
      </c>
      <c r="L58" s="111">
        <f t="shared" si="16"/>
        <v>0</v>
      </c>
      <c r="M58" s="112"/>
      <c r="N58" s="113">
        <f t="shared" si="6"/>
        <v>0</v>
      </c>
      <c r="O58" s="114" t="e">
        <f t="shared" si="3"/>
        <v>#DIV/0!</v>
      </c>
      <c r="P58" s="115"/>
    </row>
    <row r="59" spans="1:16" ht="14.25">
      <c r="A59" s="101" t="s">
        <v>173</v>
      </c>
      <c r="B59" s="102" t="s">
        <v>174</v>
      </c>
      <c r="C59" s="103">
        <f>SUM(C60:C105)</f>
        <v>508381.29999999993</v>
      </c>
      <c r="D59" s="103">
        <f>SUM(D60:D105)</f>
        <v>30574.9</v>
      </c>
      <c r="E59" s="103">
        <f t="shared" si="11"/>
        <v>6.014166925494703</v>
      </c>
      <c r="F59" s="127">
        <f>SUM(F60:F105)</f>
        <v>162510.9</v>
      </c>
      <c r="G59" s="127">
        <f>SUM(G60:G105)</f>
        <v>25005.199999999997</v>
      </c>
      <c r="H59" s="127">
        <f>G59/F59*100</f>
        <v>15.38678328653647</v>
      </c>
      <c r="I59" s="128">
        <f t="shared" si="9"/>
        <v>670892.2</v>
      </c>
      <c r="J59" s="103">
        <f>SUM(J60:J105)</f>
        <v>60335.50000000001</v>
      </c>
      <c r="K59" s="103">
        <f>SUM(K60:K105)</f>
        <v>610556.7000000001</v>
      </c>
      <c r="L59" s="103">
        <f>SUM(L60:L105)</f>
        <v>55580.1</v>
      </c>
      <c r="M59" s="103">
        <f>SUM(M60:M105)</f>
        <v>1183.6</v>
      </c>
      <c r="N59" s="103">
        <f>SUM(N60:N105)</f>
        <v>54396.5</v>
      </c>
      <c r="O59" s="105">
        <f t="shared" si="3"/>
        <v>8.909328159039118</v>
      </c>
      <c r="P59" s="115"/>
    </row>
    <row r="60" spans="1:16" ht="75" hidden="1">
      <c r="A60" s="106" t="s">
        <v>175</v>
      </c>
      <c r="B60" s="107" t="s">
        <v>176</v>
      </c>
      <c r="C60" s="108"/>
      <c r="D60" s="108"/>
      <c r="E60" s="97" t="e">
        <f t="shared" si="11"/>
        <v>#DIV/0!</v>
      </c>
      <c r="F60" s="109">
        <v>0</v>
      </c>
      <c r="G60" s="109">
        <v>0</v>
      </c>
      <c r="H60" s="110">
        <v>0</v>
      </c>
      <c r="I60" s="111">
        <f t="shared" si="9"/>
        <v>0</v>
      </c>
      <c r="J60" s="112"/>
      <c r="K60" s="113">
        <f aca="true" t="shared" si="17" ref="K60:K76">I60-J60</f>
        <v>0</v>
      </c>
      <c r="L60" s="111">
        <f aca="true" t="shared" si="18" ref="L60:L67">D60+G60</f>
        <v>0</v>
      </c>
      <c r="M60" s="112"/>
      <c r="N60" s="113">
        <f t="shared" si="6"/>
        <v>0</v>
      </c>
      <c r="O60" s="114" t="e">
        <f t="shared" si="3"/>
        <v>#DIV/0!</v>
      </c>
      <c r="P60" s="115"/>
    </row>
    <row r="61" spans="1:16" ht="45" hidden="1">
      <c r="A61" s="106" t="s">
        <v>175</v>
      </c>
      <c r="B61" s="107" t="s">
        <v>177</v>
      </c>
      <c r="C61" s="108"/>
      <c r="D61" s="108"/>
      <c r="E61" s="97" t="e">
        <f t="shared" si="11"/>
        <v>#DIV/0!</v>
      </c>
      <c r="F61" s="109"/>
      <c r="G61" s="109"/>
      <c r="H61" s="110">
        <v>0</v>
      </c>
      <c r="I61" s="111">
        <f t="shared" si="9"/>
        <v>0</v>
      </c>
      <c r="J61" s="112"/>
      <c r="K61" s="113">
        <f t="shared" si="17"/>
        <v>0</v>
      </c>
      <c r="L61" s="111">
        <f t="shared" si="18"/>
        <v>0</v>
      </c>
      <c r="M61" s="112"/>
      <c r="N61" s="113">
        <f t="shared" si="6"/>
        <v>0</v>
      </c>
      <c r="O61" s="114" t="e">
        <f t="shared" si="3"/>
        <v>#DIV/0!</v>
      </c>
      <c r="P61" s="115"/>
    </row>
    <row r="62" spans="1:16" ht="45" hidden="1">
      <c r="A62" s="106" t="s">
        <v>175</v>
      </c>
      <c r="B62" s="107" t="s">
        <v>178</v>
      </c>
      <c r="C62" s="108">
        <v>0</v>
      </c>
      <c r="D62" s="108">
        <v>0</v>
      </c>
      <c r="E62" s="97" t="e">
        <f t="shared" si="11"/>
        <v>#DIV/0!</v>
      </c>
      <c r="F62" s="109"/>
      <c r="G62" s="109"/>
      <c r="H62" s="110">
        <v>0</v>
      </c>
      <c r="I62" s="111">
        <f t="shared" si="9"/>
        <v>0</v>
      </c>
      <c r="J62" s="112"/>
      <c r="K62" s="113">
        <f t="shared" si="17"/>
        <v>0</v>
      </c>
      <c r="L62" s="111">
        <f t="shared" si="18"/>
        <v>0</v>
      </c>
      <c r="M62" s="112"/>
      <c r="N62" s="113">
        <f t="shared" si="6"/>
        <v>0</v>
      </c>
      <c r="O62" s="114" t="e">
        <f>N62/K62*100</f>
        <v>#DIV/0!</v>
      </c>
      <c r="P62" s="115"/>
    </row>
    <row r="63" spans="1:16" ht="30" hidden="1">
      <c r="A63" s="106" t="s">
        <v>175</v>
      </c>
      <c r="B63" s="107" t="s">
        <v>179</v>
      </c>
      <c r="C63" s="108"/>
      <c r="D63" s="108"/>
      <c r="E63" s="97" t="e">
        <f t="shared" si="11"/>
        <v>#DIV/0!</v>
      </c>
      <c r="F63" s="109"/>
      <c r="G63" s="109"/>
      <c r="H63" s="110">
        <v>0</v>
      </c>
      <c r="I63" s="111">
        <f t="shared" si="9"/>
        <v>0</v>
      </c>
      <c r="J63" s="112"/>
      <c r="K63" s="113">
        <f t="shared" si="17"/>
        <v>0</v>
      </c>
      <c r="L63" s="111">
        <f t="shared" si="18"/>
        <v>0</v>
      </c>
      <c r="M63" s="112"/>
      <c r="N63" s="113">
        <f t="shared" si="6"/>
        <v>0</v>
      </c>
      <c r="O63" s="114"/>
      <c r="P63" s="115"/>
    </row>
    <row r="64" spans="1:16" ht="94.5" customHeight="1">
      <c r="A64" s="106" t="s">
        <v>175</v>
      </c>
      <c r="B64" s="107" t="s">
        <v>180</v>
      </c>
      <c r="C64" s="108">
        <v>16494.8</v>
      </c>
      <c r="D64" s="108">
        <v>225</v>
      </c>
      <c r="E64" s="97">
        <f t="shared" si="11"/>
        <v>1.3640662511821908</v>
      </c>
      <c r="F64" s="109"/>
      <c r="G64" s="109"/>
      <c r="H64" s="110">
        <v>0</v>
      </c>
      <c r="I64" s="111">
        <f t="shared" si="9"/>
        <v>16494.8</v>
      </c>
      <c r="J64" s="112"/>
      <c r="K64" s="113">
        <f t="shared" si="17"/>
        <v>16494.8</v>
      </c>
      <c r="L64" s="111">
        <f t="shared" si="18"/>
        <v>225</v>
      </c>
      <c r="M64" s="112"/>
      <c r="N64" s="113">
        <f t="shared" si="6"/>
        <v>225</v>
      </c>
      <c r="O64" s="114">
        <f>N64/K64*100</f>
        <v>1.3640662511821908</v>
      </c>
      <c r="P64" s="115"/>
    </row>
    <row r="65" spans="1:16" ht="105">
      <c r="A65" s="106" t="s">
        <v>175</v>
      </c>
      <c r="B65" s="107" t="s">
        <v>181</v>
      </c>
      <c r="C65" s="108">
        <v>42026.9</v>
      </c>
      <c r="D65" s="108">
        <v>0</v>
      </c>
      <c r="E65" s="97">
        <f t="shared" si="11"/>
        <v>0</v>
      </c>
      <c r="F65" s="109"/>
      <c r="G65" s="109"/>
      <c r="H65" s="110">
        <v>0</v>
      </c>
      <c r="I65" s="111">
        <f t="shared" si="9"/>
        <v>42026.9</v>
      </c>
      <c r="J65" s="112"/>
      <c r="K65" s="113">
        <f t="shared" si="17"/>
        <v>42026.9</v>
      </c>
      <c r="L65" s="111">
        <f t="shared" si="18"/>
        <v>0</v>
      </c>
      <c r="M65" s="112"/>
      <c r="N65" s="113">
        <f t="shared" si="6"/>
        <v>0</v>
      </c>
      <c r="O65" s="114">
        <f t="shared" si="3"/>
        <v>0</v>
      </c>
      <c r="P65" s="115"/>
    </row>
    <row r="66" spans="1:16" ht="105.75" customHeight="1">
      <c r="A66" s="106" t="s">
        <v>175</v>
      </c>
      <c r="B66" s="107" t="s">
        <v>182</v>
      </c>
      <c r="C66" s="108">
        <v>4511.7</v>
      </c>
      <c r="D66" s="108">
        <v>0</v>
      </c>
      <c r="E66" s="97">
        <f t="shared" si="11"/>
        <v>0</v>
      </c>
      <c r="F66" s="109"/>
      <c r="G66" s="109"/>
      <c r="H66" s="110">
        <v>0</v>
      </c>
      <c r="I66" s="111">
        <f t="shared" si="9"/>
        <v>4511.7</v>
      </c>
      <c r="J66" s="112"/>
      <c r="K66" s="113">
        <f t="shared" si="17"/>
        <v>4511.7</v>
      </c>
      <c r="L66" s="111">
        <f t="shared" si="18"/>
        <v>0</v>
      </c>
      <c r="M66" s="112"/>
      <c r="N66" s="113">
        <f t="shared" si="6"/>
        <v>0</v>
      </c>
      <c r="O66" s="114">
        <f t="shared" si="3"/>
        <v>0</v>
      </c>
      <c r="P66" s="115">
        <f>P66</f>
        <v>0</v>
      </c>
    </row>
    <row r="67" spans="1:16" ht="150.75" customHeight="1">
      <c r="A67" s="106" t="s">
        <v>175</v>
      </c>
      <c r="B67" s="107" t="s">
        <v>183</v>
      </c>
      <c r="C67" s="108">
        <v>14952</v>
      </c>
      <c r="D67" s="108">
        <v>0</v>
      </c>
      <c r="E67" s="97">
        <f t="shared" si="11"/>
        <v>0</v>
      </c>
      <c r="F67" s="109"/>
      <c r="G67" s="109"/>
      <c r="H67" s="110">
        <v>0</v>
      </c>
      <c r="I67" s="111">
        <f t="shared" si="9"/>
        <v>14952</v>
      </c>
      <c r="J67" s="112"/>
      <c r="K67" s="113">
        <f t="shared" si="17"/>
        <v>14952</v>
      </c>
      <c r="L67" s="111">
        <f t="shared" si="18"/>
        <v>0</v>
      </c>
      <c r="M67" s="112"/>
      <c r="N67" s="113">
        <f t="shared" si="6"/>
        <v>0</v>
      </c>
      <c r="O67" s="114">
        <f t="shared" si="3"/>
        <v>0</v>
      </c>
      <c r="P67" s="115"/>
    </row>
    <row r="68" spans="1:16" s="148" customFormat="1" ht="84" customHeight="1">
      <c r="A68" s="120" t="s">
        <v>175</v>
      </c>
      <c r="B68" s="138" t="s">
        <v>184</v>
      </c>
      <c r="C68" s="108">
        <v>4841</v>
      </c>
      <c r="D68" s="108"/>
      <c r="E68" s="97">
        <f t="shared" si="11"/>
        <v>0</v>
      </c>
      <c r="F68" s="109">
        <v>2381</v>
      </c>
      <c r="G68" s="109"/>
      <c r="H68" s="109">
        <f aca="true" t="shared" si="19" ref="H68:H76">G68/F68*100</f>
        <v>0</v>
      </c>
      <c r="I68" s="111">
        <f t="shared" si="9"/>
        <v>7222</v>
      </c>
      <c r="J68" s="112">
        <v>4841</v>
      </c>
      <c r="K68" s="113">
        <f t="shared" si="17"/>
        <v>2381</v>
      </c>
      <c r="L68" s="111"/>
      <c r="M68" s="112"/>
      <c r="N68" s="113"/>
      <c r="O68" s="145">
        <f>N68/K68*100</f>
        <v>0</v>
      </c>
      <c r="P68" s="147"/>
    </row>
    <row r="69" spans="1:16" ht="4.5" customHeight="1" hidden="1">
      <c r="A69" s="106" t="s">
        <v>175</v>
      </c>
      <c r="B69" s="107" t="s">
        <v>185</v>
      </c>
      <c r="C69" s="108"/>
      <c r="D69" s="108"/>
      <c r="E69" s="97"/>
      <c r="F69" s="109"/>
      <c r="G69" s="109"/>
      <c r="H69" s="110" t="e">
        <f t="shared" si="19"/>
        <v>#DIV/0!</v>
      </c>
      <c r="I69" s="111">
        <f t="shared" si="9"/>
        <v>0</v>
      </c>
      <c r="J69" s="112"/>
      <c r="K69" s="113">
        <f t="shared" si="17"/>
        <v>0</v>
      </c>
      <c r="L69" s="111">
        <f>D69+G69</f>
        <v>0</v>
      </c>
      <c r="M69" s="112"/>
      <c r="N69" s="113">
        <f t="shared" si="6"/>
        <v>0</v>
      </c>
      <c r="O69" s="114" t="e">
        <f t="shared" si="3"/>
        <v>#DIV/0!</v>
      </c>
      <c r="P69" s="115"/>
    </row>
    <row r="70" spans="1:16" ht="60">
      <c r="A70" s="116" t="s">
        <v>175</v>
      </c>
      <c r="B70" s="107" t="s">
        <v>294</v>
      </c>
      <c r="C70" s="108">
        <f>13076+2394.7</f>
        <v>15470.7</v>
      </c>
      <c r="D70" s="108">
        <f>15.6+636.1</f>
        <v>651.7</v>
      </c>
      <c r="E70" s="97">
        <f t="shared" si="11"/>
        <v>4.212479073345097</v>
      </c>
      <c r="F70" s="109">
        <f>13076+5371.7</f>
        <v>18447.7</v>
      </c>
      <c r="G70" s="109">
        <f>15.6+1005.8</f>
        <v>1021.4</v>
      </c>
      <c r="H70" s="110">
        <f t="shared" si="19"/>
        <v>5.536733576543417</v>
      </c>
      <c r="I70" s="111">
        <f t="shared" si="9"/>
        <v>33918.4</v>
      </c>
      <c r="J70" s="112">
        <v>13075.9</v>
      </c>
      <c r="K70" s="113">
        <f t="shared" si="17"/>
        <v>20842.5</v>
      </c>
      <c r="L70" s="111">
        <f>D70+G70</f>
        <v>1673.1</v>
      </c>
      <c r="M70" s="112">
        <v>15.6</v>
      </c>
      <c r="N70" s="113">
        <f t="shared" si="6"/>
        <v>1657.5</v>
      </c>
      <c r="O70" s="114">
        <f t="shared" si="3"/>
        <v>7.952500899604174</v>
      </c>
      <c r="P70" s="115"/>
    </row>
    <row r="71" spans="1:16" ht="90">
      <c r="A71" s="106" t="s">
        <v>186</v>
      </c>
      <c r="B71" s="107" t="s">
        <v>295</v>
      </c>
      <c r="C71" s="97">
        <f>33727.1+4239.9</f>
        <v>37967</v>
      </c>
      <c r="D71" s="97">
        <f>9812.5+642.8</f>
        <v>10455.3</v>
      </c>
      <c r="E71" s="97">
        <f t="shared" si="11"/>
        <v>27.537861827376403</v>
      </c>
      <c r="F71" s="110">
        <v>17313.9</v>
      </c>
      <c r="G71" s="110">
        <v>8830.3</v>
      </c>
      <c r="H71" s="110">
        <f t="shared" si="19"/>
        <v>51.00121867401336</v>
      </c>
      <c r="I71" s="111">
        <f t="shared" si="9"/>
        <v>55280.9</v>
      </c>
      <c r="J71" s="112">
        <v>0</v>
      </c>
      <c r="K71" s="113">
        <f t="shared" si="17"/>
        <v>55280.9</v>
      </c>
      <c r="L71" s="111">
        <f>D71+G71</f>
        <v>19285.6</v>
      </c>
      <c r="M71" s="112">
        <v>0</v>
      </c>
      <c r="N71" s="113">
        <f t="shared" si="6"/>
        <v>19285.6</v>
      </c>
      <c r="O71" s="114">
        <f t="shared" si="3"/>
        <v>34.88655213645219</v>
      </c>
      <c r="P71" s="115"/>
    </row>
    <row r="72" spans="1:16" ht="181.5" customHeight="1" hidden="1">
      <c r="A72" s="120" t="s">
        <v>186</v>
      </c>
      <c r="B72" s="107" t="s">
        <v>187</v>
      </c>
      <c r="C72" s="108"/>
      <c r="D72" s="108"/>
      <c r="E72" s="97" t="e">
        <f t="shared" si="11"/>
        <v>#DIV/0!</v>
      </c>
      <c r="F72" s="109"/>
      <c r="G72" s="109"/>
      <c r="H72" s="110" t="e">
        <f t="shared" si="19"/>
        <v>#DIV/0!</v>
      </c>
      <c r="I72" s="111">
        <f t="shared" si="9"/>
        <v>0</v>
      </c>
      <c r="J72" s="112"/>
      <c r="K72" s="113">
        <f t="shared" si="17"/>
        <v>0</v>
      </c>
      <c r="L72" s="111">
        <f aca="true" t="shared" si="20" ref="L72:L77">D72+G72</f>
        <v>0</v>
      </c>
      <c r="M72" s="112"/>
      <c r="N72" s="113">
        <f t="shared" si="6"/>
        <v>0</v>
      </c>
      <c r="O72" s="114" t="e">
        <f t="shared" si="3"/>
        <v>#DIV/0!</v>
      </c>
      <c r="P72" s="115"/>
    </row>
    <row r="73" spans="1:16" ht="150" hidden="1">
      <c r="A73" s="106" t="s">
        <v>186</v>
      </c>
      <c r="B73" s="107" t="s">
        <v>188</v>
      </c>
      <c r="C73" s="108"/>
      <c r="D73" s="108"/>
      <c r="E73" s="97" t="e">
        <f t="shared" si="11"/>
        <v>#DIV/0!</v>
      </c>
      <c r="F73" s="109"/>
      <c r="G73" s="109"/>
      <c r="H73" s="110" t="e">
        <f t="shared" si="19"/>
        <v>#DIV/0!</v>
      </c>
      <c r="I73" s="111">
        <f t="shared" si="9"/>
        <v>0</v>
      </c>
      <c r="J73" s="112"/>
      <c r="K73" s="113">
        <f t="shared" si="17"/>
        <v>0</v>
      </c>
      <c r="L73" s="111">
        <f t="shared" si="20"/>
        <v>0</v>
      </c>
      <c r="M73" s="112"/>
      <c r="N73" s="113">
        <f t="shared" si="6"/>
        <v>0</v>
      </c>
      <c r="O73" s="114" t="e">
        <f t="shared" si="3"/>
        <v>#DIV/0!</v>
      </c>
      <c r="P73" s="115"/>
    </row>
    <row r="74" spans="1:16" ht="135" hidden="1">
      <c r="A74" s="116" t="s">
        <v>186</v>
      </c>
      <c r="B74" s="107" t="s">
        <v>189</v>
      </c>
      <c r="C74" s="108"/>
      <c r="D74" s="108"/>
      <c r="E74" s="97" t="e">
        <f t="shared" si="11"/>
        <v>#DIV/0!</v>
      </c>
      <c r="F74" s="109"/>
      <c r="G74" s="109"/>
      <c r="H74" s="110" t="e">
        <f t="shared" si="19"/>
        <v>#DIV/0!</v>
      </c>
      <c r="I74" s="111">
        <f t="shared" si="9"/>
        <v>0</v>
      </c>
      <c r="J74" s="112"/>
      <c r="K74" s="113">
        <f t="shared" si="17"/>
        <v>0</v>
      </c>
      <c r="L74" s="111">
        <f t="shared" si="20"/>
        <v>0</v>
      </c>
      <c r="M74" s="112"/>
      <c r="N74" s="113">
        <f t="shared" si="6"/>
        <v>0</v>
      </c>
      <c r="O74" s="114" t="e">
        <f t="shared" si="3"/>
        <v>#DIV/0!</v>
      </c>
      <c r="P74" s="115"/>
    </row>
    <row r="75" spans="1:16" ht="135" hidden="1">
      <c r="A75" s="116" t="s">
        <v>186</v>
      </c>
      <c r="B75" s="107" t="s">
        <v>190</v>
      </c>
      <c r="C75" s="108"/>
      <c r="D75" s="108"/>
      <c r="E75" s="97" t="e">
        <f t="shared" si="11"/>
        <v>#DIV/0!</v>
      </c>
      <c r="F75" s="109"/>
      <c r="G75" s="109"/>
      <c r="H75" s="110" t="e">
        <f t="shared" si="19"/>
        <v>#DIV/0!</v>
      </c>
      <c r="I75" s="111">
        <f t="shared" si="9"/>
        <v>0</v>
      </c>
      <c r="J75" s="112"/>
      <c r="K75" s="113">
        <f t="shared" si="17"/>
        <v>0</v>
      </c>
      <c r="L75" s="111">
        <f t="shared" si="20"/>
        <v>0</v>
      </c>
      <c r="M75" s="112"/>
      <c r="N75" s="113">
        <f t="shared" si="6"/>
        <v>0</v>
      </c>
      <c r="O75" s="114" t="e">
        <f t="shared" si="3"/>
        <v>#DIV/0!</v>
      </c>
      <c r="P75" s="115"/>
    </row>
    <row r="76" spans="1:16" ht="63.75" hidden="1">
      <c r="A76" s="106" t="s">
        <v>186</v>
      </c>
      <c r="B76" s="129" t="s">
        <v>191</v>
      </c>
      <c r="C76" s="108"/>
      <c r="D76" s="108"/>
      <c r="E76" s="97" t="e">
        <f>D76/C76*100</f>
        <v>#DIV/0!</v>
      </c>
      <c r="F76" s="109"/>
      <c r="G76" s="109"/>
      <c r="H76" s="110" t="e">
        <f t="shared" si="19"/>
        <v>#DIV/0!</v>
      </c>
      <c r="I76" s="111">
        <f t="shared" si="9"/>
        <v>0</v>
      </c>
      <c r="J76" s="112"/>
      <c r="K76" s="113">
        <f t="shared" si="17"/>
        <v>0</v>
      </c>
      <c r="L76" s="111">
        <f t="shared" si="20"/>
        <v>0</v>
      </c>
      <c r="M76" s="112"/>
      <c r="N76" s="113">
        <f t="shared" si="6"/>
        <v>0</v>
      </c>
      <c r="O76" s="114" t="e">
        <f>N76/K76*100</f>
        <v>#DIV/0!</v>
      </c>
      <c r="P76" s="115"/>
    </row>
    <row r="77" spans="1:16" ht="15" hidden="1">
      <c r="A77" s="106" t="s">
        <v>186</v>
      </c>
      <c r="B77" s="129"/>
      <c r="C77" s="108"/>
      <c r="D77" s="108"/>
      <c r="E77" s="97"/>
      <c r="F77" s="109"/>
      <c r="G77" s="109"/>
      <c r="H77" s="110"/>
      <c r="I77" s="111"/>
      <c r="J77" s="112"/>
      <c r="K77" s="113"/>
      <c r="L77" s="111">
        <f t="shared" si="20"/>
        <v>0</v>
      </c>
      <c r="M77" s="112"/>
      <c r="N77" s="113"/>
      <c r="O77" s="114"/>
      <c r="P77" s="115"/>
    </row>
    <row r="78" spans="1:16" ht="83.25" customHeight="1">
      <c r="A78" s="116" t="s">
        <v>186</v>
      </c>
      <c r="B78" s="126" t="s">
        <v>192</v>
      </c>
      <c r="C78" s="108">
        <v>15229.2</v>
      </c>
      <c r="D78" s="108">
        <v>0</v>
      </c>
      <c r="E78" s="97">
        <f aca="true" t="shared" si="21" ref="E78:E90">D78/C78*100</f>
        <v>0</v>
      </c>
      <c r="F78" s="109">
        <v>4091.7</v>
      </c>
      <c r="G78" s="109">
        <v>0</v>
      </c>
      <c r="H78" s="110">
        <f>G78/F78*100</f>
        <v>0</v>
      </c>
      <c r="I78" s="111">
        <f t="shared" si="9"/>
        <v>19320.9</v>
      </c>
      <c r="J78" s="112">
        <v>4091.7</v>
      </c>
      <c r="K78" s="113">
        <f aca="true" t="shared" si="22" ref="K78:K105">I78-J78</f>
        <v>15229.2</v>
      </c>
      <c r="L78" s="111">
        <f aca="true" t="shared" si="23" ref="L78:L105">D78+G78</f>
        <v>0</v>
      </c>
      <c r="M78" s="112">
        <v>0</v>
      </c>
      <c r="N78" s="113">
        <f>L78-M78</f>
        <v>0</v>
      </c>
      <c r="O78" s="114">
        <f t="shared" si="3"/>
        <v>0</v>
      </c>
      <c r="P78" s="115"/>
    </row>
    <row r="79" spans="1:16" ht="30" hidden="1">
      <c r="A79" s="116" t="s">
        <v>186</v>
      </c>
      <c r="B79" s="126" t="s">
        <v>193</v>
      </c>
      <c r="C79" s="108"/>
      <c r="D79" s="108"/>
      <c r="E79" s="97" t="e">
        <f t="shared" si="21"/>
        <v>#DIV/0!</v>
      </c>
      <c r="F79" s="109">
        <v>0</v>
      </c>
      <c r="G79" s="109">
        <v>0</v>
      </c>
      <c r="H79" s="110" t="e">
        <f>G79/F79*100</f>
        <v>#DIV/0!</v>
      </c>
      <c r="I79" s="111">
        <f t="shared" si="9"/>
        <v>0</v>
      </c>
      <c r="J79" s="112"/>
      <c r="K79" s="113">
        <f t="shared" si="22"/>
        <v>0</v>
      </c>
      <c r="L79" s="111">
        <f t="shared" si="23"/>
        <v>0</v>
      </c>
      <c r="M79" s="112"/>
      <c r="N79" s="113">
        <f t="shared" si="6"/>
        <v>0</v>
      </c>
      <c r="O79" s="114"/>
      <c r="P79" s="115"/>
    </row>
    <row r="80" spans="1:16" ht="30" hidden="1">
      <c r="A80" s="116" t="s">
        <v>186</v>
      </c>
      <c r="B80" s="126" t="s">
        <v>194</v>
      </c>
      <c r="C80" s="108">
        <v>0</v>
      </c>
      <c r="D80" s="108">
        <v>0</v>
      </c>
      <c r="E80" s="97" t="e">
        <f t="shared" si="21"/>
        <v>#DIV/0!</v>
      </c>
      <c r="F80" s="109"/>
      <c r="G80" s="109"/>
      <c r="H80" s="110"/>
      <c r="I80" s="111">
        <f t="shared" si="9"/>
        <v>0</v>
      </c>
      <c r="J80" s="112"/>
      <c r="K80" s="113">
        <f t="shared" si="22"/>
        <v>0</v>
      </c>
      <c r="L80" s="111">
        <f t="shared" si="23"/>
        <v>0</v>
      </c>
      <c r="M80" s="112"/>
      <c r="N80" s="113">
        <f t="shared" si="6"/>
        <v>0</v>
      </c>
      <c r="O80" s="114"/>
      <c r="P80" s="115"/>
    </row>
    <row r="81" spans="1:16" ht="90" hidden="1">
      <c r="A81" s="116" t="s">
        <v>186</v>
      </c>
      <c r="B81" s="130" t="s">
        <v>195</v>
      </c>
      <c r="C81" s="108">
        <v>0</v>
      </c>
      <c r="D81" s="108">
        <v>0</v>
      </c>
      <c r="E81" s="97" t="e">
        <f t="shared" si="21"/>
        <v>#DIV/0!</v>
      </c>
      <c r="F81" s="109"/>
      <c r="G81" s="109"/>
      <c r="H81" s="110" t="e">
        <f aca="true" t="shared" si="24" ref="H81:H90">G81/F81*100</f>
        <v>#DIV/0!</v>
      </c>
      <c r="I81" s="111">
        <f t="shared" si="9"/>
        <v>0</v>
      </c>
      <c r="J81" s="112"/>
      <c r="K81" s="113">
        <f t="shared" si="22"/>
        <v>0</v>
      </c>
      <c r="L81" s="111">
        <f t="shared" si="23"/>
        <v>0</v>
      </c>
      <c r="M81" s="112"/>
      <c r="N81" s="113">
        <f t="shared" si="6"/>
        <v>0</v>
      </c>
      <c r="O81" s="114" t="e">
        <f>N81/K81*100</f>
        <v>#DIV/0!</v>
      </c>
      <c r="P81" s="115"/>
    </row>
    <row r="82" spans="1:16" ht="65.25" customHeight="1">
      <c r="A82" s="116" t="s">
        <v>186</v>
      </c>
      <c r="B82" s="126" t="s">
        <v>296</v>
      </c>
      <c r="C82" s="108">
        <f>1500+21462.8</f>
        <v>22962.8</v>
      </c>
      <c r="D82" s="108">
        <v>7561</v>
      </c>
      <c r="E82" s="97">
        <f t="shared" si="21"/>
        <v>32.92716916055534</v>
      </c>
      <c r="F82" s="109">
        <f>1500+9277.3</f>
        <v>10777.3</v>
      </c>
      <c r="G82" s="109">
        <f>61+1096.5</f>
        <v>1157.5</v>
      </c>
      <c r="H82" s="110">
        <f t="shared" si="24"/>
        <v>10.74016683213792</v>
      </c>
      <c r="I82" s="111">
        <f t="shared" si="9"/>
        <v>33740.1</v>
      </c>
      <c r="J82" s="112">
        <v>1500</v>
      </c>
      <c r="K82" s="113">
        <f t="shared" si="22"/>
        <v>32240.1</v>
      </c>
      <c r="L82" s="111">
        <f t="shared" si="23"/>
        <v>8718.5</v>
      </c>
      <c r="M82" s="112">
        <v>61</v>
      </c>
      <c r="N82" s="113">
        <f t="shared" si="6"/>
        <v>8657.5</v>
      </c>
      <c r="O82" s="114">
        <f>N82/K82*100</f>
        <v>26.85320454961368</v>
      </c>
      <c r="P82" s="115"/>
    </row>
    <row r="83" spans="1:16" ht="64.5" customHeight="1" hidden="1">
      <c r="A83" s="116" t="s">
        <v>186</v>
      </c>
      <c r="B83" s="131" t="s">
        <v>196</v>
      </c>
      <c r="C83" s="108"/>
      <c r="D83" s="108"/>
      <c r="E83" s="97" t="e">
        <f t="shared" si="21"/>
        <v>#DIV/0!</v>
      </c>
      <c r="F83" s="109"/>
      <c r="G83" s="109"/>
      <c r="H83" s="110" t="e">
        <f t="shared" si="24"/>
        <v>#DIV/0!</v>
      </c>
      <c r="I83" s="111">
        <f t="shared" si="9"/>
        <v>0</v>
      </c>
      <c r="J83" s="112"/>
      <c r="K83" s="113">
        <f t="shared" si="22"/>
        <v>0</v>
      </c>
      <c r="L83" s="111">
        <f t="shared" si="23"/>
        <v>0</v>
      </c>
      <c r="M83" s="112"/>
      <c r="N83" s="113">
        <f t="shared" si="6"/>
        <v>0</v>
      </c>
      <c r="O83" s="114" t="e">
        <f>N83/K83*100</f>
        <v>#DIV/0!</v>
      </c>
      <c r="P83" s="115"/>
    </row>
    <row r="84" spans="1:16" s="148" customFormat="1" ht="127.5" customHeight="1">
      <c r="A84" s="124" t="s">
        <v>186</v>
      </c>
      <c r="B84" s="130" t="s">
        <v>297</v>
      </c>
      <c r="C84" s="108"/>
      <c r="D84" s="108"/>
      <c r="E84" s="108" t="e">
        <f t="shared" si="21"/>
        <v>#DIV/0!</v>
      </c>
      <c r="F84" s="109">
        <v>12300</v>
      </c>
      <c r="G84" s="109">
        <v>825</v>
      </c>
      <c r="H84" s="109">
        <f t="shared" si="24"/>
        <v>6.707317073170732</v>
      </c>
      <c r="I84" s="111">
        <f t="shared" si="9"/>
        <v>12300</v>
      </c>
      <c r="J84" s="112">
        <v>12300</v>
      </c>
      <c r="K84" s="113">
        <f t="shared" si="22"/>
        <v>0</v>
      </c>
      <c r="L84" s="111">
        <f t="shared" si="23"/>
        <v>825</v>
      </c>
      <c r="M84" s="112">
        <v>825</v>
      </c>
      <c r="N84" s="113">
        <f t="shared" si="6"/>
        <v>0</v>
      </c>
      <c r="O84" s="145" t="e">
        <f>N84/K84*100</f>
        <v>#DIV/0!</v>
      </c>
      <c r="P84" s="147"/>
    </row>
    <row r="85" spans="1:16" ht="75">
      <c r="A85" s="116" t="s">
        <v>186</v>
      </c>
      <c r="B85" s="126" t="s">
        <v>298</v>
      </c>
      <c r="C85" s="108">
        <v>219374.6</v>
      </c>
      <c r="D85" s="108">
        <v>10894.5</v>
      </c>
      <c r="E85" s="97">
        <f t="shared" si="21"/>
        <v>4.9661629012656885</v>
      </c>
      <c r="F85" s="109"/>
      <c r="G85" s="109"/>
      <c r="H85" s="110" t="e">
        <f t="shared" si="24"/>
        <v>#DIV/0!</v>
      </c>
      <c r="I85" s="111">
        <f t="shared" si="9"/>
        <v>219374.6</v>
      </c>
      <c r="J85" s="112"/>
      <c r="K85" s="113">
        <f t="shared" si="22"/>
        <v>219374.6</v>
      </c>
      <c r="L85" s="111">
        <f t="shared" si="23"/>
        <v>10894.5</v>
      </c>
      <c r="M85" s="112"/>
      <c r="N85" s="113">
        <f t="shared" si="6"/>
        <v>10894.5</v>
      </c>
      <c r="O85" s="114">
        <f>N85/K85*100</f>
        <v>4.9661629012656885</v>
      </c>
      <c r="P85" s="115"/>
    </row>
    <row r="86" spans="1:16" ht="30">
      <c r="A86" s="116" t="s">
        <v>186</v>
      </c>
      <c r="B86" s="126" t="s">
        <v>197</v>
      </c>
      <c r="C86" s="108">
        <v>86919.1</v>
      </c>
      <c r="D86" s="108">
        <v>0</v>
      </c>
      <c r="E86" s="97">
        <f t="shared" si="21"/>
        <v>0</v>
      </c>
      <c r="F86" s="109"/>
      <c r="G86" s="109"/>
      <c r="H86" s="110" t="e">
        <f t="shared" si="24"/>
        <v>#DIV/0!</v>
      </c>
      <c r="I86" s="111">
        <f t="shared" si="9"/>
        <v>86919.1</v>
      </c>
      <c r="J86" s="112"/>
      <c r="K86" s="113">
        <f t="shared" si="22"/>
        <v>86919.1</v>
      </c>
      <c r="L86" s="111">
        <f t="shared" si="23"/>
        <v>0</v>
      </c>
      <c r="M86" s="112"/>
      <c r="N86" s="113">
        <f t="shared" si="6"/>
        <v>0</v>
      </c>
      <c r="O86" s="132">
        <f t="shared" si="3"/>
        <v>0</v>
      </c>
      <c r="P86" s="115"/>
    </row>
    <row r="87" spans="1:16" ht="45">
      <c r="A87" s="116" t="s">
        <v>186</v>
      </c>
      <c r="B87" s="126" t="s">
        <v>198</v>
      </c>
      <c r="C87" s="108">
        <f>1800+282</f>
        <v>2082</v>
      </c>
      <c r="D87" s="108">
        <v>282</v>
      </c>
      <c r="E87" s="97">
        <f t="shared" si="21"/>
        <v>13.544668587896252</v>
      </c>
      <c r="F87" s="109">
        <v>282</v>
      </c>
      <c r="G87" s="109">
        <v>282</v>
      </c>
      <c r="H87" s="110">
        <f t="shared" si="24"/>
        <v>100</v>
      </c>
      <c r="I87" s="111">
        <f t="shared" si="9"/>
        <v>2364</v>
      </c>
      <c r="J87" s="112">
        <v>282</v>
      </c>
      <c r="K87" s="113">
        <f t="shared" si="22"/>
        <v>2082</v>
      </c>
      <c r="L87" s="111">
        <f t="shared" si="23"/>
        <v>564</v>
      </c>
      <c r="M87" s="112">
        <v>282</v>
      </c>
      <c r="N87" s="113">
        <f t="shared" si="6"/>
        <v>282</v>
      </c>
      <c r="O87" s="114">
        <f t="shared" si="3"/>
        <v>13.544668587896252</v>
      </c>
      <c r="P87" s="115"/>
    </row>
    <row r="88" spans="1:16" ht="60" hidden="1">
      <c r="A88" s="116" t="s">
        <v>186</v>
      </c>
      <c r="B88" s="126" t="s">
        <v>199</v>
      </c>
      <c r="C88" s="108">
        <v>0</v>
      </c>
      <c r="D88" s="108">
        <v>0</v>
      </c>
      <c r="E88" s="97" t="e">
        <f t="shared" si="21"/>
        <v>#DIV/0!</v>
      </c>
      <c r="F88" s="109">
        <v>0</v>
      </c>
      <c r="G88" s="109">
        <v>0</v>
      </c>
      <c r="H88" s="110" t="e">
        <f t="shared" si="24"/>
        <v>#DIV/0!</v>
      </c>
      <c r="I88" s="111">
        <f t="shared" si="9"/>
        <v>0</v>
      </c>
      <c r="J88" s="112"/>
      <c r="K88" s="113">
        <f t="shared" si="22"/>
        <v>0</v>
      </c>
      <c r="L88" s="111">
        <f t="shared" si="23"/>
        <v>0</v>
      </c>
      <c r="M88" s="112"/>
      <c r="N88" s="113">
        <f t="shared" si="6"/>
        <v>0</v>
      </c>
      <c r="O88" s="114" t="e">
        <f t="shared" si="3"/>
        <v>#DIV/0!</v>
      </c>
      <c r="P88" s="115"/>
    </row>
    <row r="89" spans="1:16" ht="45">
      <c r="A89" s="116" t="s">
        <v>186</v>
      </c>
      <c r="B89" s="126" t="s">
        <v>200</v>
      </c>
      <c r="C89" s="108">
        <v>1264</v>
      </c>
      <c r="D89" s="108">
        <v>505.4</v>
      </c>
      <c r="E89" s="97">
        <f t="shared" si="21"/>
        <v>39.98417721518987</v>
      </c>
      <c r="F89" s="109"/>
      <c r="G89" s="109"/>
      <c r="H89" s="110" t="e">
        <f t="shared" si="24"/>
        <v>#DIV/0!</v>
      </c>
      <c r="I89" s="111">
        <f t="shared" si="9"/>
        <v>1264</v>
      </c>
      <c r="J89" s="112"/>
      <c r="K89" s="113">
        <f t="shared" si="22"/>
        <v>1264</v>
      </c>
      <c r="L89" s="111">
        <f t="shared" si="23"/>
        <v>505.4</v>
      </c>
      <c r="M89" s="112"/>
      <c r="N89" s="113">
        <f t="shared" si="6"/>
        <v>505.4</v>
      </c>
      <c r="O89" s="114">
        <f t="shared" si="3"/>
        <v>39.98417721518987</v>
      </c>
      <c r="P89" s="115"/>
    </row>
    <row r="90" spans="1:16" s="148" customFormat="1" ht="105">
      <c r="A90" s="124" t="s">
        <v>201</v>
      </c>
      <c r="B90" s="130" t="s">
        <v>202</v>
      </c>
      <c r="C90" s="189">
        <v>9708.4</v>
      </c>
      <c r="D90" s="189">
        <v>0</v>
      </c>
      <c r="E90" s="189">
        <f t="shared" si="21"/>
        <v>0</v>
      </c>
      <c r="F90" s="189">
        <v>9708.4</v>
      </c>
      <c r="G90" s="190">
        <v>0</v>
      </c>
      <c r="H90" s="190">
        <f t="shared" si="24"/>
        <v>0</v>
      </c>
      <c r="I90" s="111">
        <f t="shared" si="9"/>
        <v>19416.8</v>
      </c>
      <c r="J90" s="112">
        <v>9708.4</v>
      </c>
      <c r="K90" s="113">
        <f t="shared" si="22"/>
        <v>9708.4</v>
      </c>
      <c r="L90" s="111">
        <f t="shared" si="23"/>
        <v>0</v>
      </c>
      <c r="M90" s="112">
        <v>0</v>
      </c>
      <c r="N90" s="113">
        <f t="shared" si="6"/>
        <v>0</v>
      </c>
      <c r="O90" s="145">
        <f t="shared" si="3"/>
        <v>0</v>
      </c>
      <c r="P90" s="147"/>
    </row>
    <row r="91" spans="1:16" ht="145.5" customHeight="1">
      <c r="A91" s="124" t="s">
        <v>201</v>
      </c>
      <c r="B91" s="107" t="s">
        <v>203</v>
      </c>
      <c r="C91" s="108">
        <v>1500</v>
      </c>
      <c r="D91" s="108">
        <v>0</v>
      </c>
      <c r="E91" s="97">
        <f t="shared" si="11"/>
        <v>0</v>
      </c>
      <c r="F91" s="108">
        <v>1500</v>
      </c>
      <c r="G91" s="109">
        <v>0</v>
      </c>
      <c r="H91" s="110">
        <f>G91/F91*100</f>
        <v>0</v>
      </c>
      <c r="I91" s="111">
        <f aca="true" t="shared" si="25" ref="I91:I105">C91+F91</f>
        <v>3000</v>
      </c>
      <c r="J91" s="112">
        <v>1500</v>
      </c>
      <c r="K91" s="113">
        <f t="shared" si="22"/>
        <v>1500</v>
      </c>
      <c r="L91" s="111">
        <f t="shared" si="23"/>
        <v>0</v>
      </c>
      <c r="M91" s="112">
        <v>0</v>
      </c>
      <c r="N91" s="113">
        <f aca="true" t="shared" si="26" ref="N91:N150">L91-M91</f>
        <v>0</v>
      </c>
      <c r="O91" s="114">
        <f t="shared" si="3"/>
        <v>0</v>
      </c>
      <c r="P91" s="115"/>
    </row>
    <row r="92" spans="1:16" ht="30" customHeight="1">
      <c r="A92" s="116" t="s">
        <v>201</v>
      </c>
      <c r="B92" s="107" t="s">
        <v>299</v>
      </c>
      <c r="C92" s="108"/>
      <c r="D92" s="108"/>
      <c r="E92" s="97" t="e">
        <f t="shared" si="11"/>
        <v>#DIV/0!</v>
      </c>
      <c r="F92" s="108">
        <v>1160</v>
      </c>
      <c r="G92" s="109"/>
      <c r="H92" s="110"/>
      <c r="I92" s="111">
        <f t="shared" si="25"/>
        <v>1160</v>
      </c>
      <c r="J92" s="112"/>
      <c r="K92" s="113">
        <f t="shared" si="22"/>
        <v>1160</v>
      </c>
      <c r="L92" s="111">
        <f t="shared" si="23"/>
        <v>0</v>
      </c>
      <c r="M92" s="112"/>
      <c r="N92" s="113">
        <f t="shared" si="26"/>
        <v>0</v>
      </c>
      <c r="O92" s="114"/>
      <c r="P92" s="115"/>
    </row>
    <row r="93" spans="1:16" ht="30" customHeight="1">
      <c r="A93" s="116" t="s">
        <v>201</v>
      </c>
      <c r="B93" s="133" t="s">
        <v>204</v>
      </c>
      <c r="C93" s="108">
        <v>5611.7</v>
      </c>
      <c r="D93" s="108"/>
      <c r="E93" s="97">
        <f>D93/C93*100</f>
        <v>0</v>
      </c>
      <c r="F93" s="108">
        <v>5611.7</v>
      </c>
      <c r="G93" s="109"/>
      <c r="H93" s="110">
        <f aca="true" t="shared" si="27" ref="H93:H100">G93/F93*100</f>
        <v>0</v>
      </c>
      <c r="I93" s="111">
        <f>C93+F93</f>
        <v>11223.4</v>
      </c>
      <c r="J93" s="112">
        <v>5611.7</v>
      </c>
      <c r="K93" s="113">
        <f t="shared" si="22"/>
        <v>5611.7</v>
      </c>
      <c r="L93" s="111">
        <f t="shared" si="23"/>
        <v>0</v>
      </c>
      <c r="M93" s="112"/>
      <c r="N93" s="113">
        <f t="shared" si="26"/>
        <v>0</v>
      </c>
      <c r="O93" s="114"/>
      <c r="P93" s="115"/>
    </row>
    <row r="94" spans="1:16" ht="61.5" customHeight="1">
      <c r="A94" s="116" t="s">
        <v>201</v>
      </c>
      <c r="B94" s="133" t="s">
        <v>205</v>
      </c>
      <c r="C94" s="108">
        <v>7424.8</v>
      </c>
      <c r="D94" s="108"/>
      <c r="E94" s="97">
        <f>D94/C94*100</f>
        <v>0</v>
      </c>
      <c r="F94" s="108">
        <v>7424.8</v>
      </c>
      <c r="G94" s="109"/>
      <c r="H94" s="110">
        <f t="shared" si="27"/>
        <v>0</v>
      </c>
      <c r="I94" s="111">
        <f>C94+F94</f>
        <v>14849.6</v>
      </c>
      <c r="J94" s="112">
        <v>7424.8</v>
      </c>
      <c r="K94" s="113">
        <f t="shared" si="22"/>
        <v>7424.8</v>
      </c>
      <c r="L94" s="111">
        <f t="shared" si="23"/>
        <v>0</v>
      </c>
      <c r="M94" s="112"/>
      <c r="N94" s="113"/>
      <c r="O94" s="114"/>
      <c r="P94" s="115"/>
    </row>
    <row r="95" spans="1:16" ht="75" hidden="1">
      <c r="A95" s="116" t="s">
        <v>201</v>
      </c>
      <c r="B95" s="107" t="s">
        <v>206</v>
      </c>
      <c r="C95" s="108">
        <v>0</v>
      </c>
      <c r="D95" s="108">
        <v>0</v>
      </c>
      <c r="E95" s="97" t="e">
        <f t="shared" si="11"/>
        <v>#DIV/0!</v>
      </c>
      <c r="F95" s="108">
        <v>0</v>
      </c>
      <c r="G95" s="109">
        <v>0</v>
      </c>
      <c r="H95" s="110" t="e">
        <f t="shared" si="27"/>
        <v>#DIV/0!</v>
      </c>
      <c r="I95" s="111">
        <f t="shared" si="25"/>
        <v>0</v>
      </c>
      <c r="J95" s="112">
        <v>0</v>
      </c>
      <c r="K95" s="113">
        <f t="shared" si="22"/>
        <v>0</v>
      </c>
      <c r="L95" s="111">
        <f t="shared" si="23"/>
        <v>0</v>
      </c>
      <c r="M95" s="112">
        <v>0</v>
      </c>
      <c r="N95" s="113">
        <f>L95-M95</f>
        <v>0</v>
      </c>
      <c r="O95" s="114" t="e">
        <f t="shared" si="3"/>
        <v>#DIV/0!</v>
      </c>
      <c r="P95" s="115"/>
    </row>
    <row r="96" spans="1:16" s="137" customFormat="1" ht="90" hidden="1">
      <c r="A96" s="134" t="s">
        <v>201</v>
      </c>
      <c r="B96" s="135" t="s">
        <v>207</v>
      </c>
      <c r="C96" s="108">
        <v>0</v>
      </c>
      <c r="D96" s="108">
        <v>0</v>
      </c>
      <c r="E96" s="97" t="e">
        <f t="shared" si="11"/>
        <v>#DIV/0!</v>
      </c>
      <c r="F96" s="108">
        <v>0</v>
      </c>
      <c r="G96" s="109">
        <v>0</v>
      </c>
      <c r="H96" s="110" t="e">
        <f t="shared" si="27"/>
        <v>#DIV/0!</v>
      </c>
      <c r="I96" s="111">
        <f t="shared" si="25"/>
        <v>0</v>
      </c>
      <c r="J96" s="112"/>
      <c r="K96" s="113">
        <f t="shared" si="22"/>
        <v>0</v>
      </c>
      <c r="L96" s="111">
        <f t="shared" si="23"/>
        <v>0</v>
      </c>
      <c r="M96" s="112"/>
      <c r="N96" s="113">
        <f t="shared" si="26"/>
        <v>0</v>
      </c>
      <c r="O96" s="114" t="e">
        <f t="shared" si="3"/>
        <v>#DIV/0!</v>
      </c>
      <c r="P96" s="136"/>
    </row>
    <row r="97" spans="1:16" ht="75" hidden="1">
      <c r="A97" s="116" t="s">
        <v>201</v>
      </c>
      <c r="B97" s="107" t="s">
        <v>208</v>
      </c>
      <c r="C97" s="108"/>
      <c r="D97" s="108"/>
      <c r="E97" s="97"/>
      <c r="F97" s="108"/>
      <c r="G97" s="109"/>
      <c r="H97" s="110" t="e">
        <f t="shared" si="27"/>
        <v>#DIV/0!</v>
      </c>
      <c r="I97" s="111">
        <f t="shared" si="25"/>
        <v>0</v>
      </c>
      <c r="J97" s="112"/>
      <c r="K97" s="113">
        <f t="shared" si="22"/>
        <v>0</v>
      </c>
      <c r="L97" s="111">
        <f t="shared" si="23"/>
        <v>0</v>
      </c>
      <c r="M97" s="112"/>
      <c r="N97" s="113">
        <f t="shared" si="26"/>
        <v>0</v>
      </c>
      <c r="O97" s="114"/>
      <c r="P97" s="115"/>
    </row>
    <row r="98" spans="1:16" ht="60" hidden="1">
      <c r="A98" s="116" t="s">
        <v>201</v>
      </c>
      <c r="B98" s="107" t="s">
        <v>209</v>
      </c>
      <c r="C98" s="108"/>
      <c r="D98" s="108"/>
      <c r="E98" s="97" t="e">
        <f t="shared" si="11"/>
        <v>#DIV/0!</v>
      </c>
      <c r="F98" s="108"/>
      <c r="G98" s="109"/>
      <c r="H98" s="110" t="e">
        <f t="shared" si="27"/>
        <v>#DIV/0!</v>
      </c>
      <c r="I98" s="111">
        <f t="shared" si="25"/>
        <v>0</v>
      </c>
      <c r="J98" s="112"/>
      <c r="K98" s="113">
        <f t="shared" si="22"/>
        <v>0</v>
      </c>
      <c r="L98" s="111">
        <f t="shared" si="23"/>
        <v>0</v>
      </c>
      <c r="M98" s="112"/>
      <c r="N98" s="113">
        <f t="shared" si="26"/>
        <v>0</v>
      </c>
      <c r="O98" s="114" t="e">
        <f t="shared" si="3"/>
        <v>#DIV/0!</v>
      </c>
      <c r="P98" s="115"/>
    </row>
    <row r="99" spans="1:16" ht="90" hidden="1">
      <c r="A99" s="116" t="s">
        <v>201</v>
      </c>
      <c r="B99" s="138" t="s">
        <v>210</v>
      </c>
      <c r="C99" s="108"/>
      <c r="D99" s="108"/>
      <c r="E99" s="97"/>
      <c r="F99" s="108"/>
      <c r="G99" s="109"/>
      <c r="H99" s="110" t="e">
        <f t="shared" si="27"/>
        <v>#DIV/0!</v>
      </c>
      <c r="I99" s="111">
        <f t="shared" si="25"/>
        <v>0</v>
      </c>
      <c r="J99" s="112"/>
      <c r="K99" s="113">
        <f t="shared" si="22"/>
        <v>0</v>
      </c>
      <c r="L99" s="111">
        <f t="shared" si="23"/>
        <v>0</v>
      </c>
      <c r="M99" s="112"/>
      <c r="N99" s="113">
        <f t="shared" si="26"/>
        <v>0</v>
      </c>
      <c r="O99" s="114" t="e">
        <f t="shared" si="3"/>
        <v>#DIV/0!</v>
      </c>
      <c r="P99" s="115"/>
    </row>
    <row r="100" spans="1:16" ht="30" hidden="1">
      <c r="A100" s="116" t="s">
        <v>201</v>
      </c>
      <c r="B100" s="107" t="s">
        <v>211</v>
      </c>
      <c r="C100" s="108"/>
      <c r="D100" s="108"/>
      <c r="E100" s="97" t="e">
        <f t="shared" si="11"/>
        <v>#DIV/0!</v>
      </c>
      <c r="F100" s="108"/>
      <c r="G100" s="109"/>
      <c r="H100" s="110" t="e">
        <f t="shared" si="27"/>
        <v>#DIV/0!</v>
      </c>
      <c r="I100" s="111">
        <f t="shared" si="25"/>
        <v>0</v>
      </c>
      <c r="J100" s="112"/>
      <c r="K100" s="113">
        <f t="shared" si="22"/>
        <v>0</v>
      </c>
      <c r="L100" s="111">
        <f t="shared" si="23"/>
        <v>0</v>
      </c>
      <c r="M100" s="112"/>
      <c r="N100" s="113">
        <f t="shared" si="26"/>
        <v>0</v>
      </c>
      <c r="O100" s="114" t="e">
        <f t="shared" si="3"/>
        <v>#DIV/0!</v>
      </c>
      <c r="P100" s="115"/>
    </row>
    <row r="101" spans="1:16" ht="45" hidden="1">
      <c r="A101" s="116" t="s">
        <v>201</v>
      </c>
      <c r="B101" s="107" t="s">
        <v>212</v>
      </c>
      <c r="C101" s="108"/>
      <c r="D101" s="108"/>
      <c r="E101" s="97"/>
      <c r="F101" s="108"/>
      <c r="G101" s="109"/>
      <c r="H101" s="110"/>
      <c r="I101" s="111">
        <f t="shared" si="25"/>
        <v>0</v>
      </c>
      <c r="J101" s="112"/>
      <c r="K101" s="113">
        <f t="shared" si="22"/>
        <v>0</v>
      </c>
      <c r="L101" s="111">
        <f t="shared" si="23"/>
        <v>0</v>
      </c>
      <c r="M101" s="112"/>
      <c r="N101" s="113">
        <f t="shared" si="26"/>
        <v>0</v>
      </c>
      <c r="O101" s="114" t="e">
        <f t="shared" si="3"/>
        <v>#DIV/0!</v>
      </c>
      <c r="P101" s="115"/>
    </row>
    <row r="102" spans="1:16" ht="30" hidden="1">
      <c r="A102" s="116" t="s">
        <v>201</v>
      </c>
      <c r="B102" s="107" t="s">
        <v>213</v>
      </c>
      <c r="C102" s="108"/>
      <c r="D102" s="108"/>
      <c r="E102" s="97"/>
      <c r="F102" s="108"/>
      <c r="G102" s="109"/>
      <c r="H102" s="110"/>
      <c r="I102" s="111">
        <f t="shared" si="25"/>
        <v>0</v>
      </c>
      <c r="J102" s="112"/>
      <c r="K102" s="113">
        <f t="shared" si="22"/>
        <v>0</v>
      </c>
      <c r="L102" s="111">
        <f t="shared" si="23"/>
        <v>0</v>
      </c>
      <c r="M102" s="112"/>
      <c r="N102" s="113">
        <f t="shared" si="26"/>
        <v>0</v>
      </c>
      <c r="O102" s="114" t="e">
        <f t="shared" si="3"/>
        <v>#DIV/0!</v>
      </c>
      <c r="P102" s="115"/>
    </row>
    <row r="103" spans="1:16" ht="60" hidden="1">
      <c r="A103" s="116" t="s">
        <v>201</v>
      </c>
      <c r="B103" s="139" t="s">
        <v>214</v>
      </c>
      <c r="C103" s="108"/>
      <c r="D103" s="108"/>
      <c r="E103" s="97"/>
      <c r="F103" s="108"/>
      <c r="G103" s="109"/>
      <c r="H103" s="110"/>
      <c r="I103" s="111">
        <f t="shared" si="25"/>
        <v>0</v>
      </c>
      <c r="J103" s="112"/>
      <c r="K103" s="113">
        <f t="shared" si="22"/>
        <v>0</v>
      </c>
      <c r="L103" s="111">
        <f t="shared" si="23"/>
        <v>0</v>
      </c>
      <c r="M103" s="112"/>
      <c r="N103" s="113">
        <f t="shared" si="26"/>
        <v>0</v>
      </c>
      <c r="O103" s="114" t="e">
        <f t="shared" si="3"/>
        <v>#DIV/0!</v>
      </c>
      <c r="P103" s="115"/>
    </row>
    <row r="104" spans="1:16" ht="39" customHeight="1">
      <c r="A104" s="106" t="s">
        <v>201</v>
      </c>
      <c r="B104" s="107" t="s">
        <v>215</v>
      </c>
      <c r="C104" s="108"/>
      <c r="D104" s="108"/>
      <c r="E104" s="97"/>
      <c r="F104" s="108">
        <f>69012.4+2500</f>
        <v>71512.4</v>
      </c>
      <c r="G104" s="109">
        <v>12889</v>
      </c>
      <c r="H104" s="110">
        <f>G104/F104*100</f>
        <v>18.02344768180064</v>
      </c>
      <c r="I104" s="111">
        <f t="shared" si="25"/>
        <v>71512.4</v>
      </c>
      <c r="J104" s="112"/>
      <c r="K104" s="113">
        <f t="shared" si="22"/>
        <v>71512.4</v>
      </c>
      <c r="L104" s="111">
        <f t="shared" si="23"/>
        <v>12889</v>
      </c>
      <c r="M104" s="112"/>
      <c r="N104" s="113">
        <f t="shared" si="26"/>
        <v>12889</v>
      </c>
      <c r="O104" s="114">
        <f t="shared" si="3"/>
        <v>18.02344768180064</v>
      </c>
      <c r="P104" s="115"/>
    </row>
    <row r="105" spans="1:16" ht="15">
      <c r="A105" s="116" t="s">
        <v>216</v>
      </c>
      <c r="B105" s="107" t="s">
        <v>217</v>
      </c>
      <c r="C105" s="108">
        <v>40.6</v>
      </c>
      <c r="D105" s="108"/>
      <c r="E105" s="97">
        <f>D105/C105*100</f>
        <v>0</v>
      </c>
      <c r="F105" s="108">
        <v>0</v>
      </c>
      <c r="G105" s="109"/>
      <c r="H105" s="110">
        <v>0</v>
      </c>
      <c r="I105" s="111">
        <f t="shared" si="25"/>
        <v>40.6</v>
      </c>
      <c r="J105" s="112"/>
      <c r="K105" s="113">
        <f t="shared" si="22"/>
        <v>40.6</v>
      </c>
      <c r="L105" s="111">
        <f t="shared" si="23"/>
        <v>0</v>
      </c>
      <c r="M105" s="112"/>
      <c r="N105" s="113">
        <f t="shared" si="26"/>
        <v>0</v>
      </c>
      <c r="O105" s="140">
        <f t="shared" si="3"/>
        <v>0</v>
      </c>
      <c r="P105" s="115"/>
    </row>
    <row r="106" spans="1:16" ht="15">
      <c r="A106" s="141" t="s">
        <v>218</v>
      </c>
      <c r="B106" s="142" t="s">
        <v>219</v>
      </c>
      <c r="C106" s="127">
        <f>C107</f>
        <v>154411.2</v>
      </c>
      <c r="D106" s="127">
        <f aca="true" t="shared" si="28" ref="D106:N106">D107</f>
        <v>0</v>
      </c>
      <c r="E106" s="118">
        <f t="shared" si="11"/>
        <v>0</v>
      </c>
      <c r="F106" s="127">
        <f t="shared" si="28"/>
        <v>0</v>
      </c>
      <c r="G106" s="127">
        <f t="shared" si="28"/>
        <v>0</v>
      </c>
      <c r="H106" s="104" t="e">
        <f t="shared" si="28"/>
        <v>#DIV/0!</v>
      </c>
      <c r="I106" s="127">
        <f t="shared" si="28"/>
        <v>154411.2</v>
      </c>
      <c r="J106" s="127">
        <f t="shared" si="28"/>
        <v>0</v>
      </c>
      <c r="K106" s="127">
        <f>K107</f>
        <v>154411.2</v>
      </c>
      <c r="L106" s="127">
        <f t="shared" si="28"/>
        <v>0</v>
      </c>
      <c r="M106" s="127">
        <f t="shared" si="28"/>
        <v>0</v>
      </c>
      <c r="N106" s="127">
        <f t="shared" si="28"/>
        <v>0</v>
      </c>
      <c r="O106" s="143">
        <f t="shared" si="3"/>
        <v>0</v>
      </c>
      <c r="P106" s="115"/>
    </row>
    <row r="107" spans="1:16" ht="30.75" customHeight="1">
      <c r="A107" s="116" t="s">
        <v>220</v>
      </c>
      <c r="B107" s="144" t="s">
        <v>221</v>
      </c>
      <c r="C107" s="109">
        <v>154411.2</v>
      </c>
      <c r="D107" s="109">
        <v>0</v>
      </c>
      <c r="E107" s="97">
        <f t="shared" si="11"/>
        <v>0</v>
      </c>
      <c r="F107" s="109"/>
      <c r="G107" s="109"/>
      <c r="H107" s="110" t="e">
        <f>G107/F107*100</f>
        <v>#DIV/0!</v>
      </c>
      <c r="I107" s="111">
        <f aca="true" t="shared" si="29" ref="I107:I150">C107+F107</f>
        <v>154411.2</v>
      </c>
      <c r="J107" s="112"/>
      <c r="K107" s="113">
        <f>I107-J107</f>
        <v>154411.2</v>
      </c>
      <c r="L107" s="111">
        <f>D107+G107</f>
        <v>0</v>
      </c>
      <c r="M107" s="112"/>
      <c r="N107" s="113">
        <f t="shared" si="26"/>
        <v>0</v>
      </c>
      <c r="O107" s="114">
        <f t="shared" si="3"/>
        <v>0</v>
      </c>
      <c r="P107" s="115"/>
    </row>
    <row r="108" spans="1:16" ht="15">
      <c r="A108" s="101" t="s">
        <v>222</v>
      </c>
      <c r="B108" s="102" t="s">
        <v>223</v>
      </c>
      <c r="C108" s="103">
        <f>SUM(C109:C118)</f>
        <v>2686271.4000000004</v>
      </c>
      <c r="D108" s="103">
        <f>SUM(D109:D118)</f>
        <v>578707</v>
      </c>
      <c r="E108" s="103">
        <f>D108/C108*100</f>
        <v>21.54313223898374</v>
      </c>
      <c r="F108" s="127">
        <f>F109+F111+F112+F117+F118</f>
        <v>0</v>
      </c>
      <c r="G108" s="127">
        <f>SUM(G109:G118)</f>
        <v>0</v>
      </c>
      <c r="H108" s="104">
        <v>0</v>
      </c>
      <c r="I108" s="103">
        <f aca="true" t="shared" si="30" ref="I108:N108">SUM(I109:I118)</f>
        <v>2686271.4000000004</v>
      </c>
      <c r="J108" s="103">
        <f t="shared" si="30"/>
        <v>0</v>
      </c>
      <c r="K108" s="103">
        <f t="shared" si="30"/>
        <v>2686271.4000000004</v>
      </c>
      <c r="L108" s="103">
        <f t="shared" si="30"/>
        <v>578707</v>
      </c>
      <c r="M108" s="103">
        <f t="shared" si="30"/>
        <v>0</v>
      </c>
      <c r="N108" s="103">
        <f t="shared" si="30"/>
        <v>578707</v>
      </c>
      <c r="O108" s="105">
        <f t="shared" si="3"/>
        <v>21.54313223898374</v>
      </c>
      <c r="P108" s="115"/>
    </row>
    <row r="109" spans="1:16" ht="15" customHeight="1">
      <c r="A109" s="106" t="s">
        <v>224</v>
      </c>
      <c r="B109" s="107" t="s">
        <v>225</v>
      </c>
      <c r="C109" s="108">
        <v>389589.3</v>
      </c>
      <c r="D109" s="108">
        <v>124216</v>
      </c>
      <c r="E109" s="97">
        <f t="shared" si="11"/>
        <v>31.88383253852198</v>
      </c>
      <c r="F109" s="109">
        <v>0</v>
      </c>
      <c r="G109" s="109">
        <v>0</v>
      </c>
      <c r="H109" s="110">
        <v>0</v>
      </c>
      <c r="I109" s="111">
        <f t="shared" si="29"/>
        <v>389589.3</v>
      </c>
      <c r="J109" s="112"/>
      <c r="K109" s="113">
        <f aca="true" t="shared" si="31" ref="K109:K118">I109-J109</f>
        <v>389589.3</v>
      </c>
      <c r="L109" s="111">
        <f aca="true" t="shared" si="32" ref="L109:L118">D109+G109</f>
        <v>124216</v>
      </c>
      <c r="M109" s="112"/>
      <c r="N109" s="113">
        <f t="shared" si="26"/>
        <v>124216</v>
      </c>
      <c r="O109" s="114">
        <f t="shared" si="3"/>
        <v>31.88383253852198</v>
      </c>
      <c r="P109" s="115"/>
    </row>
    <row r="110" spans="1:16" ht="45" hidden="1">
      <c r="A110" s="120" t="s">
        <v>224</v>
      </c>
      <c r="B110" s="107" t="s">
        <v>226</v>
      </c>
      <c r="C110" s="108"/>
      <c r="D110" s="108"/>
      <c r="E110" s="97" t="e">
        <f t="shared" si="11"/>
        <v>#DIV/0!</v>
      </c>
      <c r="F110" s="109">
        <v>0</v>
      </c>
      <c r="G110" s="109">
        <v>0</v>
      </c>
      <c r="H110" s="110">
        <v>0</v>
      </c>
      <c r="I110" s="111">
        <f t="shared" si="29"/>
        <v>0</v>
      </c>
      <c r="J110" s="112"/>
      <c r="K110" s="113">
        <f t="shared" si="31"/>
        <v>0</v>
      </c>
      <c r="L110" s="111">
        <f t="shared" si="32"/>
        <v>0</v>
      </c>
      <c r="M110" s="112"/>
      <c r="N110" s="113">
        <f t="shared" si="26"/>
        <v>0</v>
      </c>
      <c r="O110" s="114" t="e">
        <f t="shared" si="3"/>
        <v>#DIV/0!</v>
      </c>
      <c r="P110" s="115"/>
    </row>
    <row r="111" spans="1:16" ht="15.75" customHeight="1">
      <c r="A111" s="106" t="s">
        <v>227</v>
      </c>
      <c r="B111" s="138" t="s">
        <v>228</v>
      </c>
      <c r="C111" s="108">
        <f>2076648.5-C112-C113-C114</f>
        <v>1961108.3</v>
      </c>
      <c r="D111" s="108">
        <f>401659.8-D112-D113-D114</f>
        <v>375465.7</v>
      </c>
      <c r="E111" s="108">
        <f t="shared" si="11"/>
        <v>19.145587217187344</v>
      </c>
      <c r="F111" s="109">
        <v>0</v>
      </c>
      <c r="G111" s="109">
        <v>0</v>
      </c>
      <c r="H111" s="109">
        <v>0</v>
      </c>
      <c r="I111" s="111">
        <f t="shared" si="29"/>
        <v>1961108.3</v>
      </c>
      <c r="J111" s="112"/>
      <c r="K111" s="113">
        <f t="shared" si="31"/>
        <v>1961108.3</v>
      </c>
      <c r="L111" s="111">
        <f t="shared" si="32"/>
        <v>375465.7</v>
      </c>
      <c r="M111" s="112"/>
      <c r="N111" s="113">
        <f t="shared" si="26"/>
        <v>375465.7</v>
      </c>
      <c r="O111" s="145">
        <f t="shared" si="3"/>
        <v>19.145587217187344</v>
      </c>
      <c r="P111" s="115"/>
    </row>
    <row r="112" spans="1:16" s="148" customFormat="1" ht="152.25" customHeight="1">
      <c r="A112" s="120" t="s">
        <v>227</v>
      </c>
      <c r="B112" s="138" t="s">
        <v>229</v>
      </c>
      <c r="C112" s="189">
        <v>93072</v>
      </c>
      <c r="D112" s="189">
        <v>21480</v>
      </c>
      <c r="E112" s="189">
        <f t="shared" si="11"/>
        <v>23.078906652913872</v>
      </c>
      <c r="F112" s="190">
        <v>0</v>
      </c>
      <c r="G112" s="190">
        <v>0</v>
      </c>
      <c r="H112" s="190">
        <v>0</v>
      </c>
      <c r="I112" s="111">
        <f t="shared" si="29"/>
        <v>93072</v>
      </c>
      <c r="J112" s="112"/>
      <c r="K112" s="113">
        <f t="shared" si="31"/>
        <v>93072</v>
      </c>
      <c r="L112" s="111">
        <f t="shared" si="32"/>
        <v>21480</v>
      </c>
      <c r="M112" s="112"/>
      <c r="N112" s="113">
        <f t="shared" si="26"/>
        <v>21480</v>
      </c>
      <c r="O112" s="145">
        <f t="shared" si="3"/>
        <v>23.078906652913872</v>
      </c>
      <c r="P112" s="147"/>
    </row>
    <row r="113" spans="1:16" ht="75">
      <c r="A113" s="106" t="s">
        <v>227</v>
      </c>
      <c r="B113" s="107" t="s">
        <v>230</v>
      </c>
      <c r="C113" s="108">
        <v>22468.2</v>
      </c>
      <c r="D113" s="108">
        <v>4714.1</v>
      </c>
      <c r="E113" s="97">
        <f t="shared" si="11"/>
        <v>20.981208997605506</v>
      </c>
      <c r="F113" s="109"/>
      <c r="G113" s="109"/>
      <c r="H113" s="110" t="e">
        <f>G113/F113*100</f>
        <v>#DIV/0!</v>
      </c>
      <c r="I113" s="111">
        <f t="shared" si="29"/>
        <v>22468.2</v>
      </c>
      <c r="J113" s="112"/>
      <c r="K113" s="113">
        <f t="shared" si="31"/>
        <v>22468.2</v>
      </c>
      <c r="L113" s="111">
        <f t="shared" si="32"/>
        <v>4714.1</v>
      </c>
      <c r="M113" s="112"/>
      <c r="N113" s="113">
        <f t="shared" si="26"/>
        <v>4714.1</v>
      </c>
      <c r="O113" s="114">
        <f t="shared" si="3"/>
        <v>20.981208997605506</v>
      </c>
      <c r="P113" s="115"/>
    </row>
    <row r="114" spans="1:16" ht="60" hidden="1">
      <c r="A114" s="106" t="s">
        <v>227</v>
      </c>
      <c r="B114" s="107" t="s">
        <v>231</v>
      </c>
      <c r="C114" s="108">
        <v>0</v>
      </c>
      <c r="D114" s="108">
        <v>0</v>
      </c>
      <c r="E114" s="97" t="e">
        <f t="shared" si="11"/>
        <v>#DIV/0!</v>
      </c>
      <c r="F114" s="109"/>
      <c r="G114" s="109"/>
      <c r="H114" s="110"/>
      <c r="I114" s="111">
        <f t="shared" si="29"/>
        <v>0</v>
      </c>
      <c r="J114" s="112"/>
      <c r="K114" s="113">
        <f t="shared" si="31"/>
        <v>0</v>
      </c>
      <c r="L114" s="111">
        <f t="shared" si="32"/>
        <v>0</v>
      </c>
      <c r="M114" s="112"/>
      <c r="N114" s="113">
        <f t="shared" si="26"/>
        <v>0</v>
      </c>
      <c r="O114" s="114" t="e">
        <f t="shared" si="3"/>
        <v>#DIV/0!</v>
      </c>
      <c r="P114" s="115"/>
    </row>
    <row r="115" spans="1:16" ht="120" hidden="1">
      <c r="A115" s="106" t="s">
        <v>227</v>
      </c>
      <c r="B115" s="107" t="s">
        <v>232</v>
      </c>
      <c r="C115" s="108"/>
      <c r="D115" s="108"/>
      <c r="E115" s="97"/>
      <c r="F115" s="109">
        <v>0</v>
      </c>
      <c r="G115" s="109">
        <v>0</v>
      </c>
      <c r="H115" s="110">
        <v>0</v>
      </c>
      <c r="I115" s="111">
        <f t="shared" si="29"/>
        <v>0</v>
      </c>
      <c r="J115" s="112"/>
      <c r="K115" s="113">
        <f t="shared" si="31"/>
        <v>0</v>
      </c>
      <c r="L115" s="111">
        <f t="shared" si="32"/>
        <v>0</v>
      </c>
      <c r="M115" s="112"/>
      <c r="N115" s="113">
        <f t="shared" si="26"/>
        <v>0</v>
      </c>
      <c r="O115" s="114"/>
      <c r="P115" s="115"/>
    </row>
    <row r="116" spans="1:16" ht="15">
      <c r="A116" s="106" t="s">
        <v>233</v>
      </c>
      <c r="B116" s="107" t="s">
        <v>234</v>
      </c>
      <c r="C116" s="108">
        <v>142825.2</v>
      </c>
      <c r="D116" s="108">
        <v>33987.6</v>
      </c>
      <c r="E116" s="97">
        <f t="shared" si="11"/>
        <v>23.796640928911703</v>
      </c>
      <c r="F116" s="109"/>
      <c r="G116" s="109"/>
      <c r="H116" s="110"/>
      <c r="I116" s="111">
        <f t="shared" si="29"/>
        <v>142825.2</v>
      </c>
      <c r="J116" s="112"/>
      <c r="K116" s="113">
        <f t="shared" si="31"/>
        <v>142825.2</v>
      </c>
      <c r="L116" s="111">
        <f t="shared" si="32"/>
        <v>33987.6</v>
      </c>
      <c r="M116" s="112"/>
      <c r="N116" s="113">
        <f t="shared" si="26"/>
        <v>33987.6</v>
      </c>
      <c r="O116" s="114">
        <f t="shared" si="3"/>
        <v>23.796640928911703</v>
      </c>
      <c r="P116" s="115"/>
    </row>
    <row r="117" spans="1:16" ht="15">
      <c r="A117" s="106" t="s">
        <v>235</v>
      </c>
      <c r="B117" s="107" t="s">
        <v>236</v>
      </c>
      <c r="C117" s="108">
        <v>25881</v>
      </c>
      <c r="D117" s="108">
        <v>121.5</v>
      </c>
      <c r="E117" s="97">
        <f t="shared" si="11"/>
        <v>0.46945635794598356</v>
      </c>
      <c r="F117" s="109"/>
      <c r="G117" s="109"/>
      <c r="H117" s="110"/>
      <c r="I117" s="111">
        <f t="shared" si="29"/>
        <v>25881</v>
      </c>
      <c r="J117" s="112"/>
      <c r="K117" s="113">
        <f t="shared" si="31"/>
        <v>25881</v>
      </c>
      <c r="L117" s="111">
        <f t="shared" si="32"/>
        <v>121.5</v>
      </c>
      <c r="M117" s="112"/>
      <c r="N117" s="113">
        <f t="shared" si="26"/>
        <v>121.5</v>
      </c>
      <c r="O117" s="114">
        <f t="shared" si="3"/>
        <v>0.46945635794598356</v>
      </c>
      <c r="P117" s="115"/>
    </row>
    <row r="118" spans="1:16" ht="15">
      <c r="A118" s="106" t="s">
        <v>237</v>
      </c>
      <c r="B118" s="107" t="s">
        <v>238</v>
      </c>
      <c r="C118" s="108">
        <v>51327.4</v>
      </c>
      <c r="D118" s="108">
        <v>18722.1</v>
      </c>
      <c r="E118" s="97">
        <f t="shared" si="11"/>
        <v>36.47583941520513</v>
      </c>
      <c r="F118" s="109">
        <v>0</v>
      </c>
      <c r="G118" s="109"/>
      <c r="H118" s="110">
        <v>0</v>
      </c>
      <c r="I118" s="111">
        <f t="shared" si="29"/>
        <v>51327.4</v>
      </c>
      <c r="J118" s="112"/>
      <c r="K118" s="113">
        <f t="shared" si="31"/>
        <v>51327.4</v>
      </c>
      <c r="L118" s="111">
        <f t="shared" si="32"/>
        <v>18722.1</v>
      </c>
      <c r="M118" s="112"/>
      <c r="N118" s="113">
        <f t="shared" si="26"/>
        <v>18722.1</v>
      </c>
      <c r="O118" s="114">
        <f t="shared" si="3"/>
        <v>36.47583941520513</v>
      </c>
      <c r="P118" s="115"/>
    </row>
    <row r="119" spans="1:16" ht="15">
      <c r="A119" s="101" t="s">
        <v>239</v>
      </c>
      <c r="B119" s="102" t="s">
        <v>240</v>
      </c>
      <c r="C119" s="103">
        <f>SUM(C120:C123)</f>
        <v>87606.2</v>
      </c>
      <c r="D119" s="103">
        <f>SUM(D120:D123)</f>
        <v>16079.2</v>
      </c>
      <c r="E119" s="103">
        <f>D119/C119*100</f>
        <v>18.353952117544193</v>
      </c>
      <c r="F119" s="127">
        <f>SUM(F120:F123)</f>
        <v>118672.6</v>
      </c>
      <c r="G119" s="127">
        <f>SUM(G120:G123)</f>
        <v>27793.199999999997</v>
      </c>
      <c r="H119" s="104">
        <f>G119/F119*100</f>
        <v>23.420064951808587</v>
      </c>
      <c r="I119" s="127">
        <f aca="true" t="shared" si="33" ref="I119:N119">SUM(I120:I123)</f>
        <v>206278.80000000002</v>
      </c>
      <c r="J119" s="127">
        <f t="shared" si="33"/>
        <v>12439.5</v>
      </c>
      <c r="K119" s="127">
        <f t="shared" si="33"/>
        <v>193839.30000000002</v>
      </c>
      <c r="L119" s="127">
        <f t="shared" si="33"/>
        <v>43872.4</v>
      </c>
      <c r="M119" s="127">
        <f t="shared" si="33"/>
        <v>3520.5</v>
      </c>
      <c r="N119" s="127">
        <f t="shared" si="33"/>
        <v>40351.9</v>
      </c>
      <c r="O119" s="105">
        <f t="shared" si="3"/>
        <v>20.817192385651413</v>
      </c>
      <c r="P119" s="115"/>
    </row>
    <row r="120" spans="1:16" ht="30.75" customHeight="1">
      <c r="A120" s="106" t="s">
        <v>241</v>
      </c>
      <c r="B120" s="107" t="s">
        <v>242</v>
      </c>
      <c r="C120" s="108">
        <f>70998.2-C121</f>
        <v>70299.2</v>
      </c>
      <c r="D120" s="108">
        <f>13793.2-D121</f>
        <v>13668.7</v>
      </c>
      <c r="E120" s="97">
        <f t="shared" si="11"/>
        <v>19.44360675512666</v>
      </c>
      <c r="F120" s="146">
        <f>115263.6-F121</f>
        <v>115122</v>
      </c>
      <c r="G120" s="109">
        <f>26435.1-G121</f>
        <v>26435.1</v>
      </c>
      <c r="H120" s="110">
        <f>G120/F120*100</f>
        <v>22.962683066659718</v>
      </c>
      <c r="I120" s="111">
        <f t="shared" si="29"/>
        <v>185421.2</v>
      </c>
      <c r="J120" s="112">
        <v>9200</v>
      </c>
      <c r="K120" s="113">
        <f>I120-J120</f>
        <v>176221.2</v>
      </c>
      <c r="L120" s="111">
        <f>D120+G120</f>
        <v>40103.8</v>
      </c>
      <c r="M120" s="112">
        <v>2067</v>
      </c>
      <c r="N120" s="113">
        <f t="shared" si="26"/>
        <v>38036.8</v>
      </c>
      <c r="O120" s="114">
        <f t="shared" si="3"/>
        <v>21.58469015078776</v>
      </c>
      <c r="P120" s="115"/>
    </row>
    <row r="121" spans="1:16" ht="45">
      <c r="A121" s="134" t="s">
        <v>241</v>
      </c>
      <c r="B121" s="135" t="s">
        <v>243</v>
      </c>
      <c r="C121" s="108">
        <v>699</v>
      </c>
      <c r="D121" s="108">
        <v>124.5</v>
      </c>
      <c r="E121" s="97">
        <f t="shared" si="11"/>
        <v>17.811158798283262</v>
      </c>
      <c r="F121" s="109">
        <v>141.6</v>
      </c>
      <c r="G121" s="109">
        <v>0</v>
      </c>
      <c r="H121" s="110">
        <f>G121/F121*100</f>
        <v>0</v>
      </c>
      <c r="I121" s="111">
        <f t="shared" si="29"/>
        <v>840.6</v>
      </c>
      <c r="J121" s="112">
        <v>124.5</v>
      </c>
      <c r="K121" s="113">
        <f>I121-J121</f>
        <v>716.1</v>
      </c>
      <c r="L121" s="111">
        <f>D121+G121</f>
        <v>124.5</v>
      </c>
      <c r="M121" s="112">
        <v>124.5</v>
      </c>
      <c r="N121" s="113">
        <f t="shared" si="26"/>
        <v>0</v>
      </c>
      <c r="O121" s="114">
        <f>N121/K121*100</f>
        <v>0</v>
      </c>
      <c r="P121" s="115"/>
    </row>
    <row r="122" spans="1:16" ht="15">
      <c r="A122" s="106" t="s">
        <v>244</v>
      </c>
      <c r="B122" s="107" t="s">
        <v>245</v>
      </c>
      <c r="C122" s="108">
        <v>100</v>
      </c>
      <c r="D122" s="108">
        <v>30</v>
      </c>
      <c r="E122" s="97">
        <f t="shared" si="11"/>
        <v>30</v>
      </c>
      <c r="F122" s="109"/>
      <c r="G122" s="109"/>
      <c r="H122" s="110" t="e">
        <f>G122/F122*100</f>
        <v>#DIV/0!</v>
      </c>
      <c r="I122" s="111">
        <f t="shared" si="29"/>
        <v>100</v>
      </c>
      <c r="J122" s="112"/>
      <c r="K122" s="113">
        <f>I122-J122</f>
        <v>100</v>
      </c>
      <c r="L122" s="111">
        <f>D122+G122</f>
        <v>30</v>
      </c>
      <c r="M122" s="112"/>
      <c r="N122" s="113">
        <f t="shared" si="26"/>
        <v>30</v>
      </c>
      <c r="O122" s="114">
        <f aca="true" t="shared" si="34" ref="O122:O151">N122/K122*100</f>
        <v>30</v>
      </c>
      <c r="P122" s="115"/>
    </row>
    <row r="123" spans="1:16" ht="30">
      <c r="A123" s="106" t="s">
        <v>246</v>
      </c>
      <c r="B123" s="107" t="s">
        <v>247</v>
      </c>
      <c r="C123" s="108">
        <v>16508</v>
      </c>
      <c r="D123" s="108">
        <v>2256</v>
      </c>
      <c r="E123" s="97">
        <f t="shared" si="11"/>
        <v>13.666101284225828</v>
      </c>
      <c r="F123" s="109">
        <v>3409</v>
      </c>
      <c r="G123" s="109">
        <v>1358.1</v>
      </c>
      <c r="H123" s="110">
        <f>G123/F123*100</f>
        <v>39.838662364329714</v>
      </c>
      <c r="I123" s="111">
        <f t="shared" si="29"/>
        <v>19917</v>
      </c>
      <c r="J123" s="112">
        <v>3115</v>
      </c>
      <c r="K123" s="113">
        <f>I123-J123</f>
        <v>16802</v>
      </c>
      <c r="L123" s="111">
        <f>D123+G123</f>
        <v>3614.1</v>
      </c>
      <c r="M123" s="112">
        <v>1329</v>
      </c>
      <c r="N123" s="113">
        <f t="shared" si="26"/>
        <v>2285.1</v>
      </c>
      <c r="O123" s="114">
        <f t="shared" si="34"/>
        <v>13.600166646827757</v>
      </c>
      <c r="P123" s="115"/>
    </row>
    <row r="124" spans="1:16" ht="14.25">
      <c r="A124" s="101" t="s">
        <v>248</v>
      </c>
      <c r="B124" s="102" t="s">
        <v>249</v>
      </c>
      <c r="C124" s="103">
        <f>SUM(C125:C127)</f>
        <v>2307.7</v>
      </c>
      <c r="D124" s="103">
        <f>SUM(D125:D127)</f>
        <v>0</v>
      </c>
      <c r="E124" s="103">
        <f>SUM(E127:E127)</f>
        <v>0</v>
      </c>
      <c r="F124" s="127">
        <f>F125+F126+F127</f>
        <v>0</v>
      </c>
      <c r="G124" s="127">
        <f>G125+G126+G127</f>
        <v>0</v>
      </c>
      <c r="H124" s="127"/>
      <c r="I124" s="127">
        <f aca="true" t="shared" si="35" ref="I124:N124">I125+I126+I127</f>
        <v>2307.7</v>
      </c>
      <c r="J124" s="127">
        <f t="shared" si="35"/>
        <v>0</v>
      </c>
      <c r="K124" s="127">
        <f>K125+K126+K127</f>
        <v>2307.7</v>
      </c>
      <c r="L124" s="127">
        <f t="shared" si="35"/>
        <v>0</v>
      </c>
      <c r="M124" s="127">
        <f t="shared" si="35"/>
        <v>0</v>
      </c>
      <c r="N124" s="127">
        <f t="shared" si="35"/>
        <v>0</v>
      </c>
      <c r="O124" s="105">
        <f t="shared" si="34"/>
        <v>0</v>
      </c>
      <c r="P124" s="115"/>
    </row>
    <row r="125" spans="1:16" s="148" customFormat="1" ht="60" hidden="1">
      <c r="A125" s="120" t="s">
        <v>250</v>
      </c>
      <c r="B125" s="138" t="s">
        <v>251</v>
      </c>
      <c r="C125" s="108"/>
      <c r="D125" s="108"/>
      <c r="E125" s="97" t="e">
        <f t="shared" si="11"/>
        <v>#DIV/0!</v>
      </c>
      <c r="F125" s="109"/>
      <c r="G125" s="109"/>
      <c r="H125" s="110" t="e">
        <f>G125/F125*100</f>
        <v>#DIV/0!</v>
      </c>
      <c r="I125" s="111">
        <f t="shared" si="29"/>
        <v>0</v>
      </c>
      <c r="J125" s="112"/>
      <c r="K125" s="113">
        <f>I125-J125</f>
        <v>0</v>
      </c>
      <c r="L125" s="111">
        <f>D125+G125</f>
        <v>0</v>
      </c>
      <c r="M125" s="112"/>
      <c r="N125" s="113">
        <f t="shared" si="26"/>
        <v>0</v>
      </c>
      <c r="O125" s="114" t="e">
        <f t="shared" si="34"/>
        <v>#DIV/0!</v>
      </c>
      <c r="P125" s="147"/>
    </row>
    <row r="126" spans="1:16" ht="45" hidden="1">
      <c r="A126" s="116" t="s">
        <v>252</v>
      </c>
      <c r="B126" s="135" t="s">
        <v>253</v>
      </c>
      <c r="C126" s="108"/>
      <c r="D126" s="108"/>
      <c r="E126" s="97" t="e">
        <f t="shared" si="11"/>
        <v>#DIV/0!</v>
      </c>
      <c r="F126" s="113"/>
      <c r="G126" s="113"/>
      <c r="H126" s="109"/>
      <c r="I126" s="111">
        <f t="shared" si="29"/>
        <v>0</v>
      </c>
      <c r="J126" s="112"/>
      <c r="K126" s="113">
        <f>I126-J126</f>
        <v>0</v>
      </c>
      <c r="L126" s="111">
        <f>D126+G126</f>
        <v>0</v>
      </c>
      <c r="M126" s="112"/>
      <c r="N126" s="113">
        <f>L126-M126</f>
        <v>0</v>
      </c>
      <c r="O126" s="114" t="e">
        <f t="shared" si="34"/>
        <v>#DIV/0!</v>
      </c>
      <c r="P126" s="115"/>
    </row>
    <row r="127" spans="1:18" ht="45">
      <c r="A127" s="116" t="s">
        <v>252</v>
      </c>
      <c r="B127" s="135" t="s">
        <v>254</v>
      </c>
      <c r="C127" s="108">
        <v>2307.7</v>
      </c>
      <c r="D127" s="109">
        <v>0</v>
      </c>
      <c r="E127" s="97">
        <f t="shared" si="11"/>
        <v>0</v>
      </c>
      <c r="F127" s="109"/>
      <c r="G127" s="109"/>
      <c r="H127" s="110"/>
      <c r="I127" s="111">
        <f t="shared" si="29"/>
        <v>2307.7</v>
      </c>
      <c r="J127" s="112"/>
      <c r="K127" s="113">
        <f>I127-J127</f>
        <v>2307.7</v>
      </c>
      <c r="L127" s="111">
        <f>D127+G127</f>
        <v>0</v>
      </c>
      <c r="M127" s="112"/>
      <c r="N127" s="113">
        <f t="shared" si="26"/>
        <v>0</v>
      </c>
      <c r="O127" s="114">
        <f t="shared" si="34"/>
        <v>0</v>
      </c>
      <c r="P127" s="115"/>
      <c r="R127" t="s">
        <v>39</v>
      </c>
    </row>
    <row r="128" spans="1:16" ht="15">
      <c r="A128" s="101">
        <v>10</v>
      </c>
      <c r="B128" s="102" t="s">
        <v>255</v>
      </c>
      <c r="C128" s="103">
        <f>SUM(C129:C138)</f>
        <v>168096.80000000002</v>
      </c>
      <c r="D128" s="103">
        <f>SUM(D129:D138)</f>
        <v>33705.6</v>
      </c>
      <c r="E128" s="103">
        <f>D128/C128*100</f>
        <v>20.051303772588174</v>
      </c>
      <c r="F128" s="103">
        <f>SUM(F129:F138)</f>
        <v>780</v>
      </c>
      <c r="G128" s="103">
        <f>SUM(G129:G138)</f>
        <v>165</v>
      </c>
      <c r="H128" s="104">
        <f>G128/F128*100</f>
        <v>21.153846153846153</v>
      </c>
      <c r="I128" s="103">
        <f aca="true" t="shared" si="36" ref="I128:N128">SUM(I129:I138)</f>
        <v>168876.80000000002</v>
      </c>
      <c r="J128" s="103">
        <f t="shared" si="36"/>
        <v>0</v>
      </c>
      <c r="K128" s="103">
        <f t="shared" si="36"/>
        <v>168876.80000000002</v>
      </c>
      <c r="L128" s="103">
        <f t="shared" si="36"/>
        <v>33870.6</v>
      </c>
      <c r="M128" s="103">
        <f t="shared" si="36"/>
        <v>0</v>
      </c>
      <c r="N128" s="103">
        <f t="shared" si="36"/>
        <v>33870.6</v>
      </c>
      <c r="O128" s="105">
        <f t="shared" si="34"/>
        <v>20.056396142039638</v>
      </c>
      <c r="P128" s="115"/>
    </row>
    <row r="129" spans="1:16" ht="15">
      <c r="A129" s="116">
        <v>1001</v>
      </c>
      <c r="B129" s="107" t="s">
        <v>256</v>
      </c>
      <c r="C129" s="108">
        <v>4925.5</v>
      </c>
      <c r="D129" s="108">
        <v>1229.5</v>
      </c>
      <c r="E129" s="97">
        <f t="shared" si="11"/>
        <v>24.96193279870064</v>
      </c>
      <c r="F129" s="109">
        <v>780</v>
      </c>
      <c r="G129" s="109">
        <v>165</v>
      </c>
      <c r="H129" s="110">
        <f>G129/F129*100</f>
        <v>21.153846153846153</v>
      </c>
      <c r="I129" s="111">
        <f t="shared" si="29"/>
        <v>5705.5</v>
      </c>
      <c r="J129" s="112"/>
      <c r="K129" s="113">
        <f aca="true" t="shared" si="37" ref="K129:K138">I129-J129</f>
        <v>5705.5</v>
      </c>
      <c r="L129" s="111">
        <f aca="true" t="shared" si="38" ref="L129:L138">D129+G129</f>
        <v>1394.5</v>
      </c>
      <c r="M129" s="112"/>
      <c r="N129" s="113">
        <f t="shared" si="26"/>
        <v>1394.5</v>
      </c>
      <c r="O129" s="114">
        <f t="shared" si="34"/>
        <v>24.4413285426343</v>
      </c>
      <c r="P129" s="115"/>
    </row>
    <row r="130" spans="1:16" ht="90">
      <c r="A130" s="116">
        <v>1003</v>
      </c>
      <c r="B130" s="135" t="s">
        <v>257</v>
      </c>
      <c r="C130" s="108">
        <v>3091</v>
      </c>
      <c r="D130" s="108"/>
      <c r="E130" s="97">
        <f t="shared" si="11"/>
        <v>0</v>
      </c>
      <c r="F130" s="109">
        <v>0</v>
      </c>
      <c r="G130" s="109">
        <v>0</v>
      </c>
      <c r="H130" s="110"/>
      <c r="I130" s="111">
        <f t="shared" si="29"/>
        <v>3091</v>
      </c>
      <c r="J130" s="112"/>
      <c r="K130" s="113">
        <f t="shared" si="37"/>
        <v>3091</v>
      </c>
      <c r="L130" s="111">
        <f t="shared" si="38"/>
        <v>0</v>
      </c>
      <c r="M130" s="112"/>
      <c r="N130" s="113">
        <f t="shared" si="26"/>
        <v>0</v>
      </c>
      <c r="O130" s="114">
        <f t="shared" si="34"/>
        <v>0</v>
      </c>
      <c r="P130" s="115"/>
    </row>
    <row r="131" spans="1:16" ht="60" hidden="1">
      <c r="A131" s="116" t="s">
        <v>258</v>
      </c>
      <c r="B131" s="135" t="s">
        <v>259</v>
      </c>
      <c r="C131" s="108"/>
      <c r="D131" s="108"/>
      <c r="E131" s="97" t="e">
        <f t="shared" si="11"/>
        <v>#DIV/0!</v>
      </c>
      <c r="F131" s="109"/>
      <c r="G131" s="109"/>
      <c r="H131" s="110"/>
      <c r="I131" s="111">
        <f t="shared" si="29"/>
        <v>0</v>
      </c>
      <c r="J131" s="112"/>
      <c r="K131" s="113">
        <f t="shared" si="37"/>
        <v>0</v>
      </c>
      <c r="L131" s="111">
        <f t="shared" si="38"/>
        <v>0</v>
      </c>
      <c r="M131" s="112"/>
      <c r="N131" s="113">
        <f t="shared" si="26"/>
        <v>0</v>
      </c>
      <c r="O131" s="114" t="e">
        <f t="shared" si="34"/>
        <v>#DIV/0!</v>
      </c>
      <c r="P131" s="115"/>
    </row>
    <row r="132" spans="1:16" ht="60" hidden="1">
      <c r="A132" s="116" t="s">
        <v>258</v>
      </c>
      <c r="B132" s="107" t="s">
        <v>260</v>
      </c>
      <c r="C132" s="108"/>
      <c r="D132" s="108"/>
      <c r="E132" s="97"/>
      <c r="F132" s="109"/>
      <c r="G132" s="109"/>
      <c r="H132" s="110"/>
      <c r="I132" s="111">
        <f t="shared" si="29"/>
        <v>0</v>
      </c>
      <c r="J132" s="112"/>
      <c r="K132" s="113">
        <f t="shared" si="37"/>
        <v>0</v>
      </c>
      <c r="L132" s="111">
        <f t="shared" si="38"/>
        <v>0</v>
      </c>
      <c r="M132" s="112"/>
      <c r="N132" s="113">
        <f t="shared" si="26"/>
        <v>0</v>
      </c>
      <c r="O132" s="114"/>
      <c r="P132" s="115"/>
    </row>
    <row r="133" spans="1:16" ht="105">
      <c r="A133" s="124">
        <v>1004</v>
      </c>
      <c r="B133" s="107" t="s">
        <v>261</v>
      </c>
      <c r="C133" s="108">
        <v>15709</v>
      </c>
      <c r="D133" s="108">
        <v>1787.7</v>
      </c>
      <c r="E133" s="97">
        <f t="shared" si="11"/>
        <v>11.38010057928576</v>
      </c>
      <c r="F133" s="109">
        <v>0</v>
      </c>
      <c r="G133" s="109">
        <v>0</v>
      </c>
      <c r="H133" s="110"/>
      <c r="I133" s="111">
        <f t="shared" si="29"/>
        <v>15709</v>
      </c>
      <c r="J133" s="112"/>
      <c r="K133" s="113">
        <f t="shared" si="37"/>
        <v>15709</v>
      </c>
      <c r="L133" s="111">
        <f t="shared" si="38"/>
        <v>1787.7</v>
      </c>
      <c r="M133" s="112"/>
      <c r="N133" s="113">
        <f t="shared" si="26"/>
        <v>1787.7</v>
      </c>
      <c r="O133" s="114">
        <f t="shared" si="34"/>
        <v>11.38010057928576</v>
      </c>
      <c r="P133" s="115"/>
    </row>
    <row r="134" spans="1:16" ht="180">
      <c r="A134" s="116">
        <v>1004</v>
      </c>
      <c r="B134" s="107" t="s">
        <v>262</v>
      </c>
      <c r="C134" s="108">
        <v>81607.3</v>
      </c>
      <c r="D134" s="108">
        <v>11618.6</v>
      </c>
      <c r="E134" s="97">
        <f aca="true" t="shared" si="39" ref="E134:E150">D134/C134*100</f>
        <v>14.237206720477214</v>
      </c>
      <c r="F134" s="109">
        <v>0</v>
      </c>
      <c r="G134" s="109">
        <v>0</v>
      </c>
      <c r="H134" s="110"/>
      <c r="I134" s="111">
        <f t="shared" si="29"/>
        <v>81607.3</v>
      </c>
      <c r="J134" s="112"/>
      <c r="K134" s="113">
        <f t="shared" si="37"/>
        <v>81607.3</v>
      </c>
      <c r="L134" s="111">
        <f t="shared" si="38"/>
        <v>11618.6</v>
      </c>
      <c r="M134" s="112"/>
      <c r="N134" s="113">
        <f t="shared" si="26"/>
        <v>11618.6</v>
      </c>
      <c r="O134" s="114">
        <f t="shared" si="34"/>
        <v>14.237206720477214</v>
      </c>
      <c r="P134" s="115"/>
    </row>
    <row r="135" spans="1:16" ht="165">
      <c r="A135" s="116" t="s">
        <v>263</v>
      </c>
      <c r="B135" s="107" t="s">
        <v>264</v>
      </c>
      <c r="C135" s="108">
        <v>40354.4</v>
      </c>
      <c r="D135" s="108">
        <v>15127</v>
      </c>
      <c r="E135" s="97">
        <f>D135/C135*100</f>
        <v>37.48537953729952</v>
      </c>
      <c r="F135" s="109">
        <v>0</v>
      </c>
      <c r="G135" s="109">
        <v>0</v>
      </c>
      <c r="H135" s="110"/>
      <c r="I135" s="111">
        <f t="shared" si="29"/>
        <v>40354.4</v>
      </c>
      <c r="J135" s="112"/>
      <c r="K135" s="113">
        <f t="shared" si="37"/>
        <v>40354.4</v>
      </c>
      <c r="L135" s="111">
        <f t="shared" si="38"/>
        <v>15127</v>
      </c>
      <c r="M135" s="112"/>
      <c r="N135" s="113">
        <f t="shared" si="26"/>
        <v>15127</v>
      </c>
      <c r="O135" s="114">
        <f>N135/K135*100</f>
        <v>37.48537953729952</v>
      </c>
      <c r="P135" s="115"/>
    </row>
    <row r="136" spans="1:16" ht="45" customHeight="1">
      <c r="A136" s="116" t="s">
        <v>263</v>
      </c>
      <c r="B136" s="107" t="s">
        <v>265</v>
      </c>
      <c r="C136" s="108">
        <v>2070.5</v>
      </c>
      <c r="D136" s="108">
        <v>0</v>
      </c>
      <c r="E136" s="97">
        <f>D136/C136*100</f>
        <v>0</v>
      </c>
      <c r="F136" s="109"/>
      <c r="G136" s="109"/>
      <c r="H136" s="110"/>
      <c r="I136" s="111">
        <f t="shared" si="29"/>
        <v>2070.5</v>
      </c>
      <c r="J136" s="112"/>
      <c r="K136" s="113">
        <f t="shared" si="37"/>
        <v>2070.5</v>
      </c>
      <c r="L136" s="111">
        <f t="shared" si="38"/>
        <v>0</v>
      </c>
      <c r="M136" s="112"/>
      <c r="N136" s="113">
        <f t="shared" si="26"/>
        <v>0</v>
      </c>
      <c r="O136" s="114">
        <f>N136/K136*100</f>
        <v>0</v>
      </c>
      <c r="P136" s="115"/>
    </row>
    <row r="137" spans="1:16" ht="60" hidden="1">
      <c r="A137" s="116" t="s">
        <v>266</v>
      </c>
      <c r="B137" s="107" t="s">
        <v>267</v>
      </c>
      <c r="C137" s="108"/>
      <c r="D137" s="108"/>
      <c r="E137" s="97"/>
      <c r="F137" s="109"/>
      <c r="G137" s="109"/>
      <c r="H137" s="110" t="e">
        <f>G137/F137*100</f>
        <v>#DIV/0!</v>
      </c>
      <c r="I137" s="111">
        <f t="shared" si="29"/>
        <v>0</v>
      </c>
      <c r="J137" s="112"/>
      <c r="K137" s="113">
        <f t="shared" si="37"/>
        <v>0</v>
      </c>
      <c r="L137" s="111">
        <f t="shared" si="38"/>
        <v>0</v>
      </c>
      <c r="M137" s="112"/>
      <c r="N137" s="113">
        <f t="shared" si="26"/>
        <v>0</v>
      </c>
      <c r="O137" s="114" t="e">
        <f>N137/K137*100</f>
        <v>#DIV/0!</v>
      </c>
      <c r="P137" s="115"/>
    </row>
    <row r="138" spans="1:16" ht="30">
      <c r="A138" s="116">
        <v>1006</v>
      </c>
      <c r="B138" s="107" t="s">
        <v>268</v>
      </c>
      <c r="C138" s="108">
        <v>20339.1</v>
      </c>
      <c r="D138" s="108">
        <v>3942.8</v>
      </c>
      <c r="E138" s="97">
        <f t="shared" si="39"/>
        <v>19.385321867732596</v>
      </c>
      <c r="F138" s="109">
        <v>0</v>
      </c>
      <c r="G138" s="109">
        <v>0</v>
      </c>
      <c r="H138" s="110"/>
      <c r="I138" s="111">
        <f t="shared" si="29"/>
        <v>20339.1</v>
      </c>
      <c r="J138" s="112"/>
      <c r="K138" s="113">
        <f t="shared" si="37"/>
        <v>20339.1</v>
      </c>
      <c r="L138" s="111">
        <f t="shared" si="38"/>
        <v>3942.8</v>
      </c>
      <c r="M138" s="112"/>
      <c r="N138" s="113">
        <f t="shared" si="26"/>
        <v>3942.8</v>
      </c>
      <c r="O138" s="114">
        <f t="shared" si="34"/>
        <v>19.385321867732596</v>
      </c>
      <c r="P138" s="115"/>
    </row>
    <row r="139" spans="1:16" ht="15">
      <c r="A139" s="141">
        <v>1100</v>
      </c>
      <c r="B139" s="102" t="s">
        <v>269</v>
      </c>
      <c r="C139" s="103">
        <f>SUM(C140:C142)</f>
        <v>121311.5</v>
      </c>
      <c r="D139" s="103">
        <f>SUM(D140:D142)</f>
        <v>35506</v>
      </c>
      <c r="E139" s="103">
        <f>D139/C139*100</f>
        <v>29.26845352666483</v>
      </c>
      <c r="F139" s="127">
        <f>F140+F141</f>
        <v>22737.4</v>
      </c>
      <c r="G139" s="127">
        <f>G140+G141</f>
        <v>6351.2</v>
      </c>
      <c r="H139" s="104">
        <f>G139/F139*100</f>
        <v>27.932833129557466</v>
      </c>
      <c r="I139" s="127">
        <f aca="true" t="shared" si="40" ref="I139:N139">I140+I141+I142</f>
        <v>144048.9</v>
      </c>
      <c r="J139" s="127">
        <f t="shared" si="40"/>
        <v>87</v>
      </c>
      <c r="K139" s="127">
        <f t="shared" si="40"/>
        <v>143961.9</v>
      </c>
      <c r="L139" s="127">
        <f t="shared" si="40"/>
        <v>41857.2</v>
      </c>
      <c r="M139" s="127">
        <f t="shared" si="40"/>
        <v>21.8</v>
      </c>
      <c r="N139" s="127">
        <f t="shared" si="40"/>
        <v>41835.399999999994</v>
      </c>
      <c r="O139" s="105">
        <f t="shared" si="34"/>
        <v>29.060049915984713</v>
      </c>
      <c r="P139" s="115"/>
    </row>
    <row r="140" spans="1:16" ht="15">
      <c r="A140" s="116">
        <v>1101</v>
      </c>
      <c r="B140" s="107" t="s">
        <v>270</v>
      </c>
      <c r="C140" s="108">
        <v>120512.6</v>
      </c>
      <c r="D140" s="108">
        <v>35496</v>
      </c>
      <c r="E140" s="97">
        <f t="shared" si="39"/>
        <v>29.45418155445986</v>
      </c>
      <c r="F140" s="109">
        <v>22737.4</v>
      </c>
      <c r="G140" s="109">
        <v>6351.2</v>
      </c>
      <c r="H140" s="110">
        <f>G140/F140*100</f>
        <v>27.932833129557466</v>
      </c>
      <c r="I140" s="111">
        <f t="shared" si="29"/>
        <v>143250</v>
      </c>
      <c r="J140" s="112">
        <v>87</v>
      </c>
      <c r="K140" s="113">
        <f>I140-J140</f>
        <v>143163</v>
      </c>
      <c r="L140" s="111">
        <f>D140+G140</f>
        <v>41847.2</v>
      </c>
      <c r="M140" s="112">
        <v>21.8</v>
      </c>
      <c r="N140" s="113">
        <f t="shared" si="26"/>
        <v>41825.399999999994</v>
      </c>
      <c r="O140" s="114">
        <f t="shared" si="34"/>
        <v>29.215230192158586</v>
      </c>
      <c r="P140" s="115"/>
    </row>
    <row r="141" spans="1:16" ht="15">
      <c r="A141" s="116">
        <v>1102</v>
      </c>
      <c r="B141" s="107" t="s">
        <v>271</v>
      </c>
      <c r="C141" s="108">
        <v>165</v>
      </c>
      <c r="D141" s="108">
        <v>10</v>
      </c>
      <c r="E141" s="97">
        <f t="shared" si="39"/>
        <v>6.0606060606060606</v>
      </c>
      <c r="F141" s="109"/>
      <c r="G141" s="109">
        <v>0</v>
      </c>
      <c r="H141" s="110"/>
      <c r="I141" s="111">
        <f t="shared" si="29"/>
        <v>165</v>
      </c>
      <c r="J141" s="112"/>
      <c r="K141" s="113">
        <f>I141-J141</f>
        <v>165</v>
      </c>
      <c r="L141" s="111">
        <f>D141+G141</f>
        <v>10</v>
      </c>
      <c r="M141" s="112"/>
      <c r="N141" s="113">
        <f t="shared" si="26"/>
        <v>10</v>
      </c>
      <c r="O141" s="114">
        <f t="shared" si="34"/>
        <v>6.0606060606060606</v>
      </c>
      <c r="P141" s="115"/>
    </row>
    <row r="142" spans="1:16" ht="15">
      <c r="A142" s="116" t="s">
        <v>272</v>
      </c>
      <c r="B142" s="107" t="s">
        <v>273</v>
      </c>
      <c r="C142" s="108">
        <v>633.9</v>
      </c>
      <c r="D142" s="108">
        <v>0</v>
      </c>
      <c r="E142" s="97">
        <f t="shared" si="39"/>
        <v>0</v>
      </c>
      <c r="F142" s="109"/>
      <c r="G142" s="109"/>
      <c r="H142" s="110"/>
      <c r="I142" s="111">
        <f t="shared" si="29"/>
        <v>633.9</v>
      </c>
      <c r="J142" s="112"/>
      <c r="K142" s="113">
        <f>I142-J142</f>
        <v>633.9</v>
      </c>
      <c r="L142" s="111">
        <f>D142+G142</f>
        <v>0</v>
      </c>
      <c r="M142" s="112"/>
      <c r="N142" s="113">
        <f t="shared" si="26"/>
        <v>0</v>
      </c>
      <c r="O142" s="114">
        <f t="shared" si="34"/>
        <v>0</v>
      </c>
      <c r="P142" s="115"/>
    </row>
    <row r="143" spans="1:16" ht="15">
      <c r="A143" s="141">
        <v>1200</v>
      </c>
      <c r="B143" s="102" t="s">
        <v>274</v>
      </c>
      <c r="C143" s="103">
        <f>SUM(C144:C144)</f>
        <v>14359.4</v>
      </c>
      <c r="D143" s="103">
        <f>SUM(D144:D144)</f>
        <v>1152.5</v>
      </c>
      <c r="E143" s="118">
        <f>D143/C143*100</f>
        <v>8.026101369137987</v>
      </c>
      <c r="F143" s="103"/>
      <c r="G143" s="103"/>
      <c r="H143" s="104"/>
      <c r="I143" s="103">
        <f aca="true" t="shared" si="41" ref="I143:N143">I144</f>
        <v>14359.4</v>
      </c>
      <c r="J143" s="103">
        <f t="shared" si="41"/>
        <v>0</v>
      </c>
      <c r="K143" s="103">
        <f>K144</f>
        <v>14359.4</v>
      </c>
      <c r="L143" s="103">
        <f t="shared" si="41"/>
        <v>1152.5</v>
      </c>
      <c r="M143" s="103">
        <f t="shared" si="41"/>
        <v>0</v>
      </c>
      <c r="N143" s="103">
        <f t="shared" si="41"/>
        <v>1152.5</v>
      </c>
      <c r="O143" s="119">
        <f t="shared" si="34"/>
        <v>8.026101369137987</v>
      </c>
      <c r="P143" s="115"/>
    </row>
    <row r="144" spans="1:16" ht="15">
      <c r="A144" s="116" t="s">
        <v>275</v>
      </c>
      <c r="B144" s="107" t="s">
        <v>276</v>
      </c>
      <c r="C144" s="108">
        <v>14359.4</v>
      </c>
      <c r="D144" s="108">
        <v>1152.5</v>
      </c>
      <c r="E144" s="97">
        <f>D144/C144*100</f>
        <v>8.026101369137987</v>
      </c>
      <c r="F144" s="109"/>
      <c r="G144" s="109"/>
      <c r="H144" s="110"/>
      <c r="I144" s="111">
        <f t="shared" si="29"/>
        <v>14359.4</v>
      </c>
      <c r="J144" s="112">
        <v>0</v>
      </c>
      <c r="K144" s="113">
        <f>I144-J144</f>
        <v>14359.4</v>
      </c>
      <c r="L144" s="111">
        <f>D144+G144</f>
        <v>1152.5</v>
      </c>
      <c r="M144" s="112"/>
      <c r="N144" s="113">
        <f t="shared" si="26"/>
        <v>1152.5</v>
      </c>
      <c r="O144" s="114">
        <f>N144/K144*100</f>
        <v>8.026101369137987</v>
      </c>
      <c r="P144" s="115"/>
    </row>
    <row r="145" spans="1:16" ht="28.5">
      <c r="A145" s="141">
        <v>1300</v>
      </c>
      <c r="B145" s="102" t="s">
        <v>277</v>
      </c>
      <c r="C145" s="103">
        <f aca="true" t="shared" si="42" ref="C145:N145">C146</f>
        <v>23.8</v>
      </c>
      <c r="D145" s="103">
        <f t="shared" si="42"/>
        <v>7.8</v>
      </c>
      <c r="E145" s="103">
        <f t="shared" si="42"/>
        <v>32.773109243697476</v>
      </c>
      <c r="F145" s="103">
        <f t="shared" si="42"/>
        <v>0</v>
      </c>
      <c r="G145" s="103">
        <f t="shared" si="42"/>
        <v>0</v>
      </c>
      <c r="H145" s="118">
        <f t="shared" si="42"/>
        <v>0</v>
      </c>
      <c r="I145" s="103">
        <f t="shared" si="42"/>
        <v>23.8</v>
      </c>
      <c r="J145" s="103">
        <f t="shared" si="42"/>
        <v>0</v>
      </c>
      <c r="K145" s="103">
        <f t="shared" si="42"/>
        <v>23.8</v>
      </c>
      <c r="L145" s="103">
        <f t="shared" si="42"/>
        <v>7.8</v>
      </c>
      <c r="M145" s="103">
        <f t="shared" si="42"/>
        <v>0</v>
      </c>
      <c r="N145" s="103">
        <f t="shared" si="42"/>
        <v>7.8</v>
      </c>
      <c r="O145" s="119">
        <f t="shared" si="34"/>
        <v>32.773109243697476</v>
      </c>
      <c r="P145" s="115"/>
    </row>
    <row r="146" spans="1:16" ht="30">
      <c r="A146" s="116">
        <v>1301</v>
      </c>
      <c r="B146" s="107" t="s">
        <v>278</v>
      </c>
      <c r="C146" s="108">
        <v>23.8</v>
      </c>
      <c r="D146" s="108">
        <v>7.8</v>
      </c>
      <c r="E146" s="97">
        <f t="shared" si="39"/>
        <v>32.773109243697476</v>
      </c>
      <c r="F146" s="109"/>
      <c r="G146" s="109">
        <v>0</v>
      </c>
      <c r="H146" s="110">
        <v>0</v>
      </c>
      <c r="I146" s="111">
        <f t="shared" si="29"/>
        <v>23.8</v>
      </c>
      <c r="J146" s="112"/>
      <c r="K146" s="113">
        <f>I146-J146</f>
        <v>23.8</v>
      </c>
      <c r="L146" s="111">
        <f>D146+G146</f>
        <v>7.8</v>
      </c>
      <c r="M146" s="149"/>
      <c r="N146" s="113">
        <f t="shared" si="26"/>
        <v>7.8</v>
      </c>
      <c r="O146" s="114">
        <f t="shared" si="34"/>
        <v>32.773109243697476</v>
      </c>
      <c r="P146" s="115"/>
    </row>
    <row r="147" spans="1:16" ht="14.25">
      <c r="A147" s="141">
        <v>1400</v>
      </c>
      <c r="B147" s="102" t="s">
        <v>279</v>
      </c>
      <c r="C147" s="103">
        <f>SUM(C148:C150)</f>
        <v>293715.1</v>
      </c>
      <c r="D147" s="103">
        <f>SUM(D148:D150)</f>
        <v>76881.5</v>
      </c>
      <c r="E147" s="103">
        <f>D147/C147*100</f>
        <v>26.175535408291918</v>
      </c>
      <c r="F147" s="127">
        <f>F148+F149+F150</f>
        <v>0</v>
      </c>
      <c r="G147" s="127">
        <f>SUM(G148:G150)</f>
        <v>0</v>
      </c>
      <c r="H147" s="127"/>
      <c r="I147" s="127">
        <f aca="true" t="shared" si="43" ref="I147:N147">I148+I149+I150</f>
        <v>293715.1</v>
      </c>
      <c r="J147" s="127">
        <f t="shared" si="43"/>
        <v>293715.1</v>
      </c>
      <c r="K147" s="127">
        <f t="shared" si="43"/>
        <v>0</v>
      </c>
      <c r="L147" s="127">
        <f t="shared" si="43"/>
        <v>76881.5</v>
      </c>
      <c r="M147" s="127">
        <f t="shared" si="43"/>
        <v>76881.5</v>
      </c>
      <c r="N147" s="127">
        <f t="shared" si="43"/>
        <v>0</v>
      </c>
      <c r="O147" s="105">
        <v>0</v>
      </c>
      <c r="P147" s="115"/>
    </row>
    <row r="148" spans="1:16" ht="45">
      <c r="A148" s="116">
        <v>1401</v>
      </c>
      <c r="B148" s="107" t="s">
        <v>280</v>
      </c>
      <c r="C148" s="108">
        <v>149882.1</v>
      </c>
      <c r="D148" s="108">
        <v>29976.3</v>
      </c>
      <c r="E148" s="97">
        <f t="shared" si="39"/>
        <v>19.999919937070537</v>
      </c>
      <c r="F148" s="109">
        <v>0</v>
      </c>
      <c r="G148" s="109">
        <v>0</v>
      </c>
      <c r="H148" s="110">
        <v>0</v>
      </c>
      <c r="I148" s="111">
        <f t="shared" si="29"/>
        <v>149882.1</v>
      </c>
      <c r="J148" s="112">
        <v>149882.1</v>
      </c>
      <c r="K148" s="113">
        <f>I148-J148</f>
        <v>0</v>
      </c>
      <c r="L148" s="111">
        <f>D148+G148</f>
        <v>29976.3</v>
      </c>
      <c r="M148" s="149">
        <v>29976.3</v>
      </c>
      <c r="N148" s="113">
        <f t="shared" si="26"/>
        <v>0</v>
      </c>
      <c r="O148" s="114">
        <v>0</v>
      </c>
      <c r="P148" s="115"/>
    </row>
    <row r="149" spans="1:16" ht="15" hidden="1">
      <c r="A149" s="116">
        <v>1402</v>
      </c>
      <c r="B149" s="107" t="s">
        <v>281</v>
      </c>
      <c r="C149" s="108"/>
      <c r="D149" s="108"/>
      <c r="E149" s="97" t="e">
        <f t="shared" si="39"/>
        <v>#DIV/0!</v>
      </c>
      <c r="F149" s="109">
        <v>0</v>
      </c>
      <c r="G149" s="109">
        <v>0</v>
      </c>
      <c r="H149" s="110">
        <v>0</v>
      </c>
      <c r="I149" s="111">
        <f t="shared" si="29"/>
        <v>0</v>
      </c>
      <c r="J149" s="112"/>
      <c r="K149" s="113">
        <f>I149-J149</f>
        <v>0</v>
      </c>
      <c r="L149" s="111">
        <f>D149+G149</f>
        <v>0</v>
      </c>
      <c r="M149" s="149"/>
      <c r="N149" s="113">
        <f t="shared" si="26"/>
        <v>0</v>
      </c>
      <c r="O149" s="114">
        <v>0</v>
      </c>
      <c r="P149" s="115"/>
    </row>
    <row r="150" spans="1:16" ht="15">
      <c r="A150" s="116">
        <v>1403</v>
      </c>
      <c r="B150" s="107" t="s">
        <v>282</v>
      </c>
      <c r="C150" s="108">
        <v>143833</v>
      </c>
      <c r="D150" s="108">
        <v>46905.2</v>
      </c>
      <c r="E150" s="97">
        <f t="shared" si="39"/>
        <v>32.61087511210918</v>
      </c>
      <c r="F150" s="109">
        <v>0</v>
      </c>
      <c r="G150" s="109">
        <v>0</v>
      </c>
      <c r="H150" s="110">
        <v>0</v>
      </c>
      <c r="I150" s="111">
        <f t="shared" si="29"/>
        <v>143833</v>
      </c>
      <c r="J150" s="112">
        <v>143833</v>
      </c>
      <c r="K150" s="113">
        <f>I150-J150</f>
        <v>0</v>
      </c>
      <c r="L150" s="111">
        <f>D150+G150</f>
        <v>46905.2</v>
      </c>
      <c r="M150" s="112">
        <v>46905.2</v>
      </c>
      <c r="N150" s="113">
        <f t="shared" si="26"/>
        <v>0</v>
      </c>
      <c r="O150" s="114">
        <v>0</v>
      </c>
      <c r="P150" s="115"/>
    </row>
    <row r="151" spans="1:16" ht="15.75" thickBot="1">
      <c r="A151" s="227" t="s">
        <v>283</v>
      </c>
      <c r="B151" s="228"/>
      <c r="C151" s="150">
        <f>C10+C19+C21+C26+C59+C106+C108+C119+C124+C128+C139+C143+C145+C147</f>
        <v>4723459.5</v>
      </c>
      <c r="D151" s="150">
        <f>D147+D145+D143+D139+D128+D124+D119+D108+D106+D59+D26+D21+D19+D10</f>
        <v>895613.6</v>
      </c>
      <c r="E151" s="150">
        <f>D151/C151*100</f>
        <v>18.960967062382984</v>
      </c>
      <c r="F151" s="150">
        <f>F10+F19+F21+F26+F59+F106+F108+F119+F124+F128+F139+F143+F145+F147</f>
        <v>635052.3200000001</v>
      </c>
      <c r="G151" s="150">
        <f>G10+G19+G21+G26+G59+G106+G108+G119+G124+G128+G139+G143+G145+G147</f>
        <v>140726.2</v>
      </c>
      <c r="H151" s="151">
        <f>G151/F151*100</f>
        <v>22.1597804728908</v>
      </c>
      <c r="I151" s="150"/>
      <c r="J151" s="150">
        <f>J10+J19+J21+J26+J59+J106+J108+J119+J124+J128+J139+J143+J145+J147</f>
        <v>416177.9</v>
      </c>
      <c r="K151" s="150">
        <f>K147+K145+K143+K139+K128+K124+K119+K108+K106+K59+K26+K21+K19+K10</f>
        <v>4942333.92</v>
      </c>
      <c r="L151" s="152"/>
      <c r="M151" s="150">
        <f>M10+M19+M21+M26+M59+M106+M108+M119+M124+M128+M139+M143+M145+M147</f>
        <v>91757.3</v>
      </c>
      <c r="N151" s="150">
        <f>N147+N145+N143+N139+N128+N124+N119+N108+N106+N59+N26+N21+N19+N10</f>
        <v>944582.5</v>
      </c>
      <c r="O151" s="153">
        <f t="shared" si="34"/>
        <v>19.112073673888872</v>
      </c>
      <c r="P151" s="115"/>
    </row>
    <row r="152" spans="1:15" ht="18" customHeight="1">
      <c r="A152" s="154"/>
      <c r="B152" s="155"/>
      <c r="C152" s="156"/>
      <c r="D152" s="88"/>
      <c r="E152" s="157"/>
      <c r="F152" s="90"/>
      <c r="G152" s="90"/>
      <c r="H152" s="91"/>
      <c r="I152" s="91"/>
      <c r="J152" s="91"/>
      <c r="K152" s="94"/>
      <c r="L152" s="90"/>
      <c r="M152" s="94"/>
      <c r="N152" s="94"/>
      <c r="O152" s="95"/>
    </row>
    <row r="153" spans="1:15" ht="12.75" hidden="1">
      <c r="A153" s="158"/>
      <c r="B153" s="159"/>
      <c r="C153" s="160">
        <v>4723459.5</v>
      </c>
      <c r="D153" s="160">
        <v>895613.6</v>
      </c>
      <c r="E153" s="160"/>
      <c r="F153" s="160">
        <v>635052.3</v>
      </c>
      <c r="G153" s="160">
        <v>140726.2</v>
      </c>
      <c r="H153" s="160"/>
      <c r="I153" s="160"/>
      <c r="J153" s="160">
        <v>416177.9</v>
      </c>
      <c r="K153" s="161">
        <v>4942333.9</v>
      </c>
      <c r="L153" s="160"/>
      <c r="M153" s="160">
        <v>91757.3</v>
      </c>
      <c r="N153" s="160">
        <v>944582.5</v>
      </c>
      <c r="O153" s="160"/>
    </row>
    <row r="154" spans="1:15" ht="12.75" hidden="1">
      <c r="A154" s="158"/>
      <c r="B154" s="159"/>
      <c r="C154" s="162">
        <f>C153-C151</f>
        <v>0</v>
      </c>
      <c r="D154" s="162">
        <f>D153-D151</f>
        <v>0</v>
      </c>
      <c r="E154" s="163"/>
      <c r="F154" s="164">
        <f>F151-F153</f>
        <v>0.02000000001862645</v>
      </c>
      <c r="G154" s="165">
        <f>G151-G153</f>
        <v>0</v>
      </c>
      <c r="H154" s="165"/>
      <c r="I154" s="165"/>
      <c r="J154" s="166">
        <f>J151-J153</f>
        <v>0</v>
      </c>
      <c r="K154" s="166">
        <f>K151-K153</f>
        <v>0.019999999552965164</v>
      </c>
      <c r="L154" s="166">
        <f>L151-L153</f>
        <v>0</v>
      </c>
      <c r="M154" s="166">
        <f>M151-M153</f>
        <v>0</v>
      </c>
      <c r="N154" s="166">
        <f>N151-N153</f>
        <v>0</v>
      </c>
      <c r="O154" s="166"/>
    </row>
    <row r="155" spans="1:15" ht="12.75">
      <c r="A155" s="229" t="s">
        <v>284</v>
      </c>
      <c r="B155" s="229"/>
      <c r="C155" s="229"/>
      <c r="D155" s="167"/>
      <c r="E155" s="168"/>
      <c r="F155" s="167"/>
      <c r="G155" s="90"/>
      <c r="H155" s="91"/>
      <c r="I155" s="91"/>
      <c r="J155" s="91"/>
      <c r="K155" s="95"/>
      <c r="L155" s="91"/>
      <c r="M155" s="95"/>
      <c r="N155" s="94"/>
      <c r="O155" s="95"/>
    </row>
    <row r="156" spans="1:15" ht="12.75">
      <c r="A156" s="229" t="s">
        <v>285</v>
      </c>
      <c r="B156" s="229"/>
      <c r="C156" s="229"/>
      <c r="D156" s="169"/>
      <c r="E156" s="234" t="s">
        <v>286</v>
      </c>
      <c r="F156" s="234"/>
      <c r="G156" s="90"/>
      <c r="H156" s="91"/>
      <c r="I156" s="91"/>
      <c r="J156" s="91"/>
      <c r="K156" s="92"/>
      <c r="L156" s="93"/>
      <c r="M156" s="92"/>
      <c r="N156" s="94"/>
      <c r="O156" s="95"/>
    </row>
    <row r="157" spans="1:15" ht="12.75">
      <c r="A157" s="170"/>
      <c r="B157" s="171"/>
      <c r="C157" s="172"/>
      <c r="D157" s="173"/>
      <c r="E157" s="174"/>
      <c r="F157" s="175"/>
      <c r="G157" s="90"/>
      <c r="H157" s="91"/>
      <c r="I157" s="91"/>
      <c r="J157" s="91"/>
      <c r="K157" s="92"/>
      <c r="L157" s="93"/>
      <c r="M157" s="92"/>
      <c r="N157" s="94"/>
      <c r="O157" s="95"/>
    </row>
    <row r="158" spans="1:15" ht="12.75">
      <c r="A158" s="229" t="s">
        <v>287</v>
      </c>
      <c r="B158" s="229"/>
      <c r="C158" s="229"/>
      <c r="D158" s="176"/>
      <c r="E158" s="234" t="s">
        <v>288</v>
      </c>
      <c r="F158" s="234"/>
      <c r="G158" s="90"/>
      <c r="H158" s="91"/>
      <c r="I158" s="91"/>
      <c r="J158" s="91"/>
      <c r="K158" s="92"/>
      <c r="L158" s="93"/>
      <c r="M158" s="92"/>
      <c r="N158" s="94"/>
      <c r="O158" s="95"/>
    </row>
    <row r="159" spans="1:15" ht="12.75">
      <c r="A159" s="170"/>
      <c r="B159" s="177"/>
      <c r="C159" s="178"/>
      <c r="D159" s="179"/>
      <c r="E159" s="174"/>
      <c r="F159" s="175"/>
      <c r="G159" s="90"/>
      <c r="H159" s="91"/>
      <c r="I159" s="91"/>
      <c r="J159" s="91"/>
      <c r="K159" s="92"/>
      <c r="L159" s="93"/>
      <c r="M159" s="92"/>
      <c r="N159" s="94"/>
      <c r="O159" s="95"/>
    </row>
    <row r="160" spans="1:15" ht="12.75">
      <c r="A160" s="229" t="s">
        <v>289</v>
      </c>
      <c r="B160" s="229"/>
      <c r="C160" s="229"/>
      <c r="D160" s="176"/>
      <c r="E160" s="234" t="s">
        <v>290</v>
      </c>
      <c r="F160" s="234"/>
      <c r="G160" s="90"/>
      <c r="H160" s="91"/>
      <c r="I160" s="91"/>
      <c r="J160" s="91"/>
      <c r="K160" s="92"/>
      <c r="L160" s="93"/>
      <c r="M160" s="92"/>
      <c r="N160" s="94"/>
      <c r="O160" s="95"/>
    </row>
    <row r="161" spans="1:15" ht="12.75">
      <c r="A161" s="180"/>
      <c r="B161" s="181"/>
      <c r="C161" s="182"/>
      <c r="D161" s="167"/>
      <c r="E161" s="183"/>
      <c r="F161" s="167"/>
      <c r="G161" s="90"/>
      <c r="H161" s="91"/>
      <c r="I161" s="91"/>
      <c r="J161" s="91"/>
      <c r="K161" s="95"/>
      <c r="L161" s="91"/>
      <c r="M161" s="95"/>
      <c r="N161" s="94" t="s">
        <v>39</v>
      </c>
      <c r="O161" s="95"/>
    </row>
    <row r="162" spans="1:14" ht="12.75">
      <c r="A162" s="137"/>
      <c r="B162" s="137"/>
      <c r="C162" s="184" t="s">
        <v>291</v>
      </c>
      <c r="D162" s="185"/>
      <c r="E162" s="186" t="s">
        <v>292</v>
      </c>
      <c r="F162" s="187"/>
      <c r="G162" s="148"/>
      <c r="K162" t="s">
        <v>293</v>
      </c>
      <c r="L162" s="188"/>
      <c r="N162" s="148"/>
    </row>
    <row r="163" spans="3:12" ht="12.75">
      <c r="C163" s="148"/>
      <c r="F163" s="148"/>
      <c r="L163" s="188"/>
    </row>
  </sheetData>
  <sheetProtection/>
  <mergeCells count="28">
    <mergeCell ref="A160:C160"/>
    <mergeCell ref="E160:F160"/>
    <mergeCell ref="C4:C5"/>
    <mergeCell ref="D4:D5"/>
    <mergeCell ref="A156:C156"/>
    <mergeCell ref="E156:F156"/>
    <mergeCell ref="A158:C158"/>
    <mergeCell ref="E158:F158"/>
    <mergeCell ref="E4:E5"/>
    <mergeCell ref="F4:F5"/>
    <mergeCell ref="K4:K5"/>
    <mergeCell ref="L4:L5"/>
    <mergeCell ref="A151:B151"/>
    <mergeCell ref="A155:C155"/>
    <mergeCell ref="G4:G5"/>
    <mergeCell ref="H4:H5"/>
    <mergeCell ref="I4:I5"/>
    <mergeCell ref="J4:J5"/>
    <mergeCell ref="A1:O1"/>
    <mergeCell ref="A3:A8"/>
    <mergeCell ref="B3:B5"/>
    <mergeCell ref="C3:E3"/>
    <mergeCell ref="F3:H3"/>
    <mergeCell ref="I3:O3"/>
    <mergeCell ref="M4:M5"/>
    <mergeCell ref="N4:N5"/>
    <mergeCell ref="O4:O5"/>
    <mergeCell ref="B6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2022-02-14T06:32:36Z</cp:lastPrinted>
  <dcterms:created xsi:type="dcterms:W3CDTF">2006-05-12T06:58:42Z</dcterms:created>
  <dcterms:modified xsi:type="dcterms:W3CDTF">2022-04-21T04:53:57Z</dcterms:modified>
  <cp:category/>
  <cp:version/>
  <cp:contentType/>
  <cp:contentStatus/>
</cp:coreProperties>
</file>